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13"/>
  <workbookPr/>
  <mc:AlternateContent xmlns:mc="http://schemas.openxmlformats.org/markup-compatibility/2006">
    <mc:Choice Requires="x15">
      <x15ac:absPath xmlns:x15ac="http://schemas.microsoft.com/office/spreadsheetml/2010/11/ac" url="C:\Users\Informatica\Desktop\"/>
    </mc:Choice>
  </mc:AlternateContent>
  <xr:revisionPtr revIDLastSave="6" documentId="13_ncr:1_{8D2C3DFB-3533-4519-8E89-0CC430790839}" xr6:coauthVersionLast="47" xr6:coauthVersionMax="47" xr10:uidLastSave="{1D85CF31-3A71-4A25-B87E-CD6814E3CB66}"/>
  <bookViews>
    <workbookView xWindow="-120" yWindow="-120" windowWidth="20730" windowHeight="11040" firstSheet="6" activeTab="6" xr2:uid="{00000000-000D-0000-FFFF-FFFF00000000}"/>
  </bookViews>
  <sheets>
    <sheet name="1.Verificación de Anexos" sheetId="7" r:id="rId1"/>
    <sheet name="2.Seguros" sheetId="8" r:id="rId2"/>
    <sheet name="3.Comerciales" sheetId="9" r:id="rId3"/>
    <sheet name="4.Financieros" sheetId="1" r:id="rId4"/>
    <sheet name="5.Experiencia" sheetId="4" r:id="rId5"/>
    <sheet name="6.Técnica" sheetId="10" r:id="rId6"/>
    <sheet name="7.Evaluación" sheetId="3"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9" roundtripDataSignature="AMtx7mhmDPHNUaYln2McvdcdRgPbJDrHyA=="/>
    </ext>
  </extLst>
</workbook>
</file>

<file path=xl/calcChain.xml><?xml version="1.0" encoding="utf-8"?>
<calcChain xmlns="http://schemas.openxmlformats.org/spreadsheetml/2006/main">
  <c r="F30" i="3" l="1"/>
  <c r="D30" i="3" s="1"/>
  <c r="D32" i="3" l="1"/>
  <c r="D31" i="3"/>
  <c r="K51" i="3"/>
  <c r="K44" i="3"/>
  <c r="K34" i="3"/>
  <c r="H10" i="3"/>
  <c r="F10" i="3"/>
  <c r="F21" i="3" s="1"/>
  <c r="D38" i="3"/>
  <c r="I90" i="3"/>
  <c r="I80" i="3"/>
  <c r="I70" i="3"/>
  <c r="I60" i="3"/>
  <c r="I50" i="3"/>
  <c r="N10" i="3"/>
  <c r="N11" i="3" s="1"/>
  <c r="F17" i="3" l="1"/>
  <c r="O20" i="3"/>
  <c r="O21" i="3"/>
  <c r="O19" i="3"/>
  <c r="O17" i="3" l="1"/>
  <c r="Y18" i="3"/>
  <c r="Y19" i="3"/>
  <c r="Y20" i="3"/>
  <c r="Y21" i="3"/>
  <c r="Y17" i="3"/>
  <c r="F18" i="3"/>
  <c r="H18" i="3"/>
  <c r="H17" i="3" l="1"/>
  <c r="H20" i="3"/>
  <c r="F19" i="3"/>
  <c r="H21" i="3"/>
  <c r="F20" i="3"/>
  <c r="H19" i="3"/>
  <c r="P28" i="3" l="1"/>
  <c r="T17" i="3" l="1"/>
  <c r="T18" i="3"/>
  <c r="T19" i="3"/>
  <c r="K91" i="3"/>
  <c r="K81" i="3"/>
  <c r="K71" i="3"/>
  <c r="K61" i="3"/>
  <c r="F29" i="3"/>
  <c r="H29" i="3" s="1"/>
  <c r="G30" i="3"/>
  <c r="S10" i="3"/>
  <c r="L87" i="4"/>
  <c r="L88" i="4"/>
  <c r="L89" i="4"/>
  <c r="L90" i="4"/>
  <c r="L91" i="4"/>
  <c r="K87" i="4"/>
  <c r="K88" i="4"/>
  <c r="K89" i="4"/>
  <c r="K90" i="4"/>
  <c r="K91" i="4"/>
  <c r="L72" i="4"/>
  <c r="L70" i="4"/>
  <c r="K68" i="4"/>
  <c r="L53" i="4"/>
  <c r="L50" i="4"/>
  <c r="L49" i="4"/>
  <c r="L18" i="4"/>
  <c r="L17" i="4"/>
  <c r="K18" i="4"/>
  <c r="K19" i="4"/>
  <c r="L19" i="4" s="1"/>
  <c r="K17" i="4"/>
  <c r="K16" i="4"/>
  <c r="B66" i="4"/>
  <c r="B47" i="4"/>
  <c r="B39" i="4"/>
  <c r="B57" i="4" s="1"/>
  <c r="B76" i="4" s="1"/>
  <c r="B94" i="4" s="1"/>
  <c r="B30" i="4"/>
  <c r="L28" i="4"/>
  <c r="L45" i="4" s="1"/>
  <c r="L64" i="4" s="1"/>
  <c r="L82" i="4" s="1"/>
  <c r="K28" i="4"/>
  <c r="K45" i="4" s="1"/>
  <c r="K64" i="4" s="1"/>
  <c r="K82" i="4" s="1"/>
  <c r="B12" i="4"/>
  <c r="L11" i="4"/>
  <c r="P17" i="1"/>
  <c r="M17" i="1"/>
  <c r="J17" i="1"/>
  <c r="G17" i="1"/>
  <c r="E17" i="1"/>
  <c r="D17" i="1"/>
  <c r="C10" i="1"/>
  <c r="V59" i="3"/>
  <c r="V44" i="3"/>
  <c r="R10" i="3"/>
  <c r="L11" i="3"/>
  <c r="S11" i="3" s="1"/>
  <c r="P40" i="3" l="1"/>
  <c r="P39" i="3"/>
  <c r="P54" i="3"/>
  <c r="P55" i="3"/>
  <c r="F32" i="3"/>
  <c r="H32" i="3" s="1"/>
  <c r="T20" i="3"/>
  <c r="T21" i="3"/>
  <c r="Y10" i="3" l="1"/>
  <c r="Z17" i="3" s="1"/>
  <c r="G26" i="3"/>
  <c r="V92" i="3"/>
  <c r="V81" i="3"/>
  <c r="V70" i="3"/>
  <c r="I29" i="3" l="1"/>
  <c r="I30" i="3"/>
  <c r="I31" i="3" s="1"/>
  <c r="I32" i="3" s="1"/>
  <c r="P77" i="3"/>
  <c r="P76" i="3"/>
  <c r="P88" i="3"/>
  <c r="P87" i="3"/>
  <c r="P66" i="3"/>
  <c r="P65" i="3"/>
  <c r="K29" i="3"/>
  <c r="Z20" i="3"/>
  <c r="Z21" i="3"/>
  <c r="F31" i="3" l="1"/>
  <c r="H31" i="3" s="1"/>
  <c r="K32" i="3"/>
  <c r="K30" i="3"/>
  <c r="K31" i="3" l="1"/>
  <c r="K33" i="3" s="1"/>
  <c r="F33" i="3"/>
  <c r="K42" i="3" l="1"/>
  <c r="K41" i="3"/>
  <c r="K43" i="3"/>
  <c r="K35" i="3"/>
  <c r="K40" i="3"/>
  <c r="O92" i="3"/>
  <c r="O89" i="3"/>
  <c r="N89" i="3"/>
  <c r="O78" i="3"/>
  <c r="N78" i="3"/>
  <c r="O67" i="3"/>
  <c r="N67" i="3"/>
  <c r="O56" i="3"/>
  <c r="N56" i="3"/>
  <c r="Q40" i="3"/>
  <c r="Q39" i="3"/>
  <c r="O41" i="3"/>
  <c r="N41" i="3"/>
  <c r="N35" i="3"/>
  <c r="K36" i="3" l="1"/>
  <c r="K37" i="3"/>
  <c r="K38" i="3"/>
  <c r="S39" i="3"/>
  <c r="T39" i="3" s="1"/>
  <c r="K39" i="3"/>
  <c r="Q41" i="3"/>
  <c r="S40" i="3"/>
  <c r="T40" i="3" s="1"/>
  <c r="K45" i="3" l="1"/>
  <c r="K46" i="3" s="1"/>
  <c r="U39" i="3"/>
  <c r="V39" i="3" s="1"/>
  <c r="W39" i="3" s="1"/>
  <c r="T41" i="3"/>
  <c r="K52" i="3" l="1"/>
  <c r="U41" i="3"/>
  <c r="K53" i="3" l="1"/>
  <c r="K54" i="3" s="1"/>
  <c r="K55" i="3"/>
  <c r="V41" i="3"/>
  <c r="W41" i="3"/>
  <c r="V45" i="3" s="1"/>
  <c r="Q17" i="3" s="1"/>
  <c r="K92" i="3" l="1"/>
  <c r="K93" i="3" s="1"/>
  <c r="K94" i="3" s="1"/>
  <c r="K82" i="3"/>
  <c r="K85" i="3" s="1"/>
  <c r="K86" i="3" s="1"/>
  <c r="J20" i="3" s="1"/>
  <c r="K20" i="3" s="1"/>
  <c r="K72" i="3"/>
  <c r="K75" i="3" s="1"/>
  <c r="K76" i="3" s="1"/>
  <c r="J19" i="3" s="1"/>
  <c r="K19" i="3" s="1"/>
  <c r="K62" i="3"/>
  <c r="R17" i="3"/>
  <c r="K36" i="4"/>
  <c r="L36" i="4" s="1"/>
  <c r="K35" i="4"/>
  <c r="L35" i="4" s="1"/>
  <c r="K56" i="3" l="1"/>
  <c r="J17" i="3" s="1"/>
  <c r="K17" i="3" s="1"/>
  <c r="K83" i="3"/>
  <c r="K84" i="3" s="1"/>
  <c r="K65" i="3"/>
  <c r="K66" i="3" s="1"/>
  <c r="J18" i="3" s="1"/>
  <c r="K18" i="3" s="1"/>
  <c r="K63" i="3"/>
  <c r="K64" i="3" s="1"/>
  <c r="K73" i="3"/>
  <c r="K74" i="3" s="1"/>
  <c r="K95" i="3"/>
  <c r="K96" i="3" s="1"/>
  <c r="J21" i="3" s="1"/>
  <c r="K21" i="3" s="1"/>
  <c r="K49" i="4"/>
  <c r="B84" i="4" l="1"/>
  <c r="K86" i="4"/>
  <c r="L86" i="4" s="1"/>
  <c r="L83" i="4"/>
  <c r="L84" i="4" s="1"/>
  <c r="K73" i="4"/>
  <c r="L73" i="4" s="1"/>
  <c r="K72" i="4"/>
  <c r="K71" i="4"/>
  <c r="K70" i="4"/>
  <c r="K69" i="4"/>
  <c r="L68" i="4"/>
  <c r="L65" i="4"/>
  <c r="L66" i="4" s="1"/>
  <c r="E15" i="1"/>
  <c r="E13" i="1"/>
  <c r="N17" i="1"/>
  <c r="H15" i="1"/>
  <c r="H13" i="1"/>
  <c r="H17" i="1"/>
  <c r="Q15" i="1"/>
  <c r="Q13" i="1"/>
  <c r="Q17" i="1"/>
  <c r="N15" i="1"/>
  <c r="N13" i="1"/>
  <c r="L92" i="4" l="1"/>
  <c r="L94" i="4" s="1"/>
  <c r="L95" i="4" s="1"/>
  <c r="L74" i="4"/>
  <c r="L76" i="4" s="1"/>
  <c r="L77" i="4" s="1"/>
  <c r="S12" i="3"/>
  <c r="K54" i="4" l="1"/>
  <c r="K53" i="4"/>
  <c r="K52" i="4"/>
  <c r="K51" i="4"/>
  <c r="K50" i="4"/>
  <c r="L46" i="4"/>
  <c r="L47" i="4" s="1"/>
  <c r="K34" i="4"/>
  <c r="L34" i="4" s="1"/>
  <c r="K33" i="4"/>
  <c r="L33" i="4" s="1"/>
  <c r="K32" i="4"/>
  <c r="L32" i="4" s="1"/>
  <c r="L29" i="4"/>
  <c r="L30" i="4" s="1"/>
  <c r="L37" i="4" l="1"/>
  <c r="L39" i="4" s="1"/>
  <c r="L40" i="4" s="1"/>
  <c r="L55" i="4"/>
  <c r="L57" i="4" s="1"/>
  <c r="L58" i="4" s="1"/>
  <c r="L12" i="3"/>
  <c r="K13" i="3" s="1"/>
  <c r="L13" i="3" s="1"/>
  <c r="R13" i="3"/>
  <c r="S13" i="3" s="1"/>
  <c r="U17" i="3" s="1"/>
  <c r="L17" i="3" l="1"/>
  <c r="AB17" i="3" s="1"/>
  <c r="U20" i="3"/>
  <c r="U21" i="3"/>
  <c r="K17" i="1"/>
  <c r="K15" i="1"/>
  <c r="K13" i="1"/>
  <c r="L19" i="3" l="1"/>
  <c r="L20" i="3"/>
  <c r="AB20" i="3" s="1"/>
  <c r="L21" i="3"/>
  <c r="AB21" i="3" s="1"/>
  <c r="Q54" i="3"/>
  <c r="Q55" i="3"/>
  <c r="S55" i="3" s="1"/>
  <c r="T55" i="3" s="1"/>
  <c r="Q88" i="3"/>
  <c r="Q87" i="3"/>
  <c r="Q77" i="3"/>
  <c r="S77" i="3" s="1"/>
  <c r="T77" i="3" s="1"/>
  <c r="Q76" i="3"/>
  <c r="Q66" i="3"/>
  <c r="S66" i="3" s="1"/>
  <c r="T66" i="3" s="1"/>
  <c r="Q65" i="3"/>
  <c r="L12" i="4"/>
  <c r="K15" i="4"/>
  <c r="L15" i="4" s="1"/>
  <c r="K14" i="4"/>
  <c r="L14" i="4" s="1"/>
  <c r="L20" i="4" l="1"/>
  <c r="L22" i="4" s="1"/>
  <c r="L23" i="4" s="1"/>
  <c r="S76" i="3"/>
  <c r="T76" i="3" s="1"/>
  <c r="Q78" i="3"/>
  <c r="S65" i="3"/>
  <c r="T65" i="3" s="1"/>
  <c r="Q67" i="3"/>
  <c r="S87" i="3"/>
  <c r="T87" i="3" s="1"/>
  <c r="Q89" i="3"/>
  <c r="S88" i="3"/>
  <c r="T88" i="3" s="1"/>
  <c r="S54" i="3"/>
  <c r="T54" i="3" s="1"/>
  <c r="Q56" i="3"/>
  <c r="T56" i="3" l="1"/>
  <c r="U54" i="3"/>
  <c r="U87" i="3"/>
  <c r="T89" i="3"/>
  <c r="T67" i="3"/>
  <c r="U65" i="3"/>
  <c r="T78" i="3"/>
  <c r="U76" i="3"/>
  <c r="U78" i="3" l="1"/>
  <c r="V76" i="3"/>
  <c r="V65" i="3"/>
  <c r="U67" i="3"/>
  <c r="V87" i="3"/>
  <c r="U89" i="3" s="1"/>
  <c r="U56" i="3"/>
  <c r="V54" i="3"/>
  <c r="V56" i="3" l="1"/>
  <c r="W54" i="3"/>
  <c r="W56" i="3" s="1"/>
  <c r="V60" i="3" s="1"/>
  <c r="W87" i="3"/>
  <c r="V67" i="3"/>
  <c r="W65" i="3"/>
  <c r="W67" i="3" s="1"/>
  <c r="V71" i="3" s="1"/>
  <c r="Q19" i="3" s="1"/>
  <c r="V78" i="3"/>
  <c r="W76" i="3"/>
  <c r="W78" i="3" s="1"/>
  <c r="W89" i="3" l="1"/>
  <c r="V93" i="3" s="1"/>
  <c r="Q21" i="3" s="1"/>
  <c r="V89" i="3"/>
  <c r="V82" i="3"/>
  <c r="Q18" i="3"/>
  <c r="R18" i="3" s="1"/>
  <c r="R19" i="3"/>
  <c r="R21" i="3" l="1"/>
  <c r="Q20" i="3"/>
  <c r="R20" i="3" s="1"/>
</calcChain>
</file>

<file path=xl/sharedStrings.xml><?xml version="1.0" encoding="utf-8"?>
<sst xmlns="http://schemas.openxmlformats.org/spreadsheetml/2006/main" count="800" uniqueCount="411">
  <si>
    <t>INVITACIÓN A COTIZAR VA-DSL-001-2024</t>
  </si>
  <si>
    <t>1. VERIFICACIÓN DE ANEXOS</t>
  </si>
  <si>
    <t>CONCEPTO</t>
  </si>
  <si>
    <t>SEGURIDAD LAS AMÉRICAS LTDA</t>
  </si>
  <si>
    <t>SEGURIDAD RECORD DE COLOMBIA LTDA</t>
  </si>
  <si>
    <t>EXPERTOS SEGURIDAD LTDA</t>
  </si>
  <si>
    <t>MIRO SEGURIDAD LTDA</t>
  </si>
  <si>
    <t>SERACIS LTDA</t>
  </si>
  <si>
    <t>PRESENTADO</t>
  </si>
  <si>
    <t>FOLIO</t>
  </si>
  <si>
    <t>Formato 1</t>
  </si>
  <si>
    <t>SÍ</t>
  </si>
  <si>
    <t>2 - Seguridad_Las_Américas_Parte_1_Propuesta_UdeA_vf.pdf</t>
  </si>
  <si>
    <t>1 - 4.1_JURIDICOS_OK.pdf</t>
  </si>
  <si>
    <t>4 - PROPUESTA_EXPERTOS_SEGURIDAD_LTDA.pdf</t>
  </si>
  <si>
    <t>4.1_Requisitos_juridicos_y_4.3_Requisitos_de_seguros.zip</t>
  </si>
  <si>
    <t>11 - SERACIS_LTDA_PARTE_1.pdf</t>
  </si>
  <si>
    <t>Formato 2</t>
  </si>
  <si>
    <t>Formato_2_propuesta+economica_vf.pdf</t>
  </si>
  <si>
    <t>FORMATO_2._PROPUESTA_ECONOMICA_SEGURCOL.pdf</t>
  </si>
  <si>
    <t>394 - PROPUESTA_EXPERTOS_SEGURIDAD_LTDA.pdf</t>
  </si>
  <si>
    <t>1._Formato_2_propuesta_economica.pdf</t>
  </si>
  <si>
    <t>34._Formato_2_propuesta_economica.xlsx</t>
  </si>
  <si>
    <t>Formato 3</t>
  </si>
  <si>
    <t>100 - Seguridad_Las_Américas_Parte_2_Propuesta_UdeA_vf.pdf</t>
  </si>
  <si>
    <t>61 - 4.4_COMERCIAL_4.5_FINANCIERA_4.6_EXPERIENCIA_4.7_TECNICOS_Y_SST_OK.pdf</t>
  </si>
  <si>
    <t>334 - PROPUESTA_EXPERTOS_SEGURIDAD_LTDA.pdf</t>
  </si>
  <si>
    <t>4.7_Requisitos_tcnicos.zip</t>
  </si>
  <si>
    <t>135 - SERACIS_LTDA_PARTE_2.pdf</t>
  </si>
  <si>
    <t>Formato 4</t>
  </si>
  <si>
    <t>28 - Seguridad_Las_Américas_Parte_1_Propuesta_UdeA_vf.pdf</t>
  </si>
  <si>
    <t>21  - 4.1_JURIDICOS_OK.pdf</t>
  </si>
  <si>
    <t>30 - PROPUESTA_EXPERTOS_SEGURIDAD_LTDA.pdf</t>
  </si>
  <si>
    <t>17 - SERACIS_LTDA_PARTE_1.pdf</t>
  </si>
  <si>
    <t>CUMPLE</t>
  </si>
  <si>
    <t>2. REQUISITOS DE SEGUROS</t>
  </si>
  <si>
    <t>PÓLIZAS</t>
  </si>
  <si>
    <t>Seguro de vida colectivo</t>
  </si>
  <si>
    <t>Sí</t>
  </si>
  <si>
    <t>121 - Seguridad_Las_Américas_Parte_1_Propuesta_UdeA_vf.pdf</t>
  </si>
  <si>
    <t>1 - 4.3_SEGUROS_OK.pdf</t>
  </si>
  <si>
    <t>233 - PROPUESTA_EXPERTOS_SEGURIDAD_LTDA.pdf</t>
  </si>
  <si>
    <t>1 - 4.1_Requisitos_juridicos_y_4.3_Requisitos_de_seguros.zip (2)</t>
  </si>
  <si>
    <t>1 - SERACIS_LTDA_PARTE_2.pdf</t>
  </si>
  <si>
    <t>Empresa</t>
  </si>
  <si>
    <t>Metlife</t>
  </si>
  <si>
    <t>Seguros de Vida del Estado S.A.</t>
  </si>
  <si>
    <t>Compañía Mundial de Seguros S.A.</t>
  </si>
  <si>
    <t>Número de póliza</t>
  </si>
  <si>
    <t>. 65-85-1000000638</t>
  </si>
  <si>
    <t>M 200036142</t>
  </si>
  <si>
    <t>CAT 2000405086</t>
  </si>
  <si>
    <t>Vigencia (desde - hasta)</t>
  </si>
  <si>
    <t>2024/02/01 al 2025/02/01</t>
  </si>
  <si>
    <t>2023/12/01 - 2024-12-01</t>
  </si>
  <si>
    <t>2024/03/26 - 26/03/2025</t>
  </si>
  <si>
    <t>2023/12/20 - 2024-12-20</t>
  </si>
  <si>
    <t>2024/06/01 - 2025/06/01</t>
  </si>
  <si>
    <t>No contributivo</t>
  </si>
  <si>
    <t>Póliza permanente de Responsabilidad Civil Extracontractual</t>
  </si>
  <si>
    <t>131 - Seguridad_Las_Américas_Parte_1_Propuesta_UdeA_vf.pdf</t>
  </si>
  <si>
    <t>9 - 4.3_SEGUROS_OK.pdf</t>
  </si>
  <si>
    <t>239 - PROPUESTA_EXPERTOS_SEGURIDAD_LTDA.pdf</t>
  </si>
  <si>
    <t>28 - SERACIS_LTDA_PARTE_2.pdf</t>
  </si>
  <si>
    <t>Seguros del Estado SA</t>
  </si>
  <si>
    <t>Seguros del Estado S.A.</t>
  </si>
  <si>
    <t>Seguros Confianza S.A.</t>
  </si>
  <si>
    <t>AXA Colpatria Seguros S.A.</t>
  </si>
  <si>
    <t>11-02-101005717</t>
  </si>
  <si>
    <t>EC-25003381</t>
  </si>
  <si>
    <t>18-02-101003189</t>
  </si>
  <si>
    <t>01/12/2023 - 01/12/2024</t>
  </si>
  <si>
    <t>01/01/2024 - 01/01/2025</t>
  </si>
  <si>
    <t>22/08/2023 - 22/08/2024</t>
  </si>
  <si>
    <t>15/02/2024 - 15/02/2025</t>
  </si>
  <si>
    <t>14/07/2023 - 14/07/2024</t>
  </si>
  <si>
    <t>Suma asegurada (no menor a 400 smmlv)</t>
  </si>
  <si>
    <t>Póliza de seriedad de la propuesta</t>
  </si>
  <si>
    <t>143 - Seguridad_Las_Américas_Parte_1_Propuesta_UdeA_vf.pdf</t>
  </si>
  <si>
    <t>15 - 4.3_SEGUROS_OK.pdf</t>
  </si>
  <si>
    <t>243 - PROPUESTA_EXPERTOS_SEGURIDAD_LTDA.pdf</t>
  </si>
  <si>
    <t>47 - SERACIS_LTDA_PARTE_2.pdf</t>
  </si>
  <si>
    <t>Zurich Colombia Seguros S.A.</t>
  </si>
  <si>
    <t>BCH-100035249</t>
  </si>
  <si>
    <t>M-100231238</t>
  </si>
  <si>
    <t>14-44-101211304</t>
  </si>
  <si>
    <t>SGPL-147762933-1</t>
  </si>
  <si>
    <t>NB-100325768</t>
  </si>
  <si>
    <t>Vigencia (desde - hasta) - min 60 días</t>
  </si>
  <si>
    <t>06/06/2024 - 15/09/2024</t>
  </si>
  <si>
    <t>06/06/2024 - 16/09/2024</t>
  </si>
  <si>
    <t>06/06/2024 - 15/08/2024</t>
  </si>
  <si>
    <t>06/06/2024 - 18/08/2024</t>
  </si>
  <si>
    <t>06/06/2024 - 06/09/2024</t>
  </si>
  <si>
    <t>Suma asegurada (10% ppto oficial)</t>
  </si>
  <si>
    <t>3. REQUISITOS COMERCIALES</t>
  </si>
  <si>
    <t>REQUISITO</t>
  </si>
  <si>
    <t>Propuesta en pesos colombianos</t>
  </si>
  <si>
    <t>393 - PROPUESTA_EXPERTOS_SEGURIDAD_LTDA.pdf</t>
  </si>
  <si>
    <t>Inscrito en familia 921215</t>
  </si>
  <si>
    <t>10 - Seguridad_Las_Américas_Parte_2_Propuesta_UdeA_vf.pdf</t>
  </si>
  <si>
    <t>5 -4.4_COMERCIAL_4.5_FINANCIERA_4.6_EXPERIENCIA_4.7_TECNICOS_Y_SST_OK.pdf</t>
  </si>
  <si>
    <t>251 - PROPUESTA_EXPERTOS_SEGURIDAD_LTDA.pdf</t>
  </si>
  <si>
    <t>6 - 4.4_Requisitos_comerciales_4.5_Req_Financiero_4.6_Req_Experiencia.zip</t>
  </si>
  <si>
    <t>65 - SERACIS_LTDA_PARTE_2.pdf</t>
  </si>
  <si>
    <t>Inscrito en familia 921217</t>
  </si>
  <si>
    <t>4. REQUISITOS FINANCIEROS</t>
  </si>
  <si>
    <t>Capital de trabajo</t>
  </si>
  <si>
    <t>Presupuesto oficial:</t>
  </si>
  <si>
    <t>FÓRMULA</t>
  </si>
  <si>
    <t>RESULTADO</t>
  </si>
  <si>
    <t>VALOR</t>
  </si>
  <si>
    <t>CUMPLE (SI/NO)</t>
  </si>
  <si>
    <t>Índice de Liquidez:</t>
  </si>
  <si>
    <t>(Activo corriente/Pasivo corriente)</t>
  </si>
  <si>
    <t>Igual o superior a uno punto cinco (1.5) </t>
  </si>
  <si>
    <t>8 - Seguridad_Las_Américas_Parte_2_Propuesta_UdeA_vf.pdf</t>
  </si>
  <si>
    <t>4 - PARTE 4.4_COMERCIAL_4.5_FINANCIERA_4.6_EXPERIENCIA_4.7_TECNICOS_Y_SST_OK.pdf</t>
  </si>
  <si>
    <t>249 - PROPUESTA_EXPERTOS_SEGURIDAD_LTDA.pdf</t>
  </si>
  <si>
    <t>4 -4.4_Requisitos_comerciales_4.5_Req_Financiero_4.6_Req_Experiencia.zip - 1. RUP Junio 4 2024</t>
  </si>
  <si>
    <t>63 - SERACIS_LTDA_PARTE_2.pdf</t>
  </si>
  <si>
    <t>Índice de Endeudamiento</t>
  </si>
  <si>
    <t>(Pasivo total/Activo total)</t>
  </si>
  <si>
    <t>Igual o menor a cero punto seis (0.6) </t>
  </si>
  <si>
    <t>Activo corriente - (menos) Pasivo corriente</t>
  </si>
  <si>
    <t>Igual o superior al 20% del presupuesto oficial</t>
  </si>
  <si>
    <t>_Req_Experiencia.zip - 1. RUP Junio 4 2024</t>
  </si>
  <si>
    <t>Información tomada del RUP aportado con corte al 31/12/2023</t>
  </si>
  <si>
    <t>5. REQUISITOS DE EXPERIENCIA</t>
  </si>
  <si>
    <t>SMMLV 2024</t>
  </si>
  <si>
    <t xml:space="preserve">Presupuesto Oficial </t>
  </si>
  <si>
    <t>Presupuesto oficial convertido en SMMLV del año 2022</t>
  </si>
  <si>
    <t>Ítem</t>
  </si>
  <si>
    <t xml:space="preserve">Contrato </t>
  </si>
  <si>
    <t>Contratante</t>
  </si>
  <si>
    <t>Fecha Inicio contrato día/mes/año</t>
  </si>
  <si>
    <t>Fecha Terminación contrato día/mes/año</t>
  </si>
  <si>
    <t>SMMLV del año de finalización del contrato</t>
  </si>
  <si>
    <r>
      <t xml:space="preserve">Forma de ejecución </t>
    </r>
    <r>
      <rPr>
        <i/>
        <sz val="10"/>
        <rFont val="Arial"/>
        <family val="2"/>
      </rPr>
      <t>(individual (I), en consorcio o Unión Temporal (CU))</t>
    </r>
  </si>
  <si>
    <t xml:space="preserve">% de Participación </t>
  </si>
  <si>
    <t xml:space="preserve">Valor total del contrato </t>
  </si>
  <si>
    <t>Valor ejecutado por el oferente según el % de participación</t>
  </si>
  <si>
    <t>Valor del contrato ejecutado por el proponente en SMMLV del año de finalización del contrato, según el % de participación</t>
  </si>
  <si>
    <t>N° RUP</t>
  </si>
  <si>
    <t>EMPRESA PARA LA SEGURIDAD URBANA - ESU</t>
  </si>
  <si>
    <t>I</t>
  </si>
  <si>
    <t>Entidad Pública</t>
  </si>
  <si>
    <t xml:space="preserve"> VA-DSL-034-208</t>
  </si>
  <si>
    <t>UNIVERSIDAD DE ANTIOQUIA</t>
  </si>
  <si>
    <t>EMPRESA PARA LA SEGURIDAD Y SOLUCIONES URBANAS - ESU</t>
  </si>
  <si>
    <t>ECOPETROL S.A</t>
  </si>
  <si>
    <t>CU</t>
  </si>
  <si>
    <t>GOBERNACION DE ANTIOQUIA</t>
  </si>
  <si>
    <t>00-172-2016</t>
  </si>
  <si>
    <t>U.A.E. DIRECCION DE IMPUESTOS Y ADUANAS NACIONALES</t>
  </si>
  <si>
    <t>SUMATORIA TOTAL EXPERIENCIA GENERAL EN SMMLV</t>
  </si>
  <si>
    <t>Sumatoria (Del valor total hasta seis contratos ejecutados) / Valor del presupuesto oficial en SMMLV del año 2024</t>
  </si>
  <si>
    <t>1008 DE 2014</t>
  </si>
  <si>
    <t>SERVICIO NACIONAL DE APRENDIZAJE SENA</t>
  </si>
  <si>
    <t>UT</t>
  </si>
  <si>
    <t>CN2018-0370</t>
  </si>
  <si>
    <t>EMPRESA DE TRANSPORTE MASIVO DEL VALLE DE ABURRA</t>
  </si>
  <si>
    <t>INDIVIDUAL</t>
  </si>
  <si>
    <t>CN2013-0216</t>
  </si>
  <si>
    <t>CT-2012-001740 R1</t>
  </si>
  <si>
    <t>EMPRESAS PUBLICAS DE MEDELLIN E.S.P</t>
  </si>
  <si>
    <t>GLI-10610003-125- 2017</t>
  </si>
  <si>
    <t>CO1.PCCNTR.704828 de 2018</t>
  </si>
  <si>
    <t>SENA</t>
  </si>
  <si>
    <t>ESU</t>
  </si>
  <si>
    <t>S/N</t>
  </si>
  <si>
    <t>UNIVERSIDAD PONTIFICA BOLIVARIANA</t>
  </si>
  <si>
    <t>38/2022</t>
  </si>
  <si>
    <t>DIRECCION SECCIONAL DE ADMINISTRACION JUDICIAL DE ARMENIA QUINDIO</t>
  </si>
  <si>
    <t>2017-322</t>
  </si>
  <si>
    <t>Dirección Ejecutiva Seccional de Administracion Judicial de Medellín</t>
  </si>
  <si>
    <t>00-173-2016</t>
  </si>
  <si>
    <t>DIAN</t>
  </si>
  <si>
    <t>441 de 2014</t>
  </si>
  <si>
    <t>UCC</t>
  </si>
  <si>
    <t>CO1.PCCNTR. 1519534 del 28 de abril de 2020 resultado del proceso SED-LP_x0002_DSA-002-2020</t>
  </si>
  <si>
    <t>Bogota DC (SED)</t>
  </si>
  <si>
    <t>VA-DSL-062-2020</t>
  </si>
  <si>
    <t>U DE A</t>
  </si>
  <si>
    <t>EMPRESA PARA LA SEGURIDAD URBANA – ESU</t>
  </si>
  <si>
    <t>4600007928 de 2017</t>
  </si>
  <si>
    <t>DEPARTAMENTO DE ANTIOQUIA_x0002_SECRETARIA GENERAL</t>
  </si>
  <si>
    <t>0074 DEL 31 DE MARZO DE 2022</t>
  </si>
  <si>
    <t>INSTITUTO PARA EL DESARROLLO DE ANTIOQUIA -IDEA</t>
  </si>
  <si>
    <t>N/A</t>
  </si>
  <si>
    <t>CONSTRUCCIONES EL CONDOR S.A</t>
  </si>
  <si>
    <t>PACTIA S.A.S</t>
  </si>
  <si>
    <t>6. REQUISITOS  TÉCNICOS</t>
  </si>
  <si>
    <t>DESCRIPCIÓN</t>
  </si>
  <si>
    <t>Fecha visita:  12/06/2024 10:00 am Sede Administrativa
                              13/06/2024 3:30 pm Sede Canina</t>
  </si>
  <si>
    <t>Fecha visita: 12/06/2024 3 pm  Sede Administrativa
                            14/06/2024 10 am Sede Canina</t>
  </si>
  <si>
    <t>Fecha visita: 12/06/2024 1:30 pm  Sede Administrativa
                             13/06/2024 10 am Sede Canina</t>
  </si>
  <si>
    <t>Fecha visita:  12/06/2024 8:00 am Sede Administrativa
                              13/06/2024 2:00 pm Sede Canina</t>
  </si>
  <si>
    <t>Fecha visita:  13/06/2024  8 am  Sede Administrativa
                              13/06/2024 11:30 am Sede Canina</t>
  </si>
  <si>
    <t>ESTRUCTURA ORGANIZACIONAL</t>
  </si>
  <si>
    <t>Gerente de sede o similar</t>
  </si>
  <si>
    <r>
      <t xml:space="preserve">Leonardo Alonso Sierra Manosalva
Contrato fijo
Maestria en administración de empresas - 
Maestria en Ciberseguridad - Profesional en 
Administración de empresas - Oficial del 
Ejercito - Piloto de Drones - Consultor de 
Seguridad - evaluador de competencias 
laborales
20 Años de experirnncia
</t>
    </r>
    <r>
      <rPr>
        <b/>
        <sz val="10"/>
        <rFont val="Arial"/>
        <family val="2"/>
      </rPr>
      <t>(Se verifica la vinculación de la persona mediante la planilla de aportes a la Seguridad Social, del mes de mayo 2024)</t>
    </r>
  </si>
  <si>
    <r>
      <t xml:space="preserve">Claudia Soraya Pérez Corrales
Contrato a Término indefinido
Profesional en Comunicaciones y  relaciones corporativas, Especialista en Gerencia. 
16 años de Experiencia. 
</t>
    </r>
    <r>
      <rPr>
        <b/>
        <sz val="10"/>
        <rFont val="Arial"/>
        <family val="2"/>
      </rPr>
      <t>(Se verifica la vinculación de la persona mediante la planilla de aportes a la Seguridad Social, del mes de mayo 2024)</t>
    </r>
  </si>
  <si>
    <r>
      <t xml:space="preserve">Albeiro Henao Zuluaga, 
Contrato a Término indefinido
Administrador de empresas, con Especialización en mercadeo de servicios. 
30 años de experiencia
</t>
    </r>
    <r>
      <rPr>
        <b/>
        <sz val="10"/>
        <rFont val="Arial"/>
        <family val="2"/>
      </rPr>
      <t>(Se verifica la vinculación del personal mediante la planilla de aportes a la Seguridad Social, del mes de mayo 2024)</t>
    </r>
  </si>
  <si>
    <r>
      <t xml:space="preserve">Jesús Albeiro Marín Zapata,
 Contrato a Término indefinido.
 Contador Público, consultor en seguridad,
 36 años de experiencia.
</t>
    </r>
    <r>
      <rPr>
        <b/>
        <sz val="10"/>
        <rFont val="Arial"/>
        <family val="2"/>
      </rPr>
      <t>(Se verifica la vinculación del personal mediante la planilla de aportes a la Seguridad Social, del mes de mayo 2024)</t>
    </r>
  </si>
  <si>
    <r>
      <t xml:space="preserve">Santiago Alberto Gutiérrez Valencia,
Contrato a Término indefinido.
 Abogado, 
1 año 4 meses de experiencia en el cargo. 
</t>
    </r>
    <r>
      <rPr>
        <b/>
        <sz val="10"/>
        <rFont val="Arial"/>
        <family val="2"/>
      </rPr>
      <t>(Se verifica la vinculación del personal mediante la planilla de aportes a la Seguridad Social, del mes de mayo 2024)</t>
    </r>
  </si>
  <si>
    <t>Jefe de operaciones o similar</t>
  </si>
  <si>
    <r>
      <t xml:space="preserve">Rafael Alfredo Arrazola Díaz
Contrato fijo
Especialista en Administración de la 
seguridad - Especialista en administración 
de recursos militares - Profesional en 
ciencias militares - Mayor retirado - Oficial 
de cumplimiento - Piloto de operaciones 
RPAS - Curso supervisor.
10 Años de experiencia
</t>
    </r>
    <r>
      <rPr>
        <b/>
        <sz val="10"/>
        <rFont val="Arial"/>
        <family val="2"/>
      </rPr>
      <t>(Se verifica la vinculación de la persona mediante la planilla de aportes a la Seguridad Social, del mes de mayo 2024)</t>
    </r>
  </si>
  <si>
    <r>
      <t xml:space="preserve">Harol Salazar Torres, 
Contrato a Término indefinido
Título Profesional en ciencias militares , Especialización en seguridad y defensa Nacional. 8 años. 
</t>
    </r>
    <r>
      <rPr>
        <b/>
        <sz val="10"/>
        <rFont val="Arial"/>
        <family val="2"/>
      </rPr>
      <t>(Se verifica la vinculación de la persona mediante la planilla de aportes a la Seguridad Social, del mes de mayo 2024)</t>
    </r>
  </si>
  <si>
    <r>
      <t xml:space="preserve">Jorge Yesid Cardona Yepes,
Contrato a Término indefinido.
 Administrador de empresas con Especialización en administración de la seguridad. 
18 años de experiencia en el cargo. </t>
    </r>
    <r>
      <rPr>
        <b/>
        <sz val="10"/>
        <rFont val="Arial"/>
        <family val="2"/>
      </rPr>
      <t xml:space="preserve">
(Se verifica la vinculación del personal mediante la planilla de aportes a la Seguridad Social, del mes de mayo 2024))</t>
    </r>
  </si>
  <si>
    <r>
      <t xml:space="preserve">Julio Enrique Vargas Valdivieso, 
Contrato a Término indefinido
Comunicador social, Especialización en Marketing, 
18 años de experiencia 
</t>
    </r>
    <r>
      <rPr>
        <b/>
        <sz val="10"/>
        <rFont val="Arial"/>
        <family val="2"/>
      </rPr>
      <t>(Se verifica la vinculación del personal mediante la planilla de aportes a la Seguridad Social, del mes de mayo 2024)</t>
    </r>
  </si>
  <si>
    <r>
      <t xml:space="preserve">Yimy de Jesús Montenegro Chavarria
Contrato a Término indefinido
Administrador de empresas, especialista en Alta gerencia y 
profesional ciencia militares 
11 meses de experiencia en el cargo, 
</t>
    </r>
    <r>
      <rPr>
        <b/>
        <sz val="10"/>
        <rFont val="Arial"/>
        <family val="2"/>
      </rPr>
      <t>(Se verifica la vinculación del personal mediante la planilla de aportes a la Seguridad Social, del mes de mayo 2024)</t>
    </r>
  </si>
  <si>
    <t>Jefe de Talento humano o similar</t>
  </si>
  <si>
    <r>
      <t xml:space="preserve">Sulay Andrea Palacio Gutierrez
Contrato Indefinido
Técnica en Gestión del talento humano - 
Tecnologa en gestión humana - consultor de 
seguridad
14 años de experiencia
</t>
    </r>
    <r>
      <rPr>
        <b/>
        <sz val="10"/>
        <rFont val="Arial"/>
        <family val="2"/>
      </rPr>
      <t>(Se verifica la vinculación de la persona mediante la planilla de aportes a la Seguridad Social, del mes de mayo 2024)</t>
    </r>
  </si>
  <si>
    <r>
      <t xml:space="preserve">Juan Esteban Zapata Restrepo,
Contrato a Término indefinido
Psicólogo, 5 años de experiencia. 
</t>
    </r>
    <r>
      <rPr>
        <u/>
        <sz val="10"/>
        <rFont val="Arial"/>
        <family val="2"/>
      </rPr>
      <t xml:space="preserve">
</t>
    </r>
    <r>
      <rPr>
        <b/>
        <sz val="10"/>
        <rFont val="Arial"/>
        <family val="2"/>
      </rPr>
      <t>(Se verifica la vinculación de la persona mediante la planilla de aportes a la Seguridad Social, del mes de mayo 2024)</t>
    </r>
  </si>
  <si>
    <r>
      <t xml:space="preserve">Andrés Felipe Ramírez Roldán,
Contrato a Término indefinido.
 Abogado. Especialista en drecho de la seguridad socual y gerencia del Talento Humano
 11 años de experiencia en el cargo. 
</t>
    </r>
    <r>
      <rPr>
        <b/>
        <sz val="10"/>
        <rFont val="Arial"/>
        <family val="2"/>
      </rPr>
      <t>(Se verifica la vinculación del personal mediante la planilla de aportes a la Seguridad Social, del mes de mayo 2024)</t>
    </r>
  </si>
  <si>
    <r>
      <t xml:space="preserve">Germán León Giraldo Orozco, 
Contrato a Término indefinido.
Abogado con especialización en derecho labor
29 años de experiencia 
</t>
    </r>
    <r>
      <rPr>
        <b/>
        <sz val="10"/>
        <rFont val="Arial"/>
        <family val="2"/>
      </rPr>
      <t>(Se verifica la vinculación del personal mediante la planilla de aportes a la Seguridad Social, del mes de mayo 2024)</t>
    </r>
  </si>
  <si>
    <r>
      <t xml:space="preserve">Kelly Johana Mejia Alvárez,
Contrato a Término indefinido
 Profesional en criminalistica y abogada, 
especialista en derechos humanos y litigio internacional
8 meses de experiencia en el cargo, 
</t>
    </r>
    <r>
      <rPr>
        <b/>
        <sz val="10"/>
        <rFont val="Arial"/>
        <family val="2"/>
      </rPr>
      <t>(Se verifica la vinculación del personal mediante la planilla de aportes a la Seguridad Social, del mes de mayo 2024)</t>
    </r>
  </si>
  <si>
    <t>Investigador en Seguridad Privada</t>
  </si>
  <si>
    <r>
      <t xml:space="preserve">Tulio Acosta, Subteniente retirado, Profesional en ciencias militares, Especialista en Gerencia de Proyectos. 5 años de experiencia en el cargo, Contrato a Término fijo.
</t>
    </r>
    <r>
      <rPr>
        <b/>
        <sz val="10"/>
        <rFont val="Arial"/>
        <family val="2"/>
      </rPr>
      <t>(Se verifica la vinculación de la persona mediante la planilla de aportes a la Seguridad Social, del mes de mayo 2024)</t>
    </r>
  </si>
  <si>
    <r>
      <t xml:space="preserve">Carlos Mario Bautista, Abogado,
Contrato a Término indefinido
10 años de experiencia
</t>
    </r>
    <r>
      <rPr>
        <b/>
        <sz val="10"/>
        <rFont val="Arial"/>
        <family val="2"/>
      </rPr>
      <t>(Se verifica la vinculación de la persona mediante la planilla de aportes a la Seguridad Social, del mes de mayo 2024)</t>
    </r>
  </si>
  <si>
    <r>
      <t xml:space="preserve">Ramiro Hernán Londoño Jaramillo,
 Contrato a Término indefinido.
 Administrador de empresas. 
25 años de experiencia
</t>
    </r>
    <r>
      <rPr>
        <b/>
        <sz val="10"/>
        <rFont val="Arial"/>
        <family val="2"/>
      </rPr>
      <t>(Se verifica la vinculación del personal mediante la planilla de aportes a la Seguridad Social, del mes de mayo 2024)</t>
    </r>
  </si>
  <si>
    <r>
      <t xml:space="preserve">Juan David Gutierrez Cardona
Contrato indefinido
Administrador financiero, Especialista en lavado de activos, Consultor en Seguridad SVSP
30 años de experiencia
Oscar Restrepo Restrepo
Contrato indefinido
Procesos Administrativos/Investigador en seguridad SVSP
18 años de experiencia
</t>
    </r>
    <r>
      <rPr>
        <b/>
        <sz val="10"/>
        <rFont val="Arial"/>
        <family val="2"/>
      </rPr>
      <t>(Se verifica la vinculación del personal mediante la planilla de aportes a la SSeguridad Social, del mes de mayo 2024)</t>
    </r>
  </si>
  <si>
    <r>
      <t xml:space="preserve">Germán Rojas Triviño,
Contrato a Término indefinido
 Detective agente, 
4 años  de experiencia en el cargo
</t>
    </r>
    <r>
      <rPr>
        <b/>
        <sz val="10"/>
        <rFont val="Arial"/>
        <family val="2"/>
      </rPr>
      <t>(Se verifica la vinculación del personal mediante la planilla de aportes a la Seguridad Social, del mes de mayo 2024)</t>
    </r>
  </si>
  <si>
    <t>Coordinador de programación o similar</t>
  </si>
  <si>
    <r>
      <t xml:space="preserve">Andrei de Jesus Velez Colorado
Contrato fijo
Técnico en Criminalistica - Evaluador de 
competencias laborales - Tecnologia en 
criminalistica Curso de supervisor - 
9 años de experiencia
</t>
    </r>
    <r>
      <rPr>
        <b/>
        <sz val="10"/>
        <rFont val="Arial"/>
        <family val="2"/>
      </rPr>
      <t>(Se verifica la vinculación de la persona mediante la planilla de aportes a la Seguridad Social, del mes de mayo 2024)</t>
    </r>
  </si>
  <si>
    <r>
      <t xml:space="preserve">Jon Jairo Ortiz Acevedo,
Contrato a Término indefinido. 
Técnico en Administración de empresas, 
22 años de experiencia, 
</t>
    </r>
    <r>
      <rPr>
        <b/>
        <sz val="10"/>
        <rFont val="Arial"/>
        <family val="2"/>
      </rPr>
      <t>(Se verifica la vinculación de la persona mediante la planilla de aportes a la Seguridad Social, del mes de mayo 2024)</t>
    </r>
  </si>
  <si>
    <r>
      <t xml:space="preserve">Beatriz Helena Patiño Avendaño,
 Contrato a Término indefinido.
 Administradora de empresas, 
21 años de experiencia
</t>
    </r>
    <r>
      <rPr>
        <b/>
        <sz val="10"/>
        <rFont val="Arial"/>
        <family val="2"/>
      </rPr>
      <t>(Se verifica la vinculación del personal mediante la planilla de aportes a la Seguridad Social, del mes de mayo 2024)</t>
    </r>
  </si>
  <si>
    <r>
      <t xml:space="preserve">Mauricio Alberto Benítez Gómez, 
Contrato a término indefinido
Técnico en contaduría pública,
8 años de experiencia, 
</t>
    </r>
    <r>
      <rPr>
        <b/>
        <sz val="10"/>
        <rFont val="Arial"/>
        <family val="2"/>
      </rPr>
      <t>(Se verifica la vinculación del personal mediante la planilla de aportes a la Seguridad Social, del mes de mayo 2024)</t>
    </r>
  </si>
  <si>
    <r>
      <t xml:space="preserve">Diego León Sanchez, 
Contrato a Término indefinido
Asistente en administración de empresas
9 años de experiencia en el cargo
</t>
    </r>
    <r>
      <rPr>
        <b/>
        <sz val="10"/>
        <rFont val="Arial"/>
        <family val="2"/>
      </rPr>
      <t>(Se verifica la vinculación del personal mediante la planilla de aportes a la Seguridad Social, del mes de mayo 2024)</t>
    </r>
  </si>
  <si>
    <t>Operador de control (24 horas)</t>
  </si>
  <si>
    <r>
      <t xml:space="preserve">Santiago Ardila Ramírez
Contrato fijo
Reentrenamiento de Medios técnologicos - 
Bachiller academico 
4 años de experiencia
Carlos Augusto Aguirre Giraldo
Contrato de Obra Labor
Reentrenamiento de Medios técnologicos - 
Bachiller academico 
5 años de experiencia
</t>
    </r>
    <r>
      <rPr>
        <b/>
        <sz val="10"/>
        <rFont val="Arial"/>
        <family val="2"/>
      </rPr>
      <t>(Se verifica la vinculación de la persona mediante la planilla de aportes a la Seguridad Social, del mes de mayo 2024)</t>
    </r>
  </si>
  <si>
    <r>
      <t xml:space="preserve">Claudia Restrepo Londoño,
Contrtao a término indefinido
 Piloto de Dron, supervisor , supervisor Medios Tecnológicos, especialización en Medios Tecnológicos. 
11 años de experiencia.
</t>
    </r>
    <r>
      <rPr>
        <u/>
        <sz val="10"/>
        <rFont val="Arial"/>
        <family val="2"/>
      </rPr>
      <t xml:space="preserve">
</t>
    </r>
    <r>
      <rPr>
        <b/>
        <u/>
        <sz val="10"/>
        <rFont val="Arial"/>
        <family val="2"/>
      </rPr>
      <t>(Se verifica la vinculación de la persona mediante la planilla de aportes a la Seguridad Social, del mes de mayo 2024)</t>
    </r>
  </si>
  <si>
    <r>
      <t xml:space="preserve">Diego Alejandro Zapata Montoya
Contrato a Término indefinido.
 Técnico en asistencia administrativa. 
7 años de experiencia . o.
</t>
    </r>
    <r>
      <rPr>
        <b/>
        <sz val="10"/>
        <rFont val="Arial"/>
        <family val="2"/>
      </rPr>
      <t>(Se verifica la vinculación del personal mediante la planilla de aportes a la Seguridad Social, del mes de mayo 2024)</t>
    </r>
  </si>
  <si>
    <r>
      <t xml:space="preserve">Diana Carolina Rodriguez Castro
Contrato a término fijo 1 año
 semestre Psicologia/ 
Acreditada ante la SVSP
 9 años de experiencia, 
</t>
    </r>
    <r>
      <rPr>
        <b/>
        <sz val="10"/>
        <rFont val="Arial"/>
        <family val="2"/>
      </rPr>
      <t xml:space="preserve">
(Se verifica la vinculación del personal mediante la planilla de aportes a la Seguridad Social, del mes de mayo 2024)</t>
    </r>
  </si>
  <si>
    <r>
      <t xml:space="preserve">Rafael Duvan Tobón Garcias, 
Contrato a Término indefinido
Tecnólogo en gestión empresarial
 10 años de experiencia en el cargo
</t>
    </r>
    <r>
      <rPr>
        <b/>
        <sz val="10"/>
        <rFont val="Arial"/>
        <family val="2"/>
      </rPr>
      <t xml:space="preserve">
(Se verifica la vinculación del personal mediante la planilla de aportes a la Seguridad Social, del mes de mayo 2024)</t>
    </r>
  </si>
  <si>
    <t>Responsable de seguridad y Salud en el Trabajo</t>
  </si>
  <si>
    <r>
      <t xml:space="preserve">Lina Isabel Perez Sepulveda
Contrato a termino indefinido
Profesional en Administración de Empresas - 
Diplomado en Seguridad Vial - Curso 
auditor en HSEQ Normas ISO 9001 2015 - 
ISO 14001 - ISO 45001 2018 - ISO 19011 
2018 - Auditor Interno en Bacs - ISO 28000 
2007 - Técnologa en Gestión Empresarial
11 años de experiencia
</t>
    </r>
    <r>
      <rPr>
        <b/>
        <sz val="10"/>
        <rFont val="Arial"/>
        <family val="2"/>
      </rPr>
      <t>(Se verifica la vinculación de la persona mediante la planilla de aportes a la Seguridad Social, del mes de mayo 2024)</t>
    </r>
  </si>
  <si>
    <r>
      <t xml:space="preserve">Nazli lorena Sánchez Blandón, 
Contrato de prestación de servicios.
5 años de experiencia.
Ingeniera ambiental, Especialización en Seguridad y Salud en el Trabajo.  
</t>
    </r>
    <r>
      <rPr>
        <b/>
        <sz val="10"/>
        <rFont val="Arial"/>
        <family val="2"/>
      </rPr>
      <t xml:space="preserve">
(Se verifica la vinculación de la persona mediante la planilla de aportes a la Seguridad Social, del mes de mayo 2024)</t>
    </r>
  </si>
  <si>
    <r>
      <t xml:space="preserve">Eliana Diaz Hoyos
Contrato a Término indefinido.
 Ingeniera Industrial
4 años de experiencia en el cargo.
</t>
    </r>
    <r>
      <rPr>
        <b/>
        <sz val="10"/>
        <rFont val="Arial"/>
        <family val="2"/>
      </rPr>
      <t>(Se verifica la vinculación del personal mediante la planilla de aportes a la Seguridad Social, del mes de mayo 2024)</t>
    </r>
  </si>
  <si>
    <r>
      <t xml:space="preserve">Alejandra Granda Posada
Contrato a Término indefinido.
Psicóloga, especialista en SST 
23 años de experiencia, 
</t>
    </r>
    <r>
      <rPr>
        <b/>
        <sz val="10"/>
        <rFont val="Arial"/>
        <family val="2"/>
      </rPr>
      <t>(Se verifica la vinculación del personal mediante la planilla de aportes a la Seguridad Social, del mes de mayo 2024)</t>
    </r>
  </si>
  <si>
    <r>
      <t xml:space="preserve">Leidys Johana Badel  Hurtado,
Contrato a Término indefinido.
 Profesional en Salud Ocupacional
</t>
    </r>
    <r>
      <rPr>
        <b/>
        <sz val="10"/>
        <rFont val="Arial"/>
        <family val="2"/>
      </rPr>
      <t>(Se verifica la vinculación del personal mediante la planilla de aportes a la Seguridad Social, del mes de mayo 2024)</t>
    </r>
  </si>
  <si>
    <t>ESTRUCTURA OPERATIVA</t>
  </si>
  <si>
    <r>
      <t>Cantidad de Personal operativo</t>
    </r>
    <r>
      <rPr>
        <b/>
        <sz val="10"/>
        <rFont val="Arial"/>
        <family val="2"/>
      </rPr>
      <t xml:space="preserve"> (consultado en el APO de la SVSP  - 14/06/2024)</t>
    </r>
  </si>
  <si>
    <t>INFRAESTRUCTURA LOCATIVA - SUCURSAL O DOMICILIO PRINCIPAL EN EN EL ÁREA METROPOLITANA DEL VALE DE ABURRÁ</t>
  </si>
  <si>
    <t>Ubicación</t>
  </si>
  <si>
    <t>Calle 35 # 86-48, Simón Bolívar Medellín</t>
  </si>
  <si>
    <t>Carrera 80 #47-74, Floresta, Medellín</t>
  </si>
  <si>
    <t>Circular 4 #69 - 18,  Laureles, Medellín</t>
  </si>
  <si>
    <t>Carrera 41 # 14-74, El Poblado, Medellín</t>
  </si>
  <si>
    <t>Calle 47D #79 - 33, Floresta, Medellín.</t>
  </si>
  <si>
    <t>Fachada</t>
  </si>
  <si>
    <t>Descripción</t>
  </si>
  <si>
    <t>Se visita la dirección sumistrada por el proveedor, evidenciando: 
Una casa de dos plantas, con espacios bien señalizados: recepción, sala de espera, operaciones, gerencia, talento humano, armerrillo, Central de Monitoreo.
Zonas de reuniones, descanso y consumo de alimentos.
Estado de la estructura en buenas condiciones, aseado, organizado y  bien iluminado.</t>
  </si>
  <si>
    <t xml:space="preserve">Se visita la dirección sumistrada por el proveedor, evidenciando: 
Edificación propia, compuesta por 8 pisos y 2 sótanos. Áreas bien diferenciadas: Sistemas, Archivo, Sala de espera, cafetería,  Revisoría Fiscal, Auditoría, Facturación, Contabilidad, Comercial, Talento Humano, Sala de pruebas, Archivo, Personal, Nómina, Salud Ocupacional, Gestión Ambiental, Centro de Operaciones, COS, Programación, Operaciones, Polígrafo, Sala de Espera, zona de archivo y parqueaderos.
Estado de la estructura en excelentes condiciones.
</t>
  </si>
  <si>
    <t>Se visita la dirección sumistrada por el proveedor, evidenciando: 
Casa de tres plantas. Las áreas se encuentran correctamente demarcadas: recepción, afiliaciones, programación, carnetización, cocineta, sala de espera, almacén general (dotación y elementos de seguridad electrónica), oficina de Gerencia General, gerencia de operaciones, área de operaciones, área de seguridad y salud en el trabajo, innovación y desarrollo, gestión documental, Central de Monitoreo, área de auditorio y capacitaciones, área de pruebas para seguridad electrónica y área jurídica.</t>
  </si>
  <si>
    <t>Se visita la dirección sumistrada por el proveedor, evidenciando: 
Casa de dos plantas, ubicada en la dirección proporcionada por el oferente, debidamente señalizada. Compuesta por: parqueadero público, parqueadero privado, recepción, sala de espera externa, sala de espera interna, área de talento humano, nómina, auditoría, gerencia, sala de juntas, armerillo, centro de gestión documental, dirección comercial, central de monitoreo, bodega.
Estado de la estructura en muy buenas condiciones, aseado, organizado y  muy bien iluminado.</t>
  </si>
  <si>
    <t>Se visita la dirección sumistrada por el proveedor, evidenciando: 
Oficina principal en Medellín, ubicada en la dirección aportada por el proponente. Está compuesta por 2 casas de 2 plantas cada una, interconectadas internamente, con áreas bien  identificadas y diferenciadas: recepción, sala de espera, operaciones, oficina de talento humano, central de monitoreo, capacitaciones, archivo, área de seguridad electrónica, almacén de dotación, informática, jurídica, oficina de gerencia, área comercial, entre otras.
Zonas de descanso y consumo de alimentos. 
Estado de la estructura en buenas condiciones, aseado, organizado y  bien iluminado.
Reforma locativa en la central de monitoreo, abarcando la ampliación de área técnica.</t>
  </si>
  <si>
    <t>REVISIÓN DOCUMENTACIÓN PERSONAL OPERATIVO</t>
  </si>
  <si>
    <t>Revisión de expediente aleatorio</t>
  </si>
  <si>
    <r>
      <t xml:space="preserve">1 hoja de vida revisadas de manera aleatoria </t>
    </r>
    <r>
      <rPr>
        <b/>
        <sz val="10"/>
        <rFont val="Calibri"/>
        <family val="2"/>
      </rPr>
      <t>( NOMBRER: Diana Marcela Restrepo Ocampo - CÉDULA: 43.169.743  VIGILANTE</t>
    </r>
    <r>
      <rPr>
        <sz val="10"/>
        <rFont val="Calibri"/>
        <family val="2"/>
      </rPr>
      <t>) (Se solicitó, planilla de pago de parafiscales, collilas de pago mes completo y constancia de entrega de dotación)
Se evidencia que el valor declarado corresponde a los devengado por el empleado.
Periodicidad dotación: en el ingreso se hace entrega de dos dotaciones para 8 meses y posterior se hace entrega de la tercera dotación. (Pantalon, camisa, calzado, chaqueta, corbata, gorra, riata, apellidos) la señora Diana Marcela Restrepo recibió dotación el dia 08 de abril de 2024.</t>
    </r>
  </si>
  <si>
    <r>
      <t xml:space="preserve">1 hoja de vida revisadas de manera aleatoria </t>
    </r>
    <r>
      <rPr>
        <b/>
        <sz val="10"/>
        <rFont val="Calibri"/>
        <family val="2"/>
      </rPr>
      <t>( NOMBRER: Alexander Emilio Bravo Sanchez - CÉDULA: 8.203.110  VIGILANTE</t>
    </r>
    <r>
      <rPr>
        <sz val="10"/>
        <rFont val="Calibri"/>
        <family val="2"/>
      </rPr>
      <t xml:space="preserve">) (Se solicitó, planilla de pago de parafiscales, collilas de pago mes completo y constancia de entrega de dotación), los parafiscales se pagan en junio 15, se aporta la seguridad social con pago del 15  de mayo.
Se evidencia que el valor declarado corresponde a los devengado por el empleado.
Periodicidad dotación: en el ingreso se hace entrega de dos dotaciones para 8 meses y posterior se hace entrega de la tercera dotación. (Pantalon, camisa, calzado, chaqueta, corbata, gorra, riata, apellidos) El señor Alexander Emilio Bravo Sanchez, posee entrega de dotación completa al 29 de abril de 2024
</t>
    </r>
  </si>
  <si>
    <r>
      <t xml:space="preserve">1 hoja de vida revisadas de manera aleatoria ( NOMBRER: </t>
    </r>
    <r>
      <rPr>
        <b/>
        <sz val="10"/>
        <rFont val="Arial"/>
        <family val="2"/>
      </rPr>
      <t>Orley de Jesús Palacio Rua - CÉDULA: 8.015.302 VIGILANTE</t>
    </r>
    <r>
      <rPr>
        <sz val="10"/>
        <rFont val="Arial"/>
        <family val="2"/>
      </rPr>
      <t>) (Se solicitó, planilla de pago de parafiscales, collilas de pago mes completo y constancia de entrega de dotación) Los parafiscales se pagaran en junio 19 de acuerdo al ultimo digito del nit de la empresa, se aporta parafiscales del mes de abril.
Se evidencia que el valor declarado corresponde a los devengado por el empleado.
Periodicidad dotación: en el ingreso se hace entrega de dos dotaciones para 8 meses y posterior se hace entrega de la tercera dotación. (Pantalon, camisa, calzado, chaqueta, corbata, gorra, riata, apellidos) El señor Orley de Jesús Palacio recibió dotación el dia 18 de agosto de 2023.</t>
    </r>
  </si>
  <si>
    <r>
      <t xml:space="preserve">1 hoja de vida revisada de manera aleatoria </t>
    </r>
    <r>
      <rPr>
        <b/>
        <sz val="10"/>
        <rFont val="Calibri"/>
        <family val="2"/>
      </rPr>
      <t>( NOMBRER: Milton Andrés Amariles Beltran - CÉDULA 3.481.912 VIGILANTE</t>
    </r>
    <r>
      <rPr>
        <sz val="10"/>
        <rFont val="Calibri"/>
        <family val="2"/>
      </rPr>
      <t>) (Se solicitó, planilla de pago de parafiscales, collilas de pago mes completo y constancia de entrega de dotación)
Se evidencia que el valor declarado corresponde a los devengado por el empleado.
Periodicidad dotación: 3 dotaciones al año, en el ingreso se entregan dos dotaciones completas ( camisa, pantalon, riata, gorra o kepiz, calzado, apellido, placa) - Kardex. El señor Milton Andres Amariles Beltran se le entregó doctación 12/05/2024</t>
    </r>
  </si>
  <si>
    <r>
      <t xml:space="preserve">1 hoja de vida revisadas de manera aleatoria </t>
    </r>
    <r>
      <rPr>
        <b/>
        <sz val="10"/>
        <rFont val="Calibri"/>
        <family val="2"/>
      </rPr>
      <t>( NOMBRER: Juliana Andrea Garcia Chaverra - CÉDULA: 1.022.098.362 VIGILANTE</t>
    </r>
    <r>
      <rPr>
        <sz val="10"/>
        <rFont val="Calibri"/>
        <family val="2"/>
      </rPr>
      <t>) (Se solicitó, planilla de pago de parafiscales, collilas de pago mes completo y constancia de entrega de dotación) Los parafiscales se pagaran en junio 19 de acuerdo al ultimo digito del nit de la empresa (1), se aporta parafiscales del mes de abril.
Se evidencia que el valor declarado corresponde a los devengado por el empleado.
Se evidencia mediante kardex la entrega de dotación completa 12 de junio de 2014, Reata, Apellidos, Overol, Bota militar, Gorra, Chaquetas impermeable, chaleco reflectivo, casco.</t>
    </r>
  </si>
  <si>
    <t>INFRAESTRUCTURA - SEDE CANINA</t>
  </si>
  <si>
    <t>Ubicación geográfica (dirección de la Unidad canina) dentro del Área metropolitana del Valle de Aburrá o hasta 60 km de distancia del Municipio de Medellín</t>
  </si>
  <si>
    <t>Carrera 46 #44 - 15 interior 2153, Barrio Manchester.</t>
  </si>
  <si>
    <t>Carrera 136C #66-410, Corregimiento de San Cristóbal</t>
  </si>
  <si>
    <t>Vereda La Clara, Guarne, Antioquia.</t>
  </si>
  <si>
    <t>Kilómetro 1  autopista Medellín - Bogotá</t>
  </si>
  <si>
    <t>Vereda Hojas Anchas, finca el Pedrero. Guarne, Antioquia.</t>
  </si>
  <si>
    <r>
      <t xml:space="preserve">Se realiza visita a las instalaciones de la unidad canina del oferente, la cual cuenta con su respectiva identificación, tanto en el ingreso como en las zonas internas. Cuenta con pista de entrenamiento al aire libre , bien adecuada y en buen estado.  Caniles de transición, tenencia y recuperación que cuentan con las medidas reglamentarias, en buenas condiciones  y aseados. 
Cuenta con batería sanitaria unisex, pozo séptico, bodega de alimento.
Se evidencian caninos identificado por disciplinas.
Se cuenta con un espacio adecuado para la atención de primeros auxilios , con medicamentos básicos.
Cuenta con un espacio demarcado para el almacenamiento del concentrado y los insumos químicos. Se evidencia documentación en archivo físico.
Se toma registro fotográfico de la sede en la visita.
</t>
    </r>
    <r>
      <rPr>
        <b/>
        <sz val="10"/>
        <rFont val="Arial"/>
        <family val="2"/>
      </rPr>
      <t>Instalaciones ordenadas y en buen estado, se envidencia capacidad administrativa y operativa para atender el contrato de acuerda a las necesidades de la Universidad.</t>
    </r>
    <r>
      <rPr>
        <sz val="10"/>
        <rFont val="Arial"/>
        <family val="2"/>
      </rPr>
      <t xml:space="preserve">
</t>
    </r>
  </si>
  <si>
    <r>
      <t xml:space="preserve">Se realiza visita a las instalaciones de la unidad canina del oferente, la cual cuenta con su respectiva identificación, tanto en el ingreso como en las zonas internas.
Cuenta con pista de entrenamiento al aire libre , bien adecuada y en buen estado.  Caniles de transición, tenencia y recuperación que cuentan con las medidas reglamentarias, en buenas condiciones  y aseados. Cuenta con oficina, bodega de alimento, área de primeros auxilios, batería sanitaria, pozo séptico, bodega de elementos, cuarto de bioseguridad, cocineta, cuarto para banco de olores y seudos.
Se evidencia tablero de caninos identificado por disciplinas. La información se encuentra digital. Se imprime cuando es necesario o para dejar en los puestos.
El área de atención de primeros auxilios cuenta con medicamentos básicos.
En la unidad canina tiene presencia permanente  un entrenador, un mayordomo. Además cuenta con la presencia por días de un vigilante de apoyo para labores de entrenamiento de los canes. 
Se toma registro fotográfico de la sede en la visita.
</t>
    </r>
    <r>
      <rPr>
        <u/>
        <sz val="10"/>
        <rFont val="Arial"/>
        <family val="2"/>
      </rPr>
      <t xml:space="preserve">
</t>
    </r>
    <r>
      <rPr>
        <b/>
        <sz val="10"/>
        <rFont val="Arial"/>
        <family val="2"/>
      </rPr>
      <t>Instalaciones ordenadas y en buen estado, se envidencia capacidad administrativa y operativa para atender el contrato de acuerda a las necesidades de la Universidad.</t>
    </r>
    <r>
      <rPr>
        <sz val="10"/>
        <rFont val="Arial"/>
        <family val="2"/>
      </rPr>
      <t xml:space="preserve">
</t>
    </r>
  </si>
  <si>
    <r>
      <t xml:space="preserve">Se realiza visita a las instalaciones de la unidad canina del oferente, la cual se encuentra en la ubicación aportada. Cuenta con su respectiva identificación corporativa, tanto en el ingreso como en las zonas internas.
Cuenta con pistas de entrenamiento al aire libre , bien adecuadas, con elementos móviles y en buen estado.  Caniles de transición, tenencia y recuperación que cuentan con las medidas y materialidad reglamentarias, en buenas condiciones  y aseados. Cuenta con cocineta, oficina, bodega de alimento, área de primeros auxilios, batería sanitaria,, bodega de elementos, cuarto de bioseguridad, cuarto para banco de olores y seudos.
 La información de la sede y los canes se encuentra en tres copias (original en la sede administrativa, copia en la sede canina y backup en la nube). 
En la unidad canina tiene presencia permanente  un entrenador. El médico veterinario realiza inpección diariamente a los puestos.
Se toma registro fotográfico de la sede en la visita.
</t>
    </r>
    <r>
      <rPr>
        <b/>
        <sz val="10"/>
        <rFont val="Arial"/>
        <family val="2"/>
      </rPr>
      <t>Instalaciones ordenadas y en buen estado, se envidencia capacidad administrativa y operativa para atender el contrato de acuerda a las necesidades de la Universidad.</t>
    </r>
  </si>
  <si>
    <r>
      <t xml:space="preserve">Se realiza visita a la Unidad Canina la cual se encuentra debidamente identificada cumpliendo con las especificaciones exigidas por la Superintendencia y cumple con las condiciones exigidas por la universidad de Antioquia, cuenta con pista de entrenamiento, zona de esparcimiento, 72 caniles que cumplen con la norma y adecuados a satisfacción ( 2.50 x 2 ), 4 caniles de transición y/o cuarentena a mas de 100 metros de distancia de los caniles principales. La disposición de residuos biologicos y peligrosos cumplen con el plan de manejo , se hace recorrido a la sede donde se evidencia el plan de emergencias, con permiso del Cuerpo de Bomberos, licencia santitaria. Los archivos de propiedad de los caninos se encuentra al día en asuntos contables  y registros ante la superintendencia. La unidad cuenta con un espacio bien dotado para la atencio de urgencias veterinarias más convenio con la clínica especializada, cuenta con zona de parqueaderos y  area para el cargue y descargue de guacales.  El lote no es propiedad, se evidencia contrato de arrendamiento .  La empresa tiene contrato directo con medico veterinario JUAN CARLOS ARIAS ZULETA, quien se ocupa de manera permanente de atender y velar por el bienestar de los canes.  Se toma registro fotografico de la sede en tiempo real de la visita : Concepto Favorable 
</t>
    </r>
    <r>
      <rPr>
        <b/>
        <sz val="10"/>
        <rFont val="Calibri"/>
        <family val="2"/>
      </rPr>
      <t xml:space="preserve">
Instalaciones ordenadas y en buen estado, se envidencia capacidad administrativa y operativa para atender el contrato de acuerda a las necesidades de la Universidad.</t>
    </r>
  </si>
  <si>
    <r>
      <t xml:space="preserve">Se realiza visita a la sede ubicada en la vereda Hojas Anchas - Finca el Pedrero del Municipio de Guarne- Antioquia, finca 276.
Se valida en sitio las condiciones de las sede. Cuenta con doble portón de ingreso, 3 pistas de entrenamiento en varias disciplinas , caniles de tenencia, recuperación y aislamiento con la medida reglamentaria, aseados y en buenas condiciones. Cuenta con bodega de concentrado, bodega de elementos, cuarto técnico y de herramientas, cuarto de productos químicos, punto de reciclaje, oficina, sala de capacitaciones,  cuaro de elementos del banco de olores y seudos, bodega de elementos para entrenamiento.
Caninos en aparente buen estado de salud y activos.
Espacio de atención de primeros auxilios en muy buenas condiciones de asepsia, con medicamentos básicos, bien dispuestos y debidamente identificados. 
Se valida información de los canes en plataforma Serapp++, encontrándose todo al día y bien documentado. 
Hacen disposición de residuos biológicos de manera adecuada y reutilizan éste con el fin de abonar la tierra. (Pozo Séptico- Compostaje) 
</t>
    </r>
    <r>
      <rPr>
        <b/>
        <sz val="10"/>
        <rFont val="Arial"/>
        <family val="2"/>
      </rPr>
      <t>Instalaciones ordenadas y en buen estado, se envidencia capacidad administrativa y operativa para atender el contrato de acuerda a las necesidades de la Universidad.</t>
    </r>
  </si>
  <si>
    <t>Convenios o contratos con clínicas veterinarias legalmente autorizadas y/o médicos veterinarios debidamente acreditados con su tarjeta profesional para prestar la debida atención médica a los animales en el área metropolitana del Valle de Aburrá.</t>
  </si>
  <si>
    <t>Adjunta contrato de prestación de servicios con la Clínica Veterinaria el Poblado SAS
Adjunta información del Médico Veterinario Zootecnista Luis Fernando Vallejo Vélez</t>
  </si>
  <si>
    <t>Adjunta convenio de colaboración con el Centro Veteriario La 30.
Adjunta información del Médico Veterinario Santiago Escobar Robledo</t>
  </si>
  <si>
    <t xml:space="preserve">Adjunta contrato de prestacion de servicios con la empresa Emergencias Veterinarias Inmediatas SAS
</t>
  </si>
  <si>
    <t>Adjunta contrato de trabajo a término indefinido  en donde consta que el señor Juan Carlos Arias Zuleta, con cédula 71.694.907 labora en la empresa desde el 2010 como veterinario de la Unidad Canina. La certificación está firmada por el señor Germán Giraldo Orozco, Gerente de Cultura Organizacional.</t>
  </si>
  <si>
    <t>Adjunta certificación de la clínica veterinaria Servicios Médicos Veterinarios Particulares SAS (VIMUK) con la que cuenta con convenio para prestar los servicios veterinarios especializados a la empresa. La carta es expedida el 04/06/2024</t>
  </si>
  <si>
    <t>Licencia sanitaria de funcionamiento del consultorio de atención médica veterinaria, ubicado en la Unidad Canina.</t>
  </si>
  <si>
    <t>Adjunta foto de sticker de la Secretaría Seccional de Salud y Protección social de Antioquia, con concepto Favorable. Evento IVC-00517, fecha 13-07-2022, adhesivo 10-014-013608</t>
  </si>
  <si>
    <t>Adjunta Resolución s 2019060145421 del 22/07/2019 de la Gobernación de Antioquia para la prestacion de servicios vetenirnarios.</t>
  </si>
  <si>
    <t>Adjunta renovación de  licencia sanitaria de Emergencias Veterinarias Inmediatas SAS con quien actualmente tiene convenio vigente, emitida por la secretaría de salud de Antioquia S2019060145421 de 22/07/2019</t>
  </si>
  <si>
    <t>Adjunta certificación de la Alcaldía de Bello (Secretaría de Salud) , del 12 de febrero de 2024, en donde indica que la licencia sanitaria, con concepto Favorable, en un cumplimiento del 100%</t>
  </si>
  <si>
    <t>Adjunta foto de sticker de la Alcaldía de Medellín, con concepto Favorable. Evento CCV 10 004 0020664, fecha 19-04-2023 adhesivo 10-015-069058</t>
  </si>
  <si>
    <t>Acta de inspección y control sanitario con enfoque de riesgo veterinario de la Secretaría de Salud y Protección Social.</t>
  </si>
  <si>
    <t>Acta de Inspección, vigilancia y control sanitario 10-004-001996  del  12-04-2023  con concepto Favorable.</t>
  </si>
  <si>
    <t>Acta de Inspección, vigilancia y control sanitario CVV 10-004-001303 del 20/12/2022</t>
  </si>
  <si>
    <t>Acta de Inspección, vigilancia y control sanitario CCV-10-004-001303 del 20/12/2022  para el Centro Emergencias Veterinarias Inmediatas SAS, con concepto Favorable.</t>
  </si>
  <si>
    <t>Acta de inspección 202405068121047-0262, del 10/04/2024 con concepto favorable</t>
  </si>
  <si>
    <t xml:space="preserve">
Adjunta acta de inspección CCV 10-004-002066 con concepto favorable con requerimientos para la clínica Servicios Médicos Veterinarios Particulares S.A. (VIMUK)
</t>
  </si>
  <si>
    <t>Constancia de propiedad de los caninos que se tienen para el servicio en el Área metropolitana del Valle de Aburrá: tal como se establece en la Resolución N° 20174440098277</t>
  </si>
  <si>
    <t xml:space="preserve">Adjunta constancia de propiedad  caninos, facturas y soportes contables de los ejemplares adquiridos entre los años 2018 y 2022
</t>
  </si>
  <si>
    <t xml:space="preserve">Adjunta constancias de propiedad  caninos, facturas y soportes contables de los ejemplares ad1quiridos entre lso años 2015 a 2018
</t>
  </si>
  <si>
    <t xml:space="preserve">Adjunta constancia de propiedad  caninos, facturas y soportes contables de los ejemplares adquiridos entre los años 2020 y 2022
</t>
  </si>
  <si>
    <t xml:space="preserve">Adjunta constancia de propiedad  caninos, facturas y soportes contables de los ejemplares adquiridos en 2023
</t>
  </si>
  <si>
    <t>Registro fotográfico</t>
  </si>
  <si>
    <t>7. EVALUACIÓN</t>
  </si>
  <si>
    <t>Media aritmética</t>
  </si>
  <si>
    <t>TRM (07 JUNIO  2024) =</t>
  </si>
  <si>
    <t xml:space="preserve">Media Aritmética </t>
  </si>
  <si>
    <t xml:space="preserve">Mayor porcentaje de personal certificado: </t>
  </si>
  <si>
    <t>Decimales =</t>
  </si>
  <si>
    <t>Media Aritmética  Alta</t>
  </si>
  <si>
    <t>Método de evaluación =</t>
  </si>
  <si>
    <t>PROVEEEDORES HABILITADOS</t>
  </si>
  <si>
    <t>FACTOR 1</t>
  </si>
  <si>
    <t>FACTOR 2</t>
  </si>
  <si>
    <t>FACTOR 3</t>
  </si>
  <si>
    <t>FACTOR 4</t>
  </si>
  <si>
    <t>FACTOR 5</t>
  </si>
  <si>
    <t>FACTOR 6</t>
  </si>
  <si>
    <t>FACTOR 7</t>
  </si>
  <si>
    <t>TOTAL</t>
  </si>
  <si>
    <t>EQUIPOS DE COMUNICACIÓN
(10 PUNTOS)</t>
  </si>
  <si>
    <t>PUNTAJE</t>
  </si>
  <si>
    <t>VALOR SIM CARD+PLANES VOZ Y DATOS (TALENTO HUMANO UDEA) (15 PUNTOS)</t>
  </si>
  <si>
    <t>VALOR PRIMA SEGURO DE VIDA COLECTIVO
(5 PUNTOS)</t>
  </si>
  <si>
    <t xml:space="preserve">VALOR SERVICIO - AUXILIARES DE SUPERVISIÓN    
 (45 PUNTOS)       
</t>
  </si>
  <si>
    <t>VALOR MINIMO A COBRAR - SERVICIO AUXILIARES DE SUPERVISIÓN - CON   PRIMA DE SEGURO DEL PROVEEDOR</t>
  </si>
  <si>
    <t xml:space="preserve">MÍNIMO A COBRAR </t>
  </si>
  <si>
    <t>VALOR SALARIO BÁSICO SUPERVISORES
 (5 PUNTOS)</t>
  </si>
  <si>
    <t>VALOR RODAMIENTO MENSUAL 
(MOTO)</t>
  </si>
  <si>
    <t xml:space="preserve">VALOR HORA SERVICIO DE VIGILANCIA DIURNO SIN ARMA IVA INCLUIDO
 </t>
  </si>
  <si>
    <t>VALOR MÍNIMO A COBRAR - HORA SERVICIO DE VIGILANCIA DIURNO CON PRIMA DE SEGURO DEL PROVEEDOR</t>
  </si>
  <si>
    <t>VALOR HORA  SUMINISTRO DE SEGWAY IVA INCLUIDO</t>
  </si>
  <si>
    <t>VALOR HORA SERVICIO DE VIGILANCIA MÁS SUMINISTRO DE SEGWAY IVA INCLUIDO
 (5 PUNTOS)</t>
  </si>
  <si>
    <t>DISTANCIA A LA MEDIA</t>
  </si>
  <si>
    <t>TOTAL PERSONAL
VINCULADO
(APO)</t>
  </si>
  <si>
    <t xml:space="preserve">PERSONAS CERTIFICADAS EN COMPETENCIAS LABORALES ACREDITADOS POR EL SENA </t>
  </si>
  <si>
    <t xml:space="preserve">
PORCENTAJE DE PERSONAL CERTIFICADO EN COMPETENCIAS LABORALES ACREDITADOS POR EL SENA (15 PUNTOS)</t>
  </si>
  <si>
    <t>PUNTAJE TOTAL</t>
  </si>
  <si>
    <t xml:space="preserve">ORDEN DE ELEGIBILIDAD </t>
  </si>
  <si>
    <t>A</t>
  </si>
  <si>
    <t>B</t>
  </si>
  <si>
    <t>C</t>
  </si>
  <si>
    <t>D</t>
  </si>
  <si>
    <t>E</t>
  </si>
  <si>
    <t>VALOR SERVICIO - AUXILIARES DE SUPERVISIÓN  - IVA  INCLUIDO</t>
  </si>
  <si>
    <t>CÁLCULO DEL VALOR MÍNIMO A COBRAR PARA VALOR HORA VIGILANTE DIURNO SIN ARMA (IVA INCLUIDO)</t>
  </si>
  <si>
    <t>AUXILIO TRANSPORTE 2024</t>
  </si>
  <si>
    <t>HORARIO DE SERVICIO</t>
  </si>
  <si>
    <t>1.4 * SALARIO BÁSICO</t>
  </si>
  <si>
    <t>HORAS POR DÍA</t>
  </si>
  <si>
    <t>DÍAS POR SEMANA</t>
  </si>
  <si>
    <t>TOTAL HORAS SEMANA</t>
  </si>
  <si>
    <t>COMPENSATORIOS</t>
  </si>
  <si>
    <t>TOTAL HORAS MES</t>
  </si>
  <si>
    <t xml:space="preserve">VALOR HORA </t>
  </si>
  <si>
    <t>RECARGO</t>
  </si>
  <si>
    <t>VALOR MES</t>
  </si>
  <si>
    <t>TARIFA DEL SERVICIO</t>
  </si>
  <si>
    <t>CONSTANTE</t>
  </si>
  <si>
    <t>12 HORAS LUNES -JUEVES 5:30-17:30
12  HORAS VIERNES 8-20
8 HORAS SABADO 5:30 A 13:30</t>
  </si>
  <si>
    <t>Recargo nocturno L-J y S</t>
  </si>
  <si>
    <t>2024 - 2</t>
  </si>
  <si>
    <t>Horas ordinarias L-S</t>
  </si>
  <si>
    <t xml:space="preserve"> Horas extras L-V</t>
  </si>
  <si>
    <t xml:space="preserve"> Horas extras S</t>
  </si>
  <si>
    <t>JORNADA LABORAL</t>
  </si>
  <si>
    <t>VARIABLES DE PROPORCIONALIDAD</t>
  </si>
  <si>
    <t>TOTAL HORAS L-S</t>
  </si>
  <si>
    <t>(SALARIO Y HORAS EXTRAS)</t>
  </si>
  <si>
    <t>DIURNO (15 HORAS)</t>
  </si>
  <si>
    <t>AUXILIO DE TRANSPORTE 2024</t>
  </si>
  <si>
    <t>NOCTURNO (9 HORAS)</t>
  </si>
  <si>
    <t>SALARIO BASE PARA PRESTACIONES SOCIALES</t>
  </si>
  <si>
    <t>24 HORAS</t>
  </si>
  <si>
    <t>DÍAS DE TRABAJO</t>
  </si>
  <si>
    <t>Prima</t>
  </si>
  <si>
    <t>HORAS POR SEMANA</t>
  </si>
  <si>
    <t>Cesantías</t>
  </si>
  <si>
    <t>NUMERO HORAS AL DIA</t>
  </si>
  <si>
    <t>NÚMERO DIAS MES</t>
  </si>
  <si>
    <t>VALOR HORA</t>
  </si>
  <si>
    <t>TARIFA MES</t>
  </si>
  <si>
    <t>AYS</t>
  </si>
  <si>
    <t>TARIFA MES CON AYS</t>
  </si>
  <si>
    <t>BASE LIQUIDACIÓN IVA</t>
  </si>
  <si>
    <t>IVA (19%)</t>
  </si>
  <si>
    <t>VALOR TOTAL DEL SERVICIO</t>
  </si>
  <si>
    <t>JORNADA LABORAL 6 DÍAS</t>
  </si>
  <si>
    <t>Intereses</t>
  </si>
  <si>
    <t>%</t>
  </si>
  <si>
    <t>SEMANAS POR MES</t>
  </si>
  <si>
    <t>Vacaciones</t>
  </si>
  <si>
    <t>DIURNA (15 HORAS)</t>
  </si>
  <si>
    <t>Salud</t>
  </si>
  <si>
    <t>NOCTURNA (9 HORAS)</t>
  </si>
  <si>
    <t>Pensión</t>
  </si>
  <si>
    <t>TOTAL SERVICIO</t>
  </si>
  <si>
    <t>ARL</t>
  </si>
  <si>
    <t>Parafiscales</t>
  </si>
  <si>
    <t>Dotación</t>
  </si>
  <si>
    <t>Prima seguro de vida</t>
  </si>
  <si>
    <t>PRESTACIONES SOCIALES</t>
  </si>
  <si>
    <t xml:space="preserve">Valor mínimo a cobrar para Valor hora vigilante diurno sin arma (IVA incluido): </t>
  </si>
  <si>
    <t>SUBTOTAL</t>
  </si>
  <si>
    <t>VALOR PRIMA SEGURO DE VIDA POR PERSONA</t>
  </si>
  <si>
    <t>VALOR MÍNIMO A COBRAR SIN IVA</t>
  </si>
  <si>
    <t>AIU</t>
  </si>
  <si>
    <t>TARIFA MES CON AIU</t>
  </si>
  <si>
    <t>ADMINISTRACIÓN Y SUPERVISIÓN (AYS) - 8%</t>
  </si>
  <si>
    <t>VALOR MÍNIMO A COBRAR CON AYS SIN IVA</t>
  </si>
  <si>
    <t>VALOR MÍNIMO A COBRAR CON IVA</t>
  </si>
  <si>
    <t>VALOR MÍNIMO A COBRAR POR LOS 9 SERVICIOS</t>
  </si>
  <si>
    <t>GRUPO RECORD DE COLOMBIA LTDA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</si>
</sst>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 #,##0.00_-;\-&quot;$&quot;\ * #,##0.00_-;_-&quot;$&quot;\ * &quot;-&quot;??_-;_-@_-"/>
    <numFmt numFmtId="165" formatCode="_-&quot;$&quot;* #,##0_-;\-&quot;$&quot;* #,##0_-;_-&quot;$&quot;* &quot;-&quot;??_-;_-@"/>
    <numFmt numFmtId="166" formatCode="_-* #,##0.00_-;\-* #,##0.00_-;_-* &quot;-&quot;??_-;_-@"/>
    <numFmt numFmtId="167" formatCode="_-&quot;$&quot;\ * #,##0_-;\-&quot;$&quot;\ * #,##0_-;_-&quot;$&quot;\ * &quot;-&quot;??_-;_-@_-"/>
    <numFmt numFmtId="168" formatCode="_-&quot;$&quot;* #,##0.0000_-;\-&quot;$&quot;* #,##0.0000_-;_-&quot;$&quot;* &quot;-&quot;??_-;_-@"/>
    <numFmt numFmtId="169" formatCode="0.0000"/>
    <numFmt numFmtId="170" formatCode="_-&quot;$&quot;* #,##0.00_-;\-&quot;$&quot;* #,##0.00_-;_-&quot;$&quot;* &quot;-&quot;??_-;_-@"/>
  </numFmts>
  <fonts count="40">
    <font>
      <sz val="11"/>
      <color theme="1"/>
      <name val="Arial"/>
    </font>
    <font>
      <sz val="11"/>
      <name val="Arial"/>
      <family val="2"/>
    </font>
    <font>
      <b/>
      <sz val="11"/>
      <color rgb="FFFFFFFF"/>
      <name val="Arial"/>
      <family val="2"/>
    </font>
    <font>
      <b/>
      <sz val="11"/>
      <color theme="1"/>
      <name val="Arial"/>
      <family val="2"/>
    </font>
    <font>
      <sz val="11"/>
      <color rgb="FF000000"/>
      <name val="Arial"/>
      <family val="2"/>
    </font>
    <font>
      <b/>
      <sz val="11"/>
      <color rgb="FF000000"/>
      <name val="Arial"/>
      <family val="2"/>
    </font>
    <font>
      <sz val="10"/>
      <color theme="1"/>
      <name val="Arial"/>
      <family val="2"/>
    </font>
    <font>
      <sz val="11"/>
      <color theme="1"/>
      <name val="Arial"/>
      <family val="2"/>
    </font>
    <font>
      <b/>
      <sz val="12"/>
      <color rgb="FF000000"/>
      <name val="Arial"/>
      <family val="2"/>
    </font>
    <font>
      <b/>
      <sz val="10"/>
      <color theme="1"/>
      <name val="Arial"/>
      <family val="2"/>
    </font>
    <font>
      <sz val="11"/>
      <color rgb="FF202124"/>
      <name val="Arial"/>
      <family val="2"/>
    </font>
    <font>
      <i/>
      <sz val="10"/>
      <name val="Arial"/>
      <family val="2"/>
    </font>
    <font>
      <sz val="10"/>
      <name val="Arial"/>
      <family val="2"/>
    </font>
    <font>
      <sz val="10"/>
      <color rgb="FFFF0000"/>
      <name val="Arial"/>
      <family val="2"/>
    </font>
    <font>
      <sz val="11"/>
      <color rgb="FFFF0000"/>
      <name val="Arial"/>
      <family val="2"/>
    </font>
    <font>
      <b/>
      <sz val="14"/>
      <color theme="1"/>
      <name val="Arial"/>
      <family val="2"/>
    </font>
    <font>
      <i/>
      <sz val="11"/>
      <name val="Arial"/>
      <family val="2"/>
    </font>
    <font>
      <b/>
      <sz val="11"/>
      <name val="Arial"/>
      <family val="2"/>
    </font>
    <font>
      <b/>
      <sz val="10"/>
      <name val="Arial"/>
      <family val="2"/>
    </font>
    <font>
      <sz val="8"/>
      <name val="Arial"/>
      <family val="2"/>
    </font>
    <font>
      <sz val="8"/>
      <name val="Arial"/>
      <family val="2"/>
    </font>
    <font>
      <b/>
      <sz val="12"/>
      <color rgb="FF202124"/>
      <name val="Arial"/>
      <family val="2"/>
    </font>
    <font>
      <b/>
      <i/>
      <sz val="11"/>
      <name val="Arial"/>
      <family val="2"/>
    </font>
    <font>
      <b/>
      <sz val="12"/>
      <color theme="1"/>
      <name val="Arial"/>
      <family val="2"/>
    </font>
    <font>
      <b/>
      <sz val="16"/>
      <color theme="1"/>
      <name val="Arial"/>
      <family val="2"/>
    </font>
    <font>
      <sz val="12"/>
      <color theme="1"/>
      <name val="Arial"/>
      <family val="2"/>
    </font>
    <font>
      <sz val="12"/>
      <name val="Arial"/>
      <family val="2"/>
    </font>
    <font>
      <b/>
      <sz val="12"/>
      <color rgb="FFFFFFFF"/>
      <name val="Arial"/>
      <family val="2"/>
    </font>
    <font>
      <sz val="12"/>
      <color rgb="FF000000"/>
      <name val="Arial"/>
      <family val="2"/>
    </font>
    <font>
      <b/>
      <sz val="12"/>
      <name val="Arial"/>
      <family val="2"/>
    </font>
    <font>
      <b/>
      <sz val="14"/>
      <name val="Arial"/>
      <family val="2"/>
    </font>
    <font>
      <b/>
      <sz val="10"/>
      <color theme="0"/>
      <name val="Arial"/>
      <family val="2"/>
    </font>
    <font>
      <b/>
      <sz val="16"/>
      <name val="Arial"/>
      <family val="2"/>
    </font>
    <font>
      <b/>
      <u/>
      <sz val="10"/>
      <name val="Arial"/>
      <family val="2"/>
    </font>
    <font>
      <u/>
      <sz val="10"/>
      <name val="Arial"/>
      <family val="2"/>
    </font>
    <font>
      <b/>
      <sz val="11"/>
      <color rgb="FFFF0000"/>
      <name val="Arial"/>
      <family val="2"/>
    </font>
    <font>
      <b/>
      <i/>
      <sz val="14"/>
      <color theme="1"/>
      <name val="Arial"/>
      <family val="2"/>
    </font>
    <font>
      <sz val="10"/>
      <name val="Calibri"/>
      <family val="2"/>
    </font>
    <font>
      <b/>
      <sz val="10"/>
      <name val="Calibri"/>
      <family val="2"/>
    </font>
    <font>
      <sz val="11"/>
      <color theme="1"/>
      <name val="Arial"/>
      <family val="2"/>
    </font>
  </fonts>
  <fills count="81">
    <fill>
      <patternFill patternType="none"/>
    </fill>
    <fill>
      <patternFill patternType="gray125"/>
    </fill>
    <fill>
      <patternFill patternType="solid">
        <fgColor theme="0"/>
        <bgColor theme="0"/>
      </patternFill>
    </fill>
    <fill>
      <patternFill patternType="solid">
        <fgColor rgb="FF38761D"/>
        <bgColor rgb="FF38761D"/>
      </patternFill>
    </fill>
    <fill>
      <patternFill patternType="solid">
        <fgColor rgb="FFD9D9D9"/>
        <bgColor rgb="FFD9D9D9"/>
      </patternFill>
    </fill>
    <fill>
      <patternFill patternType="solid">
        <fgColor rgb="FFCCCCCC"/>
        <bgColor rgb="FFCCCCCC"/>
      </patternFill>
    </fill>
    <fill>
      <patternFill patternType="solid">
        <fgColor rgb="FFFFFFFF"/>
        <bgColor rgb="FFFFFFFF"/>
      </patternFill>
    </fill>
    <fill>
      <patternFill patternType="solid">
        <fgColor rgb="FFFFFF00"/>
        <bgColor rgb="FFFFFF00"/>
      </patternFill>
    </fill>
    <fill>
      <patternFill patternType="solid">
        <fgColor rgb="FF93C47D"/>
        <bgColor rgb="FF93C47D"/>
      </patternFill>
    </fill>
    <fill>
      <patternFill patternType="solid">
        <fgColor rgb="FFB6D7A8"/>
        <bgColor rgb="FFB6D7A8"/>
      </patternFill>
    </fill>
    <fill>
      <patternFill patternType="solid">
        <fgColor rgb="FFF6B26B"/>
        <bgColor rgb="FFF6B26B"/>
      </patternFill>
    </fill>
    <fill>
      <patternFill patternType="solid">
        <fgColor rgb="FFD8D8D8"/>
        <bgColor rgb="FFD8D8D8"/>
      </patternFill>
    </fill>
    <fill>
      <patternFill patternType="solid">
        <fgColor rgb="FFFFFF00"/>
        <bgColor indexed="64"/>
      </patternFill>
    </fill>
    <fill>
      <patternFill patternType="solid">
        <fgColor theme="0"/>
        <bgColor indexed="64"/>
      </patternFill>
    </fill>
    <fill>
      <patternFill patternType="solid">
        <fgColor theme="0"/>
        <bgColor rgb="FFCCCCCC"/>
      </patternFill>
    </fill>
    <fill>
      <patternFill patternType="solid">
        <fgColor theme="2" tint="-0.14999847407452621"/>
        <bgColor indexed="64"/>
      </patternFill>
    </fill>
    <fill>
      <patternFill patternType="solid">
        <fgColor theme="4" tint="0.59999389629810485"/>
        <bgColor rgb="FFC5E0B3"/>
      </patternFill>
    </fill>
    <fill>
      <patternFill patternType="solid">
        <fgColor theme="4" tint="0.59999389629810485"/>
        <bgColor indexed="64"/>
      </patternFill>
    </fill>
    <fill>
      <patternFill patternType="solid">
        <fgColor theme="7" tint="0.59999389629810485"/>
        <bgColor rgb="FF9FC5E8"/>
      </patternFill>
    </fill>
    <fill>
      <patternFill patternType="solid">
        <fgColor theme="7" tint="0.59999389629810485"/>
        <bgColor indexed="64"/>
      </patternFill>
    </fill>
    <fill>
      <patternFill patternType="solid">
        <fgColor theme="7" tint="0.59999389629810485"/>
        <bgColor rgb="FFC5E0B3"/>
      </patternFill>
    </fill>
    <fill>
      <patternFill patternType="solid">
        <fgColor theme="5" tint="0.59999389629810485"/>
        <bgColor rgb="FF9FC5E8"/>
      </patternFill>
    </fill>
    <fill>
      <patternFill patternType="solid">
        <fgColor theme="5" tint="0.59999389629810485"/>
        <bgColor indexed="64"/>
      </patternFill>
    </fill>
    <fill>
      <patternFill patternType="solid">
        <fgColor theme="5" tint="0.59999389629810485"/>
        <bgColor rgb="FFC5E0B3"/>
      </patternFill>
    </fill>
    <fill>
      <patternFill patternType="solid">
        <fgColor theme="9" tint="0.59999389629810485"/>
        <bgColor indexed="64"/>
      </patternFill>
    </fill>
    <fill>
      <patternFill patternType="solid">
        <fgColor theme="4" tint="0.59999389629810485"/>
        <bgColor rgb="FFA4C2F4"/>
      </patternFill>
    </fill>
    <fill>
      <patternFill patternType="solid">
        <fgColor theme="9" tint="0.59999389629810485"/>
        <bgColor rgb="FFA4C2F4"/>
      </patternFill>
    </fill>
    <fill>
      <patternFill patternType="solid">
        <fgColor theme="7" tint="0.59999389629810485"/>
        <bgColor rgb="FFAEABAB"/>
      </patternFill>
    </fill>
    <fill>
      <patternFill patternType="solid">
        <fgColor theme="0"/>
        <bgColor rgb="FFFFFFFF"/>
      </patternFill>
    </fill>
    <fill>
      <patternFill patternType="solid">
        <fgColor theme="0"/>
        <bgColor rgb="FFA4C2F4"/>
      </patternFill>
    </fill>
    <fill>
      <patternFill patternType="solid">
        <fgColor theme="9" tint="-0.249977111117893"/>
        <bgColor rgb="FF38761D"/>
      </patternFill>
    </fill>
    <fill>
      <patternFill patternType="solid">
        <fgColor theme="0"/>
        <bgColor rgb="FFAEABAB"/>
      </patternFill>
    </fill>
    <fill>
      <patternFill patternType="solid">
        <fgColor theme="7" tint="0.79998168889431442"/>
        <bgColor rgb="FF9FC5E8"/>
      </patternFill>
    </fill>
    <fill>
      <patternFill patternType="solid">
        <fgColor theme="9" tint="0.59999389629810485"/>
        <bgColor rgb="FF9FC5E8"/>
      </patternFill>
    </fill>
    <fill>
      <patternFill patternType="solid">
        <fgColor theme="2" tint="-0.14999847407452621"/>
        <bgColor rgb="FF9FC5E8"/>
      </patternFill>
    </fill>
    <fill>
      <patternFill patternType="solid">
        <fgColor theme="2" tint="-0.14999847407452621"/>
        <bgColor rgb="FFC5E0B3"/>
      </patternFill>
    </fill>
    <fill>
      <patternFill patternType="solid">
        <fgColor theme="0"/>
        <bgColor rgb="FF38761D"/>
      </patternFill>
    </fill>
    <fill>
      <patternFill patternType="solid">
        <fgColor theme="2" tint="-0.249977111117893"/>
        <bgColor indexed="64"/>
      </patternFill>
    </fill>
    <fill>
      <patternFill patternType="solid">
        <fgColor theme="0" tint="-0.34998626667073579"/>
        <bgColor rgb="FFD0CECE"/>
      </patternFill>
    </fill>
    <fill>
      <patternFill patternType="solid">
        <fgColor theme="0" tint="-0.249977111117893"/>
        <bgColor indexed="64"/>
      </patternFill>
    </fill>
    <fill>
      <patternFill patternType="solid">
        <fgColor theme="0"/>
        <bgColor rgb="FFCFE2F3"/>
      </patternFill>
    </fill>
    <fill>
      <patternFill patternType="solid">
        <fgColor rgb="FFE2EFD9"/>
        <bgColor rgb="FFE2EFD9"/>
      </patternFill>
    </fill>
    <fill>
      <patternFill patternType="solid">
        <fgColor rgb="FFC5E0B3"/>
        <bgColor rgb="FFC5E0B3"/>
      </patternFill>
    </fill>
    <fill>
      <patternFill patternType="solid">
        <fgColor rgb="FFFFFF00"/>
        <bgColor theme="0"/>
      </patternFill>
    </fill>
    <fill>
      <patternFill patternType="solid">
        <fgColor rgb="FFFFFF00"/>
        <bgColor rgb="FFE2EFD9"/>
      </patternFill>
    </fill>
    <fill>
      <patternFill patternType="solid">
        <fgColor theme="7" tint="0.59999389629810485"/>
        <bgColor rgb="FF93C47D"/>
      </patternFill>
    </fill>
    <fill>
      <patternFill patternType="solid">
        <fgColor theme="7" tint="0.59999389629810485"/>
        <bgColor rgb="FFB6D7A8"/>
      </patternFill>
    </fill>
    <fill>
      <patternFill patternType="solid">
        <fgColor theme="6" tint="0.59999389629810485"/>
        <bgColor rgb="FFF9CB9C"/>
      </patternFill>
    </fill>
    <fill>
      <patternFill patternType="solid">
        <fgColor theme="6" tint="0.59999389629810485"/>
        <bgColor rgb="FFB6D7A8"/>
      </patternFill>
    </fill>
    <fill>
      <patternFill patternType="solid">
        <fgColor theme="6" tint="0.59999389629810485"/>
        <bgColor rgb="FFBDD6EE"/>
      </patternFill>
    </fill>
    <fill>
      <patternFill patternType="solid">
        <fgColor theme="5" tint="0.59999389629810485"/>
        <bgColor rgb="FF93C47D"/>
      </patternFill>
    </fill>
    <fill>
      <patternFill patternType="solid">
        <fgColor theme="5" tint="0.59999389629810485"/>
        <bgColor rgb="FFB6D7A8"/>
      </patternFill>
    </fill>
    <fill>
      <patternFill patternType="solid">
        <fgColor theme="6" tint="0.59999389629810485"/>
        <bgColor rgb="FF93C47D"/>
      </patternFill>
    </fill>
    <fill>
      <patternFill patternType="solid">
        <fgColor theme="5" tint="0.59999389629810485"/>
        <bgColor rgb="FFC9DAF8"/>
      </patternFill>
    </fill>
    <fill>
      <patternFill patternType="solid">
        <fgColor theme="5" tint="0.59999389629810485"/>
        <bgColor rgb="FFBDD6EE"/>
      </patternFill>
    </fill>
    <fill>
      <patternFill patternType="solid">
        <fgColor theme="8" tint="0.59999389629810485"/>
        <bgColor rgb="FF9FC5E8"/>
      </patternFill>
    </fill>
    <fill>
      <patternFill patternType="solid">
        <fgColor theme="8" tint="0.59999389629810485"/>
        <bgColor indexed="64"/>
      </patternFill>
    </fill>
    <fill>
      <patternFill patternType="solid">
        <fgColor theme="9" tint="0.39997558519241921"/>
        <bgColor rgb="FFC5E0B3"/>
      </patternFill>
    </fill>
    <fill>
      <patternFill patternType="solid">
        <fgColor theme="9" tint="0.39997558519241921"/>
        <bgColor rgb="FF9FC5E8"/>
      </patternFill>
    </fill>
    <fill>
      <patternFill patternType="solid">
        <fgColor theme="9" tint="0.39997558519241921"/>
        <bgColor indexed="64"/>
      </patternFill>
    </fill>
    <fill>
      <patternFill patternType="solid">
        <fgColor theme="8" tint="0.59999389629810485"/>
        <bgColor rgb="FFC5E0B3"/>
      </patternFill>
    </fill>
    <fill>
      <patternFill patternType="solid">
        <fgColor theme="4" tint="0.39997558519241921"/>
        <bgColor rgb="FF93C47D"/>
      </patternFill>
    </fill>
    <fill>
      <patternFill patternType="solid">
        <fgColor theme="4" tint="0.39997558519241921"/>
        <bgColor rgb="FFC9DAF8"/>
      </patternFill>
    </fill>
    <fill>
      <patternFill patternType="solid">
        <fgColor theme="4" tint="0.39997558519241921"/>
        <bgColor indexed="64"/>
      </patternFill>
    </fill>
    <fill>
      <patternFill patternType="solid">
        <fgColor theme="4" tint="0.39997558519241921"/>
        <bgColor rgb="FFBDD6EE"/>
      </patternFill>
    </fill>
    <fill>
      <patternFill patternType="solid">
        <fgColor theme="9" tint="0.59999389629810485"/>
        <bgColor rgb="FFF9CB9C"/>
      </patternFill>
    </fill>
    <fill>
      <patternFill patternType="solid">
        <fgColor theme="9" tint="0.59999389629810485"/>
        <bgColor rgb="FFB6D7A8"/>
      </patternFill>
    </fill>
    <fill>
      <patternFill patternType="solid">
        <fgColor theme="9" tint="0.59999389629810485"/>
        <bgColor rgb="FFC9DAF8"/>
      </patternFill>
    </fill>
    <fill>
      <patternFill patternType="solid">
        <fgColor theme="9" tint="0.59999389629810485"/>
        <bgColor rgb="FFBDD6EE"/>
      </patternFill>
    </fill>
    <fill>
      <patternFill patternType="solid">
        <fgColor theme="7" tint="0.79998168889431442"/>
        <bgColor rgb="FFA4C2F4"/>
      </patternFill>
    </fill>
    <fill>
      <patternFill patternType="solid">
        <fgColor theme="7" tint="0.79998168889431442"/>
        <bgColor rgb="FFF9CB9C"/>
      </patternFill>
    </fill>
    <fill>
      <patternFill patternType="solid">
        <fgColor theme="0" tint="-0.14999847407452621"/>
        <bgColor rgb="FFA4C2F4"/>
      </patternFill>
    </fill>
    <fill>
      <patternFill patternType="solid">
        <fgColor theme="5" tint="0.59999389629810485"/>
        <bgColor rgb="FFA4C2F4"/>
      </patternFill>
    </fill>
    <fill>
      <patternFill patternType="solid">
        <fgColor theme="0" tint="-0.14999847407452621"/>
        <bgColor indexed="64"/>
      </patternFill>
    </fill>
    <fill>
      <patternFill patternType="solid">
        <fgColor theme="0"/>
        <bgColor rgb="FFC5E0B3"/>
      </patternFill>
    </fill>
    <fill>
      <patternFill patternType="solid">
        <fgColor rgb="FFFFFF00"/>
        <bgColor rgb="FF9FC5E8"/>
      </patternFill>
    </fill>
    <fill>
      <patternFill patternType="solid">
        <fgColor theme="6" tint="0.59999389629810485"/>
        <bgColor rgb="FF9FC5E8"/>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9" tint="0.59999389629810485"/>
        <bgColor rgb="FFC5E0B3"/>
      </patternFill>
    </fill>
    <fill>
      <patternFill patternType="solid">
        <fgColor theme="7" tint="0.39997558519241921"/>
        <bgColor indexed="64"/>
      </patternFill>
    </fill>
  </fills>
  <borders count="103">
    <border>
      <left/>
      <right/>
      <top/>
      <bottom/>
      <diagonal/>
    </border>
    <border>
      <left style="thin">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thin">
        <color rgb="FF000000"/>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thin">
        <color indexed="64"/>
      </right>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right style="thin">
        <color rgb="FF000000"/>
      </right>
      <top/>
      <bottom style="medium">
        <color indexed="64"/>
      </bottom>
      <diagonal/>
    </border>
    <border>
      <left style="thin">
        <color rgb="FF000000"/>
      </left>
      <right style="medium">
        <color indexed="64"/>
      </right>
      <top/>
      <bottom style="medium">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rgb="FF000000"/>
      </top>
      <bottom/>
      <diagonal/>
    </border>
    <border>
      <left style="thin">
        <color rgb="FF000000"/>
      </left>
      <right/>
      <top style="thin">
        <color indexed="64"/>
      </top>
      <bottom style="medium">
        <color rgb="FF000000"/>
      </bottom>
      <diagonal/>
    </border>
    <border>
      <left/>
      <right/>
      <top style="thin">
        <color indexed="64"/>
      </top>
      <bottom style="medium">
        <color rgb="FF000000"/>
      </bottom>
      <diagonal/>
    </border>
    <border>
      <left/>
      <right style="thin">
        <color rgb="FF000000"/>
      </right>
      <top style="thin">
        <color indexed="64"/>
      </top>
      <bottom style="medium">
        <color rgb="FF000000"/>
      </bottom>
      <diagonal/>
    </border>
    <border>
      <left/>
      <right style="thin">
        <color rgb="FF000000"/>
      </right>
      <top style="medium">
        <color indexed="64"/>
      </top>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rgb="FF000000"/>
      </bottom>
      <diagonal/>
    </border>
    <border>
      <left style="medium">
        <color indexed="64"/>
      </left>
      <right style="thin">
        <color indexed="64"/>
      </right>
      <top style="thin">
        <color rgb="FF000000"/>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style="thin">
        <color indexed="64"/>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s>
  <cellStyleXfs count="4">
    <xf numFmtId="0" fontId="0" fillId="0" borderId="0"/>
    <xf numFmtId="164" fontId="7" fillId="0" borderId="0" applyFont="0" applyFill="0" applyBorder="0" applyAlignment="0" applyProtection="0"/>
    <xf numFmtId="9" fontId="7" fillId="0" borderId="0" applyFont="0" applyFill="0" applyBorder="0" applyAlignment="0" applyProtection="0"/>
    <xf numFmtId="0" fontId="39" fillId="0" borderId="15"/>
  </cellStyleXfs>
  <cellXfs count="734">
    <xf numFmtId="0" fontId="0" fillId="0" borderId="0" xfId="0"/>
    <xf numFmtId="0" fontId="4" fillId="13" borderId="0" xfId="0" applyFont="1" applyFill="1"/>
    <xf numFmtId="0" fontId="1" fillId="13" borderId="1" xfId="0" applyFont="1" applyFill="1" applyBorder="1"/>
    <xf numFmtId="0" fontId="1" fillId="13" borderId="15" xfId="0" applyFont="1" applyFill="1" applyBorder="1"/>
    <xf numFmtId="0" fontId="5" fillId="4" borderId="7" xfId="0" applyFont="1" applyFill="1" applyBorder="1" applyAlignment="1">
      <alignment horizontal="center" vertical="center" wrapText="1"/>
    </xf>
    <xf numFmtId="2" fontId="4" fillId="21" borderId="16" xfId="0" applyNumberFormat="1" applyFont="1" applyFill="1" applyBorder="1" applyAlignment="1">
      <alignment horizontal="center" vertical="center" wrapText="1"/>
    </xf>
    <xf numFmtId="0" fontId="5" fillId="4" borderId="9" xfId="0" applyFont="1" applyFill="1" applyBorder="1" applyAlignment="1">
      <alignment horizontal="center" vertical="center" wrapText="1"/>
    </xf>
    <xf numFmtId="2" fontId="4" fillId="34" borderId="16" xfId="0" applyNumberFormat="1" applyFont="1" applyFill="1" applyBorder="1" applyAlignment="1">
      <alignment horizontal="center" vertical="center" wrapText="1"/>
    </xf>
    <xf numFmtId="0" fontId="5" fillId="0" borderId="16" xfId="0" applyFont="1" applyBorder="1" applyAlignment="1">
      <alignment vertical="center"/>
    </xf>
    <xf numFmtId="0" fontId="4" fillId="0" borderId="0" xfId="0" applyFont="1"/>
    <xf numFmtId="0" fontId="3" fillId="12" borderId="49" xfId="0" applyFont="1" applyFill="1" applyBorder="1" applyProtection="1">
      <protection hidden="1"/>
    </xf>
    <xf numFmtId="0" fontId="3" fillId="12" borderId="46" xfId="0" applyFont="1" applyFill="1" applyBorder="1" applyProtection="1">
      <protection hidden="1"/>
    </xf>
    <xf numFmtId="0" fontId="3" fillId="12" borderId="50" xfId="0" applyFont="1" applyFill="1" applyBorder="1" applyProtection="1">
      <protection hidden="1"/>
    </xf>
    <xf numFmtId="170" fontId="3" fillId="11" borderId="14" xfId="0" applyNumberFormat="1" applyFont="1" applyFill="1" applyBorder="1" applyProtection="1">
      <protection hidden="1"/>
    </xf>
    <xf numFmtId="0" fontId="9" fillId="11" borderId="8" xfId="0" applyFont="1" applyFill="1" applyBorder="1" applyAlignment="1" applyProtection="1">
      <alignment horizontal="center" vertical="center" wrapText="1"/>
      <protection hidden="1"/>
    </xf>
    <xf numFmtId="0" fontId="9" fillId="11" borderId="7" xfId="0" applyFont="1" applyFill="1" applyBorder="1" applyAlignment="1" applyProtection="1">
      <alignment horizontal="center" vertical="center" wrapText="1"/>
      <protection hidden="1"/>
    </xf>
    <xf numFmtId="0" fontId="9" fillId="11" borderId="32" xfId="0" applyFont="1" applyFill="1" applyBorder="1" applyAlignment="1" applyProtection="1">
      <alignment horizontal="center" vertical="center" wrapText="1"/>
      <protection hidden="1"/>
    </xf>
    <xf numFmtId="0" fontId="6" fillId="0" borderId="4" xfId="0" applyFont="1" applyBorder="1" applyProtection="1">
      <protection hidden="1"/>
    </xf>
    <xf numFmtId="0" fontId="9" fillId="11" borderId="7" xfId="0" applyFont="1" applyFill="1" applyBorder="1" applyAlignment="1" applyProtection="1">
      <alignment wrapText="1"/>
      <protection hidden="1"/>
    </xf>
    <xf numFmtId="167" fontId="10" fillId="0" borderId="16" xfId="1" applyNumberFormat="1" applyFont="1" applyBorder="1" applyAlignment="1" applyProtection="1">
      <protection hidden="1"/>
    </xf>
    <xf numFmtId="165" fontId="8" fillId="0" borderId="16" xfId="0" applyNumberFormat="1" applyFont="1" applyBorder="1" applyProtection="1">
      <protection hidden="1"/>
    </xf>
    <xf numFmtId="0" fontId="9" fillId="13" borderId="9" xfId="0" applyFont="1" applyFill="1" applyBorder="1" applyAlignment="1" applyProtection="1">
      <alignment horizontal="center"/>
      <protection hidden="1"/>
    </xf>
    <xf numFmtId="0" fontId="9" fillId="13" borderId="6" xfId="0" applyFont="1" applyFill="1" applyBorder="1" applyAlignment="1" applyProtection="1">
      <alignment horizontal="center"/>
      <protection hidden="1"/>
    </xf>
    <xf numFmtId="0" fontId="9" fillId="11" borderId="16" xfId="0" applyFont="1" applyFill="1" applyBorder="1" applyAlignment="1" applyProtection="1">
      <alignment horizontal="center" vertical="center" wrapText="1"/>
      <protection hidden="1"/>
    </xf>
    <xf numFmtId="0" fontId="9" fillId="13" borderId="1" xfId="0" applyFont="1" applyFill="1" applyBorder="1" applyAlignment="1" applyProtection="1">
      <alignment horizontal="center"/>
      <protection hidden="1"/>
    </xf>
    <xf numFmtId="0" fontId="9" fillId="13" borderId="15" xfId="0" applyFont="1" applyFill="1" applyBorder="1" applyAlignment="1" applyProtection="1">
      <alignment horizontal="center"/>
      <protection hidden="1"/>
    </xf>
    <xf numFmtId="0" fontId="7" fillId="13" borderId="15" xfId="0" applyFont="1" applyFill="1" applyBorder="1" applyProtection="1">
      <protection hidden="1"/>
    </xf>
    <xf numFmtId="2" fontId="3" fillId="29" borderId="15" xfId="0" applyNumberFormat="1" applyFont="1" applyFill="1" applyBorder="1" applyAlignment="1" applyProtection="1">
      <alignment horizontal="center"/>
      <protection hidden="1"/>
    </xf>
    <xf numFmtId="2" fontId="4" fillId="58" borderId="16" xfId="0" applyNumberFormat="1" applyFont="1" applyFill="1" applyBorder="1" applyAlignment="1">
      <alignment horizontal="center" vertical="center" wrapText="1"/>
    </xf>
    <xf numFmtId="1" fontId="4" fillId="18" borderId="16" xfId="0" applyNumberFormat="1" applyFont="1" applyFill="1" applyBorder="1" applyAlignment="1">
      <alignment horizontal="center" vertical="center" wrapText="1"/>
    </xf>
    <xf numFmtId="0" fontId="9" fillId="11" borderId="6" xfId="0" applyFont="1" applyFill="1" applyBorder="1" applyAlignment="1" applyProtection="1">
      <alignment wrapText="1"/>
      <protection hidden="1"/>
    </xf>
    <xf numFmtId="0" fontId="9" fillId="11" borderId="16" xfId="0" applyFont="1" applyFill="1" applyBorder="1" applyAlignment="1" applyProtection="1">
      <alignment horizontal="center" vertical="center"/>
      <protection hidden="1"/>
    </xf>
    <xf numFmtId="0" fontId="9" fillId="0" borderId="16" xfId="0" applyFont="1" applyBorder="1" applyAlignment="1" applyProtection="1">
      <alignment horizontal="center" wrapText="1"/>
      <protection hidden="1"/>
    </xf>
    <xf numFmtId="0" fontId="7" fillId="0" borderId="16" xfId="0" applyFont="1" applyBorder="1"/>
    <xf numFmtId="14" fontId="7" fillId="0" borderId="16" xfId="0" applyNumberFormat="1" applyFont="1" applyBorder="1"/>
    <xf numFmtId="10" fontId="7" fillId="0" borderId="16" xfId="0" applyNumberFormat="1" applyFont="1" applyBorder="1"/>
    <xf numFmtId="0" fontId="7" fillId="0" borderId="16" xfId="0" applyFont="1" applyBorder="1" applyAlignment="1">
      <alignment horizontal="center"/>
    </xf>
    <xf numFmtId="2" fontId="13" fillId="0" borderId="16" xfId="0" applyNumberFormat="1" applyFont="1" applyBorder="1" applyAlignment="1" applyProtection="1">
      <alignment horizontal="center"/>
      <protection hidden="1"/>
    </xf>
    <xf numFmtId="167" fontId="7" fillId="0" borderId="16" xfId="1" applyNumberFormat="1" applyFont="1" applyBorder="1" applyAlignment="1"/>
    <xf numFmtId="0" fontId="9" fillId="11" borderId="10" xfId="0" applyFont="1" applyFill="1" applyBorder="1" applyAlignment="1" applyProtection="1">
      <alignment horizontal="center" vertical="center"/>
      <protection hidden="1"/>
    </xf>
    <xf numFmtId="10" fontId="4" fillId="0" borderId="4" xfId="0" applyNumberFormat="1" applyFont="1" applyBorder="1" applyAlignment="1" applyProtection="1">
      <alignment horizontal="center"/>
      <protection hidden="1"/>
    </xf>
    <xf numFmtId="165" fontId="3" fillId="13" borderId="37" xfId="0" applyNumberFormat="1" applyFont="1" applyFill="1" applyBorder="1" applyProtection="1">
      <protection hidden="1"/>
    </xf>
    <xf numFmtId="2" fontId="3" fillId="69" borderId="20" xfId="0" applyNumberFormat="1" applyFont="1" applyFill="1" applyBorder="1" applyAlignment="1" applyProtection="1">
      <alignment vertical="center"/>
      <protection hidden="1"/>
    </xf>
    <xf numFmtId="164" fontId="7" fillId="0" borderId="38" xfId="0" applyNumberFormat="1" applyFont="1" applyBorder="1" applyProtection="1">
      <protection hidden="1"/>
    </xf>
    <xf numFmtId="170" fontId="7" fillId="0" borderId="32" xfId="0" applyNumberFormat="1" applyFont="1" applyBorder="1" applyProtection="1">
      <protection hidden="1"/>
    </xf>
    <xf numFmtId="2" fontId="3" fillId="25" borderId="17" xfId="0" applyNumberFormat="1" applyFont="1" applyFill="1" applyBorder="1" applyAlignment="1" applyProtection="1">
      <alignment horizontal="center" vertical="center"/>
      <protection hidden="1"/>
    </xf>
    <xf numFmtId="2" fontId="3" fillId="72" borderId="20" xfId="0" applyNumberFormat="1" applyFont="1" applyFill="1" applyBorder="1" applyAlignment="1" applyProtection="1">
      <alignment vertical="center"/>
      <protection hidden="1"/>
    </xf>
    <xf numFmtId="2" fontId="3" fillId="26" borderId="16" xfId="0" applyNumberFormat="1" applyFont="1" applyFill="1" applyBorder="1" applyAlignment="1" applyProtection="1">
      <alignment horizontal="center" vertical="center"/>
      <protection hidden="1"/>
    </xf>
    <xf numFmtId="0" fontId="7" fillId="56" borderId="16" xfId="0" applyFont="1" applyFill="1" applyBorder="1" applyAlignment="1">
      <alignment horizontal="center" vertical="center" wrapText="1"/>
    </xf>
    <xf numFmtId="0" fontId="3" fillId="0" borderId="16" xfId="0" applyFont="1" applyBorder="1" applyAlignment="1">
      <alignment vertical="center"/>
    </xf>
    <xf numFmtId="3" fontId="7" fillId="0" borderId="16" xfId="0" applyNumberFormat="1" applyFont="1" applyBorder="1"/>
    <xf numFmtId="0" fontId="12" fillId="0" borderId="16" xfId="0" applyFont="1" applyBorder="1" applyAlignment="1" applyProtection="1">
      <alignment horizontal="center"/>
      <protection hidden="1"/>
    </xf>
    <xf numFmtId="0" fontId="6" fillId="0" borderId="16" xfId="0" applyFont="1" applyBorder="1" applyAlignment="1" applyProtection="1">
      <alignment horizontal="center"/>
      <protection hidden="1"/>
    </xf>
    <xf numFmtId="167" fontId="7" fillId="0" borderId="16" xfId="1" applyNumberFormat="1" applyFont="1" applyFill="1" applyBorder="1" applyAlignment="1"/>
    <xf numFmtId="167" fontId="14" fillId="0" borderId="16" xfId="1" applyNumberFormat="1" applyFont="1" applyBorder="1" applyAlignment="1"/>
    <xf numFmtId="10" fontId="6" fillId="0" borderId="16" xfId="0" applyNumberFormat="1" applyFont="1" applyBorder="1" applyAlignment="1" applyProtection="1">
      <alignment horizontal="center"/>
      <protection hidden="1"/>
    </xf>
    <xf numFmtId="2" fontId="6" fillId="0" borderId="16" xfId="0" applyNumberFormat="1" applyFont="1" applyBorder="1" applyAlignment="1" applyProtection="1">
      <alignment horizontal="center"/>
      <protection hidden="1"/>
    </xf>
    <xf numFmtId="14" fontId="6" fillId="0" borderId="16" xfId="0" applyNumberFormat="1" applyFont="1" applyBorder="1" applyAlignment="1" applyProtection="1">
      <alignment horizontal="center"/>
      <protection hidden="1"/>
    </xf>
    <xf numFmtId="0" fontId="17" fillId="2" borderId="15" xfId="0" applyFont="1" applyFill="1" applyBorder="1" applyAlignment="1" applyProtection="1">
      <alignment horizontal="center" vertical="center"/>
      <protection hidden="1"/>
    </xf>
    <xf numFmtId="0" fontId="3" fillId="0" borderId="20" xfId="0" applyFont="1" applyBorder="1"/>
    <xf numFmtId="170" fontId="7" fillId="0" borderId="79" xfId="0" applyNumberFormat="1" applyFont="1" applyBorder="1" applyProtection="1">
      <protection hidden="1"/>
    </xf>
    <xf numFmtId="0" fontId="3" fillId="12" borderId="18" xfId="0" applyFont="1" applyFill="1" applyBorder="1" applyProtection="1">
      <protection hidden="1"/>
    </xf>
    <xf numFmtId="0" fontId="3" fillId="12" borderId="19" xfId="0" applyFont="1" applyFill="1" applyBorder="1" applyProtection="1">
      <protection hidden="1"/>
    </xf>
    <xf numFmtId="2" fontId="3" fillId="13" borderId="38" xfId="0" applyNumberFormat="1" applyFont="1" applyFill="1" applyBorder="1" applyProtection="1">
      <protection hidden="1"/>
    </xf>
    <xf numFmtId="2" fontId="7" fillId="13" borderId="37" xfId="0" applyNumberFormat="1" applyFont="1" applyFill="1" applyBorder="1" applyProtection="1">
      <protection hidden="1"/>
    </xf>
    <xf numFmtId="2" fontId="3" fillId="71" borderId="20" xfId="0" applyNumberFormat="1" applyFont="1" applyFill="1" applyBorder="1" applyAlignment="1" applyProtection="1">
      <alignment vertical="center"/>
      <protection hidden="1"/>
    </xf>
    <xf numFmtId="164" fontId="3" fillId="71" borderId="21" xfId="1" applyFont="1" applyFill="1" applyBorder="1" applyAlignment="1" applyProtection="1">
      <alignment vertical="center"/>
      <protection hidden="1"/>
    </xf>
    <xf numFmtId="0" fontId="16" fillId="19" borderId="16" xfId="0" applyFont="1" applyFill="1" applyBorder="1" applyAlignment="1">
      <alignment vertical="center" wrapText="1"/>
    </xf>
    <xf numFmtId="1" fontId="1" fillId="19" borderId="16" xfId="0" applyNumberFormat="1" applyFont="1" applyFill="1" applyBorder="1" applyAlignment="1">
      <alignment horizontal="center" wrapText="1"/>
    </xf>
    <xf numFmtId="0" fontId="16" fillId="59" borderId="16" xfId="0" applyFont="1" applyFill="1" applyBorder="1" applyAlignment="1">
      <alignment vertical="center" wrapText="1"/>
    </xf>
    <xf numFmtId="0" fontId="16" fillId="22" borderId="16" xfId="0" applyFont="1" applyFill="1" applyBorder="1" applyAlignment="1">
      <alignment vertical="center" wrapText="1"/>
    </xf>
    <xf numFmtId="0" fontId="1" fillId="22" borderId="16" xfId="0" applyFont="1" applyFill="1" applyBorder="1" applyAlignment="1">
      <alignment horizontal="center" wrapText="1"/>
    </xf>
    <xf numFmtId="0" fontId="16" fillId="56" borderId="16" xfId="0" applyFont="1" applyFill="1" applyBorder="1" applyAlignment="1">
      <alignment vertical="center" wrapText="1"/>
    </xf>
    <xf numFmtId="0" fontId="22" fillId="56" borderId="16" xfId="0" applyFont="1" applyFill="1" applyBorder="1" applyAlignment="1">
      <alignment horizontal="center" vertical="center"/>
    </xf>
    <xf numFmtId="0" fontId="22" fillId="59" borderId="16" xfId="0" applyFont="1" applyFill="1" applyBorder="1" applyAlignment="1">
      <alignment horizontal="center" vertical="center"/>
    </xf>
    <xf numFmtId="0" fontId="22" fillId="22" borderId="16" xfId="0" applyFont="1" applyFill="1" applyBorder="1" applyAlignment="1">
      <alignment horizontal="center" vertical="center"/>
    </xf>
    <xf numFmtId="0" fontId="22" fillId="19" borderId="16" xfId="0" applyFont="1" applyFill="1" applyBorder="1" applyAlignment="1">
      <alignment horizontal="center" vertical="center"/>
    </xf>
    <xf numFmtId="0" fontId="22" fillId="77" borderId="16" xfId="0" applyFont="1" applyFill="1" applyBorder="1" applyAlignment="1">
      <alignment horizontal="center" vertical="center"/>
    </xf>
    <xf numFmtId="2" fontId="4" fillId="76" borderId="16" xfId="0" applyNumberFormat="1" applyFont="1" applyFill="1" applyBorder="1" applyAlignment="1">
      <alignment horizontal="center" vertical="center" wrapText="1"/>
    </xf>
    <xf numFmtId="0" fontId="16" fillId="77" borderId="16" xfId="0" applyFont="1" applyFill="1" applyBorder="1" applyAlignment="1">
      <alignment vertical="center" wrapText="1"/>
    </xf>
    <xf numFmtId="0" fontId="1" fillId="13" borderId="15" xfId="0" applyFont="1" applyFill="1" applyBorder="1" applyProtection="1">
      <protection hidden="1"/>
    </xf>
    <xf numFmtId="0" fontId="7" fillId="0" borderId="0" xfId="0" applyFont="1"/>
    <xf numFmtId="0" fontId="7" fillId="56" borderId="47" xfId="0" applyFont="1" applyFill="1" applyBorder="1" applyAlignment="1">
      <alignment horizontal="center" vertical="center" wrapText="1"/>
    </xf>
    <xf numFmtId="2" fontId="4" fillId="21" borderId="47" xfId="0" applyNumberFormat="1" applyFont="1" applyFill="1" applyBorder="1" applyAlignment="1">
      <alignment horizontal="center" vertical="center" wrapText="1"/>
    </xf>
    <xf numFmtId="1" fontId="4" fillId="18" borderId="47" xfId="0" applyNumberFormat="1" applyFont="1" applyFill="1" applyBorder="1" applyAlignment="1">
      <alignment horizontal="center" vertical="center" wrapText="1"/>
    </xf>
    <xf numFmtId="2" fontId="4" fillId="34" borderId="71" xfId="0" applyNumberFormat="1" applyFont="1" applyFill="1" applyBorder="1" applyAlignment="1">
      <alignment horizontal="center" vertical="center" wrapText="1"/>
    </xf>
    <xf numFmtId="0" fontId="4" fillId="0" borderId="20" xfId="0" applyFont="1" applyBorder="1" applyAlignment="1">
      <alignment horizontal="left" vertical="center" indent="4"/>
    </xf>
    <xf numFmtId="0" fontId="4" fillId="0" borderId="66" xfId="0" applyFont="1" applyBorder="1" applyAlignment="1">
      <alignment horizontal="left" vertical="center" indent="4"/>
    </xf>
    <xf numFmtId="0" fontId="16" fillId="15" borderId="71" xfId="0" applyFont="1" applyFill="1" applyBorder="1" applyAlignment="1">
      <alignment vertical="center" wrapText="1"/>
    </xf>
    <xf numFmtId="0" fontId="16" fillId="15" borderId="21" xfId="0" applyFont="1" applyFill="1" applyBorder="1" applyAlignment="1">
      <alignment vertical="center" wrapText="1"/>
    </xf>
    <xf numFmtId="2" fontId="4" fillId="21" borderId="51" xfId="0" applyNumberFormat="1" applyFont="1" applyFill="1" applyBorder="1" applyAlignment="1">
      <alignment horizontal="center" vertical="center" wrapText="1"/>
    </xf>
    <xf numFmtId="1" fontId="4" fillId="34" borderId="71" xfId="0" applyNumberFormat="1" applyFont="1" applyFill="1" applyBorder="1" applyAlignment="1">
      <alignment horizontal="center" vertical="center" wrapText="1"/>
    </xf>
    <xf numFmtId="0" fontId="3" fillId="78" borderId="87" xfId="0" applyFont="1" applyFill="1" applyBorder="1" applyAlignment="1">
      <alignment vertical="center"/>
    </xf>
    <xf numFmtId="0" fontId="3" fillId="78" borderId="87" xfId="0" applyFont="1" applyFill="1" applyBorder="1" applyAlignment="1">
      <alignment vertical="center" wrapText="1"/>
    </xf>
    <xf numFmtId="0" fontId="5" fillId="78" borderId="87" xfId="0" applyFont="1" applyFill="1" applyBorder="1" applyAlignment="1">
      <alignment vertical="center"/>
    </xf>
    <xf numFmtId="0" fontId="3" fillId="56" borderId="47" xfId="0" applyFont="1" applyFill="1" applyBorder="1" applyAlignment="1">
      <alignment horizontal="center" vertical="center"/>
    </xf>
    <xf numFmtId="0" fontId="3" fillId="22" borderId="47" xfId="0" applyFont="1" applyFill="1" applyBorder="1" applyAlignment="1">
      <alignment horizontal="center" vertical="center"/>
    </xf>
    <xf numFmtId="0" fontId="3" fillId="24" borderId="47" xfId="0" applyFont="1" applyFill="1" applyBorder="1" applyAlignment="1">
      <alignment horizontal="center" vertical="center"/>
    </xf>
    <xf numFmtId="2" fontId="4" fillId="33" borderId="47" xfId="0" applyNumberFormat="1" applyFont="1" applyFill="1" applyBorder="1" applyAlignment="1">
      <alignment horizontal="center" vertical="center" wrapText="1"/>
    </xf>
    <xf numFmtId="0" fontId="3" fillId="19" borderId="47" xfId="0" applyFont="1" applyFill="1" applyBorder="1" applyAlignment="1">
      <alignment horizontal="center" vertical="center"/>
    </xf>
    <xf numFmtId="0" fontId="3" fillId="15" borderId="47" xfId="0" applyFont="1" applyFill="1" applyBorder="1" applyAlignment="1">
      <alignment horizontal="center" vertical="center"/>
    </xf>
    <xf numFmtId="0" fontId="3" fillId="56" borderId="16" xfId="0" applyFont="1" applyFill="1" applyBorder="1" applyAlignment="1">
      <alignment horizontal="center" vertical="center"/>
    </xf>
    <xf numFmtId="0" fontId="3" fillId="22" borderId="16" xfId="0" applyFont="1" applyFill="1" applyBorder="1" applyAlignment="1">
      <alignment horizontal="center" vertical="center"/>
    </xf>
    <xf numFmtId="0" fontId="3" fillId="59" borderId="16" xfId="0" applyFont="1" applyFill="1" applyBorder="1" applyAlignment="1">
      <alignment horizontal="center" vertical="center"/>
    </xf>
    <xf numFmtId="0" fontId="3" fillId="19" borderId="16" xfId="0" applyFont="1" applyFill="1" applyBorder="1" applyAlignment="1">
      <alignment horizontal="center" vertical="center"/>
    </xf>
    <xf numFmtId="0" fontId="3" fillId="73" borderId="16" xfId="0" applyFont="1" applyFill="1" applyBorder="1" applyAlignment="1">
      <alignment horizontal="center" vertical="center"/>
    </xf>
    <xf numFmtId="0" fontId="7" fillId="13" borderId="0" xfId="0" applyFont="1" applyFill="1" applyProtection="1">
      <protection hidden="1"/>
    </xf>
    <xf numFmtId="0" fontId="7" fillId="0" borderId="16" xfId="0" applyFont="1" applyBorder="1" applyAlignment="1">
      <alignment wrapText="1"/>
    </xf>
    <xf numFmtId="0" fontId="7" fillId="0" borderId="16" xfId="0" applyFont="1" applyBorder="1" applyAlignment="1">
      <alignment horizontal="left" wrapText="1"/>
    </xf>
    <xf numFmtId="0" fontId="6" fillId="0" borderId="16" xfId="0" applyFont="1" applyBorder="1" applyAlignment="1" applyProtection="1">
      <alignment horizontal="left" wrapText="1"/>
      <protection hidden="1"/>
    </xf>
    <xf numFmtId="0" fontId="1" fillId="13" borderId="43" xfId="0" applyFont="1" applyFill="1" applyBorder="1" applyProtection="1">
      <protection hidden="1"/>
    </xf>
    <xf numFmtId="0" fontId="1" fillId="13" borderId="37" xfId="0" applyFont="1" applyFill="1" applyBorder="1" applyProtection="1">
      <protection hidden="1"/>
    </xf>
    <xf numFmtId="0" fontId="7" fillId="2" borderId="15" xfId="0" applyFont="1" applyFill="1" applyBorder="1"/>
    <xf numFmtId="0" fontId="7" fillId="13" borderId="0" xfId="0" applyFont="1" applyFill="1"/>
    <xf numFmtId="0" fontId="7" fillId="13" borderId="15" xfId="0" applyFont="1" applyFill="1" applyBorder="1"/>
    <xf numFmtId="165" fontId="6" fillId="13" borderId="0" xfId="0" applyNumberFormat="1" applyFont="1" applyFill="1" applyAlignment="1">
      <alignment horizontal="center" vertical="center"/>
    </xf>
    <xf numFmtId="0" fontId="8" fillId="55" borderId="16" xfId="0" applyFont="1" applyFill="1" applyBorder="1" applyAlignment="1">
      <alignment horizontal="center" vertical="center" wrapText="1"/>
    </xf>
    <xf numFmtId="0" fontId="8" fillId="21" borderId="16" xfId="0" applyFont="1" applyFill="1" applyBorder="1" applyAlignment="1">
      <alignment horizontal="center" vertical="center" wrapText="1"/>
    </xf>
    <xf numFmtId="0" fontId="8" fillId="58" borderId="16" xfId="0" applyFont="1" applyFill="1" applyBorder="1" applyAlignment="1">
      <alignment horizontal="center" vertical="center" wrapText="1"/>
    </xf>
    <xf numFmtId="0" fontId="8" fillId="18" borderId="16" xfId="0" applyFont="1" applyFill="1" applyBorder="1" applyAlignment="1">
      <alignment horizontal="center" vertical="center" wrapText="1"/>
    </xf>
    <xf numFmtId="0" fontId="8" fillId="34" borderId="16" xfId="0" applyFont="1" applyFill="1" applyBorder="1" applyAlignment="1">
      <alignment horizontal="center" vertical="center" wrapText="1"/>
    </xf>
    <xf numFmtId="0" fontId="8" fillId="76" borderId="16" xfId="0" applyFont="1" applyFill="1" applyBorder="1" applyAlignment="1">
      <alignment horizontal="center" vertical="center" wrapText="1"/>
    </xf>
    <xf numFmtId="0" fontId="8" fillId="55" borderId="54" xfId="0" applyFont="1" applyFill="1" applyBorder="1" applyAlignment="1">
      <alignment horizontal="center" vertical="center" wrapText="1"/>
    </xf>
    <xf numFmtId="0" fontId="8" fillId="21" borderId="54" xfId="0" applyFont="1" applyFill="1" applyBorder="1" applyAlignment="1">
      <alignment horizontal="center" vertical="center" wrapText="1"/>
    </xf>
    <xf numFmtId="0" fontId="8" fillId="33" borderId="54"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34" borderId="54" xfId="0" applyFont="1" applyFill="1" applyBorder="1" applyAlignment="1">
      <alignment horizontal="center" vertical="center" wrapText="1"/>
    </xf>
    <xf numFmtId="0" fontId="7" fillId="0" borderId="15" xfId="0" applyFont="1" applyBorder="1"/>
    <xf numFmtId="0" fontId="25" fillId="2" borderId="15" xfId="0" applyFont="1" applyFill="1" applyBorder="1" applyProtection="1">
      <protection hidden="1"/>
    </xf>
    <xf numFmtId="0" fontId="25" fillId="13" borderId="15" xfId="0" applyFont="1" applyFill="1" applyBorder="1" applyProtection="1">
      <protection hidden="1"/>
    </xf>
    <xf numFmtId="0" fontId="25" fillId="0" borderId="0" xfId="0" applyFont="1" applyProtection="1">
      <protection hidden="1"/>
    </xf>
    <xf numFmtId="0" fontId="25" fillId="13" borderId="0" xfId="0" applyFont="1" applyFill="1" applyProtection="1">
      <protection hidden="1"/>
    </xf>
    <xf numFmtId="0" fontId="8" fillId="4" borderId="16" xfId="0" applyFont="1" applyFill="1" applyBorder="1" applyAlignment="1" applyProtection="1">
      <alignment horizontal="center"/>
      <protection hidden="1"/>
    </xf>
    <xf numFmtId="9" fontId="8" fillId="5" borderId="16" xfId="0" applyNumberFormat="1" applyFont="1" applyFill="1" applyBorder="1" applyAlignment="1" applyProtection="1">
      <alignment horizontal="center"/>
      <protection hidden="1"/>
    </xf>
    <xf numFmtId="167" fontId="25" fillId="0" borderId="16" xfId="1" applyNumberFormat="1" applyFont="1" applyBorder="1" applyAlignment="1"/>
    <xf numFmtId="164" fontId="25" fillId="0" borderId="16" xfId="0" applyNumberFormat="1" applyFont="1" applyBorder="1" applyProtection="1">
      <protection hidden="1"/>
    </xf>
    <xf numFmtId="0" fontId="8" fillId="4" borderId="4" xfId="0" applyFont="1" applyFill="1" applyBorder="1" applyAlignment="1" applyProtection="1">
      <alignment horizontal="center" vertical="center" wrapText="1"/>
      <protection hidden="1"/>
    </xf>
    <xf numFmtId="0" fontId="8" fillId="4" borderId="7" xfId="0" applyFont="1" applyFill="1" applyBorder="1" applyAlignment="1" applyProtection="1">
      <alignment horizontal="center" vertical="center" wrapText="1"/>
      <protection hidden="1"/>
    </xf>
    <xf numFmtId="0" fontId="8" fillId="21" borderId="16" xfId="0" applyFont="1" applyFill="1" applyBorder="1" applyAlignment="1" applyProtection="1">
      <alignment horizontal="center" vertical="center" wrapText="1"/>
      <protection hidden="1"/>
    </xf>
    <xf numFmtId="0" fontId="8" fillId="58" borderId="16" xfId="0" applyFont="1" applyFill="1" applyBorder="1" applyAlignment="1" applyProtection="1">
      <alignment horizontal="center" vertical="center" wrapText="1"/>
      <protection hidden="1"/>
    </xf>
    <xf numFmtId="0" fontId="8" fillId="18" borderId="16" xfId="0" applyFont="1" applyFill="1" applyBorder="1" applyAlignment="1" applyProtection="1">
      <alignment horizontal="center" vertical="center" wrapText="1"/>
      <protection hidden="1"/>
    </xf>
    <xf numFmtId="0" fontId="8" fillId="34" borderId="16"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28" fillId="0" borderId="7" xfId="0" applyFont="1" applyBorder="1" applyAlignment="1" applyProtection="1">
      <alignment horizontal="center" vertical="center" wrapText="1"/>
      <protection hidden="1"/>
    </xf>
    <xf numFmtId="167" fontId="25" fillId="56" borderId="16" xfId="1" applyNumberFormat="1" applyFont="1" applyFill="1" applyBorder="1" applyAlignment="1" applyProtection="1">
      <alignment vertical="center"/>
      <protection hidden="1"/>
    </xf>
    <xf numFmtId="165" fontId="25" fillId="21" borderId="16" xfId="0" applyNumberFormat="1" applyFont="1" applyFill="1" applyBorder="1" applyAlignment="1" applyProtection="1">
      <alignment horizontal="center" vertical="center"/>
      <protection hidden="1"/>
    </xf>
    <xf numFmtId="165" fontId="25" fillId="58" borderId="16" xfId="0" applyNumberFormat="1" applyFont="1" applyFill="1" applyBorder="1" applyAlignment="1" applyProtection="1">
      <alignment horizontal="center" vertical="center"/>
      <protection hidden="1"/>
    </xf>
    <xf numFmtId="165" fontId="25" fillId="18" borderId="16" xfId="0" applyNumberFormat="1" applyFont="1" applyFill="1" applyBorder="1" applyAlignment="1" applyProtection="1">
      <alignment horizontal="center" vertical="center"/>
      <protection hidden="1"/>
    </xf>
    <xf numFmtId="165" fontId="25" fillId="34" borderId="16" xfId="0" applyNumberFormat="1" applyFont="1" applyFill="1" applyBorder="1" applyAlignment="1" applyProtection="1">
      <alignment horizontal="center" vertical="center"/>
      <protection hidden="1"/>
    </xf>
    <xf numFmtId="0" fontId="7" fillId="0" borderId="0" xfId="0" applyFont="1" applyProtection="1">
      <protection hidden="1"/>
    </xf>
    <xf numFmtId="0" fontId="7" fillId="2" borderId="2" xfId="0" applyFont="1" applyFill="1" applyBorder="1" applyProtection="1">
      <protection hidden="1"/>
    </xf>
    <xf numFmtId="2" fontId="6" fillId="0" borderId="54" xfId="0" applyNumberFormat="1" applyFont="1" applyBorder="1" applyAlignment="1" applyProtection="1">
      <alignment horizontal="right" vertical="center"/>
      <protection hidden="1"/>
    </xf>
    <xf numFmtId="0" fontId="6" fillId="0" borderId="16" xfId="0" applyFont="1" applyBorder="1" applyAlignment="1" applyProtection="1">
      <alignment horizontal="center" vertical="center"/>
      <protection hidden="1"/>
    </xf>
    <xf numFmtId="165" fontId="6" fillId="0" borderId="16" xfId="0" applyNumberFormat="1" applyFont="1" applyBorder="1" applyProtection="1">
      <protection hidden="1"/>
    </xf>
    <xf numFmtId="2" fontId="6" fillId="13" borderId="15" xfId="0" applyNumberFormat="1" applyFont="1" applyFill="1" applyBorder="1" applyAlignment="1" applyProtection="1">
      <alignment horizontal="center"/>
      <protection hidden="1"/>
    </xf>
    <xf numFmtId="2" fontId="3" fillId="0" borderId="8" xfId="0" applyNumberFormat="1" applyFont="1" applyBorder="1" applyAlignment="1" applyProtection="1">
      <alignment horizontal="center" vertical="center"/>
      <protection hidden="1"/>
    </xf>
    <xf numFmtId="0" fontId="3" fillId="12" borderId="16" xfId="0" applyFont="1" applyFill="1" applyBorder="1" applyAlignment="1" applyProtection="1">
      <alignment horizontal="center"/>
      <protection hidden="1"/>
    </xf>
    <xf numFmtId="2" fontId="6" fillId="0" borderId="14" xfId="0" applyNumberFormat="1" applyFont="1" applyBorder="1" applyAlignment="1" applyProtection="1">
      <alignment horizontal="center"/>
      <protection hidden="1"/>
    </xf>
    <xf numFmtId="0" fontId="6" fillId="0" borderId="7" xfId="0" applyFont="1" applyBorder="1" applyAlignment="1" applyProtection="1">
      <alignment horizontal="center"/>
      <protection hidden="1"/>
    </xf>
    <xf numFmtId="0" fontId="6" fillId="0" borderId="9" xfId="0" applyFont="1" applyBorder="1" applyAlignment="1" applyProtection="1">
      <alignment horizontal="center"/>
      <protection hidden="1"/>
    </xf>
    <xf numFmtId="0" fontId="6" fillId="0" borderId="17" xfId="0" applyFont="1" applyBorder="1" applyAlignment="1" applyProtection="1">
      <alignment horizontal="center"/>
      <protection hidden="1"/>
    </xf>
    <xf numFmtId="0" fontId="7" fillId="13" borderId="18" xfId="0" applyFont="1" applyFill="1" applyBorder="1" applyProtection="1">
      <protection hidden="1"/>
    </xf>
    <xf numFmtId="0" fontId="7" fillId="2" borderId="43" xfId="0" applyFont="1" applyFill="1" applyBorder="1" applyProtection="1">
      <protection hidden="1"/>
    </xf>
    <xf numFmtId="0" fontId="7" fillId="13" borderId="43" xfId="0" applyFont="1" applyFill="1" applyBorder="1" applyProtection="1">
      <protection hidden="1"/>
    </xf>
    <xf numFmtId="0" fontId="7" fillId="13" borderId="19" xfId="0" applyFont="1" applyFill="1" applyBorder="1" applyProtection="1">
      <protection hidden="1"/>
    </xf>
    <xf numFmtId="0" fontId="7" fillId="13" borderId="38" xfId="0" applyFont="1" applyFill="1" applyBorder="1" applyProtection="1">
      <protection hidden="1"/>
    </xf>
    <xf numFmtId="0" fontId="7" fillId="2" borderId="15" xfId="0" applyFont="1" applyFill="1" applyBorder="1" applyProtection="1">
      <protection hidden="1"/>
    </xf>
    <xf numFmtId="0" fontId="7" fillId="13" borderId="39" xfId="0" applyFont="1" applyFill="1" applyBorder="1" applyProtection="1">
      <protection hidden="1"/>
    </xf>
    <xf numFmtId="0" fontId="7" fillId="13" borderId="40" xfId="0" applyFont="1" applyFill="1" applyBorder="1" applyProtection="1">
      <protection hidden="1"/>
    </xf>
    <xf numFmtId="0" fontId="7" fillId="2" borderId="40" xfId="0" applyFont="1" applyFill="1" applyBorder="1" applyProtection="1">
      <protection hidden="1"/>
    </xf>
    <xf numFmtId="0" fontId="7" fillId="13" borderId="42" xfId="0" applyFont="1" applyFill="1" applyBorder="1" applyProtection="1">
      <protection hidden="1"/>
    </xf>
    <xf numFmtId="0" fontId="2" fillId="36" borderId="43" xfId="0" applyFont="1" applyFill="1" applyBorder="1" applyAlignment="1" applyProtection="1">
      <alignment horizontal="left"/>
      <protection hidden="1"/>
    </xf>
    <xf numFmtId="0" fontId="2" fillId="36" borderId="18" xfId="0" applyFont="1" applyFill="1" applyBorder="1" applyAlignment="1" applyProtection="1">
      <alignment horizontal="left"/>
      <protection hidden="1"/>
    </xf>
    <xf numFmtId="0" fontId="2" fillId="36" borderId="19" xfId="0" applyFont="1" applyFill="1" applyBorder="1" applyAlignment="1" applyProtection="1">
      <alignment horizontal="left"/>
      <protection hidden="1"/>
    </xf>
    <xf numFmtId="0" fontId="7" fillId="13" borderId="18" xfId="0" applyFont="1" applyFill="1" applyBorder="1"/>
    <xf numFmtId="0" fontId="7" fillId="13" borderId="19" xfId="0" applyFont="1" applyFill="1" applyBorder="1"/>
    <xf numFmtId="0" fontId="7" fillId="13" borderId="37" xfId="0" applyFont="1" applyFill="1" applyBorder="1" applyProtection="1">
      <protection hidden="1"/>
    </xf>
    <xf numFmtId="0" fontId="2" fillId="36" borderId="15" xfId="0" applyFont="1" applyFill="1" applyBorder="1" applyAlignment="1" applyProtection="1">
      <alignment horizontal="left"/>
      <protection hidden="1"/>
    </xf>
    <xf numFmtId="0" fontId="2" fillId="36" borderId="37" xfId="0" applyFont="1" applyFill="1" applyBorder="1" applyAlignment="1" applyProtection="1">
      <alignment horizontal="left"/>
      <protection hidden="1"/>
    </xf>
    <xf numFmtId="0" fontId="2" fillId="36" borderId="38" xfId="0" applyFont="1" applyFill="1" applyBorder="1" applyAlignment="1" applyProtection="1">
      <alignment horizontal="left"/>
      <protection hidden="1"/>
    </xf>
    <xf numFmtId="0" fontId="7" fillId="13" borderId="37" xfId="0" applyFont="1" applyFill="1" applyBorder="1"/>
    <xf numFmtId="0" fontId="7" fillId="13" borderId="38" xfId="0" applyFont="1" applyFill="1" applyBorder="1"/>
    <xf numFmtId="0" fontId="35" fillId="36" borderId="18" xfId="0" applyFont="1" applyFill="1" applyBorder="1" applyAlignment="1" applyProtection="1">
      <alignment horizontal="left"/>
      <protection hidden="1"/>
    </xf>
    <xf numFmtId="4" fontId="3" fillId="36" borderId="15" xfId="0" applyNumberFormat="1" applyFont="1" applyFill="1" applyBorder="1" applyAlignment="1" applyProtection="1">
      <alignment horizontal="left"/>
      <protection hidden="1"/>
    </xf>
    <xf numFmtId="0" fontId="7" fillId="0" borderId="37" xfId="0" applyFont="1" applyBorder="1" applyProtection="1">
      <protection hidden="1"/>
    </xf>
    <xf numFmtId="0" fontId="7" fillId="0" borderId="38" xfId="0" applyFont="1" applyBorder="1" applyProtection="1">
      <protection hidden="1"/>
    </xf>
    <xf numFmtId="165" fontId="7" fillId="70" borderId="17" xfId="0" applyNumberFormat="1" applyFont="1" applyFill="1" applyBorder="1" applyAlignment="1" applyProtection="1">
      <alignment vertical="center"/>
      <protection hidden="1"/>
    </xf>
    <xf numFmtId="0" fontId="7" fillId="17" borderId="16" xfId="0" applyFont="1" applyFill="1" applyBorder="1" applyProtection="1">
      <protection hidden="1"/>
    </xf>
    <xf numFmtId="0" fontId="7" fillId="24" borderId="16" xfId="0" applyFont="1" applyFill="1" applyBorder="1" applyProtection="1">
      <protection hidden="1"/>
    </xf>
    <xf numFmtId="164" fontId="7" fillId="13" borderId="15" xfId="1" applyFont="1" applyFill="1" applyBorder="1" applyProtection="1">
      <protection hidden="1"/>
    </xf>
    <xf numFmtId="165" fontId="7" fillId="13" borderId="15" xfId="0" applyNumberFormat="1" applyFont="1" applyFill="1" applyBorder="1" applyProtection="1">
      <protection hidden="1"/>
    </xf>
    <xf numFmtId="168" fontId="7" fillId="13" borderId="38" xfId="0" applyNumberFormat="1" applyFont="1" applyFill="1" applyBorder="1" applyProtection="1">
      <protection hidden="1"/>
    </xf>
    <xf numFmtId="2" fontId="7" fillId="25" borderId="16" xfId="0" applyNumberFormat="1" applyFont="1" applyFill="1" applyBorder="1" applyProtection="1">
      <protection hidden="1"/>
    </xf>
    <xf numFmtId="165" fontId="3" fillId="25" borderId="17" xfId="0" applyNumberFormat="1" applyFont="1" applyFill="1" applyBorder="1" applyAlignment="1" applyProtection="1">
      <alignment horizontal="center" vertical="center"/>
      <protection hidden="1"/>
    </xf>
    <xf numFmtId="2" fontId="7" fillId="26" borderId="16" xfId="0" applyNumberFormat="1" applyFont="1" applyFill="1" applyBorder="1" applyProtection="1">
      <protection hidden="1"/>
    </xf>
    <xf numFmtId="165" fontId="3" fillId="26" borderId="16" xfId="0" applyNumberFormat="1" applyFont="1" applyFill="1" applyBorder="1" applyAlignment="1" applyProtection="1">
      <alignment horizontal="center" vertical="center"/>
      <protection hidden="1"/>
    </xf>
    <xf numFmtId="165" fontId="7" fillId="29" borderId="15" xfId="0" applyNumberFormat="1" applyFont="1" applyFill="1" applyBorder="1" applyAlignment="1" applyProtection="1">
      <alignment horizontal="center"/>
      <protection hidden="1"/>
    </xf>
    <xf numFmtId="9" fontId="7" fillId="13" borderId="15" xfId="0" applyNumberFormat="1" applyFont="1" applyFill="1" applyBorder="1" applyProtection="1">
      <protection hidden="1"/>
    </xf>
    <xf numFmtId="168" fontId="7" fillId="25" borderId="17" xfId="0" applyNumberFormat="1" applyFont="1" applyFill="1" applyBorder="1" applyAlignment="1" applyProtection="1">
      <alignment horizontal="center" vertical="center"/>
      <protection hidden="1"/>
    </xf>
    <xf numFmtId="168" fontId="7" fillId="26" borderId="16" xfId="0" applyNumberFormat="1" applyFont="1" applyFill="1" applyBorder="1" applyAlignment="1" applyProtection="1">
      <alignment horizontal="center" vertical="center"/>
      <protection hidden="1"/>
    </xf>
    <xf numFmtId="168" fontId="7" fillId="29" borderId="15" xfId="0" applyNumberFormat="1" applyFont="1" applyFill="1" applyBorder="1" applyAlignment="1" applyProtection="1">
      <alignment horizontal="center"/>
      <protection hidden="1"/>
    </xf>
    <xf numFmtId="0" fontId="7" fillId="28" borderId="37" xfId="0" applyFont="1" applyFill="1" applyBorder="1" applyProtection="1">
      <protection hidden="1"/>
    </xf>
    <xf numFmtId="0" fontId="7" fillId="28" borderId="15" xfId="0" applyFont="1" applyFill="1" applyBorder="1" applyProtection="1">
      <protection hidden="1"/>
    </xf>
    <xf numFmtId="0" fontId="15" fillId="28" borderId="38" xfId="0" applyFont="1" applyFill="1" applyBorder="1" applyAlignment="1" applyProtection="1">
      <alignment horizontal="center"/>
      <protection hidden="1"/>
    </xf>
    <xf numFmtId="0" fontId="15" fillId="28" borderId="37" xfId="0" applyFont="1" applyFill="1" applyBorder="1" applyAlignment="1" applyProtection="1">
      <alignment horizontal="center"/>
      <protection hidden="1"/>
    </xf>
    <xf numFmtId="0" fontId="15" fillId="28" borderId="15" xfId="0" applyFont="1" applyFill="1" applyBorder="1" applyAlignment="1" applyProtection="1">
      <alignment horizontal="center"/>
      <protection hidden="1"/>
    </xf>
    <xf numFmtId="0" fontId="15" fillId="6" borderId="15" xfId="0" applyFont="1" applyFill="1" applyBorder="1" applyAlignment="1" applyProtection="1">
      <alignment horizontal="center"/>
      <protection hidden="1"/>
    </xf>
    <xf numFmtId="0" fontId="15" fillId="28" borderId="15" xfId="0" applyFont="1" applyFill="1" applyBorder="1" applyAlignment="1" applyProtection="1">
      <alignment horizontal="center" vertical="center" wrapText="1"/>
      <protection hidden="1"/>
    </xf>
    <xf numFmtId="169" fontId="15" fillId="6" borderId="15" xfId="0" applyNumberFormat="1" applyFont="1" applyFill="1" applyBorder="1" applyAlignment="1" applyProtection="1">
      <alignment horizontal="center" vertical="center" wrapText="1"/>
      <protection hidden="1"/>
    </xf>
    <xf numFmtId="169" fontId="15" fillId="28" borderId="15" xfId="0" applyNumberFormat="1" applyFont="1" applyFill="1" applyBorder="1" applyAlignment="1" applyProtection="1">
      <alignment horizontal="center" vertical="center" wrapText="1"/>
      <protection hidden="1"/>
    </xf>
    <xf numFmtId="0" fontId="7" fillId="28" borderId="38" xfId="0" applyFont="1" applyFill="1" applyBorder="1" applyProtection="1">
      <protection hidden="1"/>
    </xf>
    <xf numFmtId="0" fontId="3" fillId="0" borderId="48" xfId="0" applyFont="1" applyBorder="1" applyAlignment="1" applyProtection="1">
      <alignment horizontal="center" vertical="center"/>
      <protection hidden="1"/>
    </xf>
    <xf numFmtId="0" fontId="8" fillId="9" borderId="16" xfId="0" applyFont="1" applyFill="1" applyBorder="1" applyAlignment="1" applyProtection="1">
      <alignment horizontal="center" vertical="center" wrapText="1"/>
      <protection hidden="1"/>
    </xf>
    <xf numFmtId="0" fontId="23" fillId="9" borderId="16" xfId="0" applyFont="1" applyFill="1" applyBorder="1" applyAlignment="1" applyProtection="1">
      <alignment horizontal="center" vertical="center" wrapText="1"/>
      <protection hidden="1"/>
    </xf>
    <xf numFmtId="0" fontId="23" fillId="46" borderId="16" xfId="0" applyFont="1" applyFill="1" applyBorder="1" applyAlignment="1" applyProtection="1">
      <alignment horizontal="center" vertical="center" wrapText="1"/>
      <protection hidden="1"/>
    </xf>
    <xf numFmtId="0" fontId="23" fillId="48" borderId="16" xfId="0" applyFont="1" applyFill="1" applyBorder="1" applyAlignment="1" applyProtection="1">
      <alignment horizontal="center" vertical="center" wrapText="1"/>
      <protection hidden="1"/>
    </xf>
    <xf numFmtId="0" fontId="23" fillId="62" borderId="16" xfId="0" applyFont="1" applyFill="1" applyBorder="1" applyAlignment="1" applyProtection="1">
      <alignment horizontal="center" vertical="center" wrapText="1"/>
      <protection hidden="1"/>
    </xf>
    <xf numFmtId="0" fontId="23" fillId="51" borderId="16" xfId="0" applyFont="1" applyFill="1" applyBorder="1" applyAlignment="1" applyProtection="1">
      <alignment horizontal="center" vertical="center" wrapText="1"/>
      <protection hidden="1"/>
    </xf>
    <xf numFmtId="0" fontId="23" fillId="53" borderId="16" xfId="0" applyFont="1" applyFill="1" applyBorder="1" applyAlignment="1" applyProtection="1">
      <alignment horizontal="center" vertical="center" wrapText="1"/>
      <protection hidden="1"/>
    </xf>
    <xf numFmtId="0" fontId="23" fillId="66" borderId="16" xfId="0" applyFont="1" applyFill="1" applyBorder="1" applyAlignment="1" applyProtection="1">
      <alignment horizontal="center" vertical="center" wrapText="1"/>
      <protection hidden="1"/>
    </xf>
    <xf numFmtId="0" fontId="23" fillId="67" borderId="16" xfId="0" applyFont="1" applyFill="1" applyBorder="1" applyAlignment="1" applyProtection="1">
      <alignment horizontal="center" vertical="center" wrapText="1"/>
      <protection hidden="1"/>
    </xf>
    <xf numFmtId="0" fontId="15" fillId="65" borderId="16" xfId="0" applyFont="1" applyFill="1" applyBorder="1" applyAlignment="1" applyProtection="1">
      <alignment horizontal="center" vertical="center"/>
      <protection hidden="1"/>
    </xf>
    <xf numFmtId="0" fontId="23" fillId="27" borderId="16" xfId="0" applyFont="1" applyFill="1" applyBorder="1" applyAlignment="1" applyProtection="1">
      <alignment horizontal="center" vertical="center" wrapText="1"/>
      <protection hidden="1"/>
    </xf>
    <xf numFmtId="0" fontId="23" fillId="48" borderId="21" xfId="0" applyFont="1" applyFill="1" applyBorder="1" applyAlignment="1" applyProtection="1">
      <alignment horizontal="center" vertical="center" wrapText="1"/>
      <protection hidden="1"/>
    </xf>
    <xf numFmtId="0" fontId="23" fillId="31" borderId="15" xfId="0" applyFont="1" applyFill="1" applyBorder="1" applyAlignment="1" applyProtection="1">
      <alignment horizontal="center" vertical="center" wrapText="1"/>
      <protection hidden="1"/>
    </xf>
    <xf numFmtId="0" fontId="23" fillId="10" borderId="20" xfId="0" applyFont="1" applyFill="1" applyBorder="1" applyAlignment="1" applyProtection="1">
      <alignment horizontal="center" wrapText="1"/>
      <protection hidden="1"/>
    </xf>
    <xf numFmtId="0" fontId="23" fillId="10" borderId="21" xfId="0" applyFont="1" applyFill="1" applyBorder="1" applyAlignment="1" applyProtection="1">
      <alignment horizontal="center" vertical="center" wrapText="1"/>
      <protection hidden="1"/>
    </xf>
    <xf numFmtId="9" fontId="7" fillId="0" borderId="0" xfId="0" applyNumberFormat="1" applyFont="1" applyProtection="1">
      <protection hidden="1"/>
    </xf>
    <xf numFmtId="0" fontId="7" fillId="0" borderId="48" xfId="0" applyFont="1" applyBorder="1" applyAlignment="1" applyProtection="1">
      <alignment horizontal="center" vertical="center"/>
      <protection hidden="1"/>
    </xf>
    <xf numFmtId="0" fontId="6" fillId="0" borderId="48" xfId="0" applyFont="1" applyBorder="1" applyAlignment="1" applyProtection="1">
      <alignment horizontal="left" vertical="center" wrapText="1"/>
      <protection hidden="1"/>
    </xf>
    <xf numFmtId="1" fontId="4" fillId="9" borderId="16" xfId="0" applyNumberFormat="1" applyFont="1" applyFill="1" applyBorder="1" applyAlignment="1" applyProtection="1">
      <alignment horizontal="center" vertical="center"/>
      <protection hidden="1"/>
    </xf>
    <xf numFmtId="2" fontId="3" fillId="9" borderId="16" xfId="0" applyNumberFormat="1" applyFont="1" applyFill="1" applyBorder="1" applyAlignment="1" applyProtection="1">
      <alignment horizontal="center" vertical="center" wrapText="1"/>
      <protection hidden="1"/>
    </xf>
    <xf numFmtId="167" fontId="7" fillId="19" borderId="16" xfId="1" applyNumberFormat="1" applyFont="1" applyFill="1" applyBorder="1" applyAlignment="1">
      <alignment vertical="center"/>
    </xf>
    <xf numFmtId="2" fontId="3" fillId="46" borderId="16" xfId="0" applyNumberFormat="1" applyFont="1" applyFill="1" applyBorder="1" applyAlignment="1" applyProtection="1">
      <alignment horizontal="center" vertical="center" wrapText="1"/>
      <protection hidden="1"/>
    </xf>
    <xf numFmtId="2" fontId="7" fillId="48" borderId="16" xfId="0" applyNumberFormat="1" applyFont="1" applyFill="1" applyBorder="1" applyAlignment="1" applyProtection="1">
      <alignment horizontal="center" vertical="center" wrapText="1"/>
      <protection hidden="1"/>
    </xf>
    <xf numFmtId="2" fontId="3" fillId="48" borderId="16" xfId="0" applyNumberFormat="1" applyFont="1" applyFill="1" applyBorder="1" applyAlignment="1" applyProtection="1">
      <alignment horizontal="center" vertical="center" wrapText="1"/>
      <protection hidden="1"/>
    </xf>
    <xf numFmtId="165" fontId="5" fillId="62" borderId="16" xfId="0" applyNumberFormat="1" applyFont="1" applyFill="1" applyBorder="1" applyAlignment="1" applyProtection="1">
      <alignment horizontal="center" vertical="center"/>
      <protection hidden="1"/>
    </xf>
    <xf numFmtId="2" fontId="3" fillId="64" borderId="16" xfId="0" applyNumberFormat="1" applyFont="1" applyFill="1" applyBorder="1" applyAlignment="1" applyProtection="1">
      <alignment horizontal="center" vertical="center" wrapText="1"/>
      <protection hidden="1"/>
    </xf>
    <xf numFmtId="2" fontId="3" fillId="54" borderId="16" xfId="0" applyNumberFormat="1" applyFont="1" applyFill="1" applyBorder="1" applyAlignment="1" applyProtection="1">
      <alignment horizontal="center" vertical="center" wrapText="1"/>
      <protection hidden="1"/>
    </xf>
    <xf numFmtId="167" fontId="7" fillId="68" borderId="16" xfId="1" applyNumberFormat="1" applyFont="1" applyFill="1" applyBorder="1" applyAlignment="1" applyProtection="1">
      <alignment horizontal="center" vertical="center" wrapText="1"/>
      <protection hidden="1"/>
    </xf>
    <xf numFmtId="164" fontId="7" fillId="68" borderId="16" xfId="1" applyFont="1" applyFill="1" applyBorder="1" applyAlignment="1" applyProtection="1">
      <alignment horizontal="center" vertical="center" wrapText="1"/>
      <protection hidden="1"/>
    </xf>
    <xf numFmtId="167" fontId="3" fillId="68" borderId="16" xfId="1" applyNumberFormat="1" applyFont="1" applyFill="1" applyBorder="1" applyAlignment="1" applyProtection="1">
      <alignment horizontal="center" vertical="center" wrapText="1"/>
      <protection hidden="1"/>
    </xf>
    <xf numFmtId="167" fontId="7" fillId="66" borderId="16" xfId="1" applyNumberFormat="1" applyFont="1" applyFill="1" applyBorder="1" applyAlignment="1" applyProtection="1">
      <alignment horizontal="center" vertical="center" wrapText="1"/>
      <protection hidden="1"/>
    </xf>
    <xf numFmtId="169" fontId="7" fillId="66" borderId="16" xfId="0" applyNumberFormat="1" applyFont="1" applyFill="1" applyBorder="1" applyAlignment="1" applyProtection="1">
      <alignment horizontal="center" vertical="center" wrapText="1"/>
      <protection hidden="1"/>
    </xf>
    <xf numFmtId="2" fontId="3" fillId="68" borderId="16" xfId="0" applyNumberFormat="1" applyFont="1" applyFill="1" applyBorder="1" applyAlignment="1" applyProtection="1">
      <alignment horizontal="center" vertical="center" wrapText="1"/>
      <protection hidden="1"/>
    </xf>
    <xf numFmtId="1" fontId="35" fillId="27" borderId="16" xfId="0" applyNumberFormat="1" applyFont="1" applyFill="1" applyBorder="1" applyAlignment="1" applyProtection="1">
      <alignment horizontal="center" vertical="center" wrapText="1"/>
      <protection hidden="1"/>
    </xf>
    <xf numFmtId="1" fontId="35" fillId="49" borderId="16" xfId="0" applyNumberFormat="1" applyFont="1" applyFill="1" applyBorder="1" applyAlignment="1" applyProtection="1">
      <alignment horizontal="center" vertical="center" wrapText="1"/>
      <protection hidden="1"/>
    </xf>
    <xf numFmtId="10" fontId="35" fillId="49" borderId="16" xfId="2" applyNumberFormat="1" applyFont="1" applyFill="1" applyBorder="1" applyAlignment="1" applyProtection="1">
      <alignment horizontal="center" vertical="center" wrapText="1"/>
      <protection hidden="1"/>
    </xf>
    <xf numFmtId="2" fontId="3" fillId="49" borderId="21" xfId="0" applyNumberFormat="1" applyFont="1" applyFill="1" applyBorder="1" applyAlignment="1" applyProtection="1">
      <alignment horizontal="center" vertical="center" wrapText="1"/>
      <protection hidden="1"/>
    </xf>
    <xf numFmtId="2" fontId="17" fillId="31" borderId="15" xfId="0" applyNumberFormat="1" applyFont="1" applyFill="1" applyBorder="1" applyAlignment="1" applyProtection="1">
      <alignment horizontal="center" vertical="center" wrapText="1"/>
      <protection hidden="1"/>
    </xf>
    <xf numFmtId="0" fontId="3" fillId="0" borderId="21" xfId="0" applyFont="1" applyBorder="1" applyAlignment="1" applyProtection="1">
      <alignment horizontal="center" vertical="center" wrapText="1"/>
      <protection hidden="1"/>
    </xf>
    <xf numFmtId="165" fontId="35" fillId="62" borderId="16" xfId="0" applyNumberFormat="1" applyFont="1" applyFill="1" applyBorder="1" applyAlignment="1" applyProtection="1">
      <alignment horizontal="center" vertical="center"/>
      <protection hidden="1"/>
    </xf>
    <xf numFmtId="167" fontId="14" fillId="68" borderId="16" xfId="1" applyNumberFormat="1" applyFont="1" applyFill="1" applyBorder="1" applyAlignment="1" applyProtection="1">
      <alignment horizontal="center" vertical="center" wrapText="1"/>
      <protection hidden="1"/>
    </xf>
    <xf numFmtId="164" fontId="14" fillId="68" borderId="16" xfId="1" applyFont="1" applyFill="1" applyBorder="1" applyAlignment="1" applyProtection="1">
      <alignment horizontal="center" vertical="center" wrapText="1"/>
      <protection hidden="1"/>
    </xf>
    <xf numFmtId="167" fontId="35" fillId="68" borderId="16" xfId="1" applyNumberFormat="1" applyFont="1" applyFill="1" applyBorder="1" applyAlignment="1" applyProtection="1">
      <alignment horizontal="center" vertical="center" wrapText="1"/>
      <protection hidden="1"/>
    </xf>
    <xf numFmtId="1" fontId="3" fillId="27" borderId="16" xfId="0" applyNumberFormat="1" applyFont="1" applyFill="1" applyBorder="1" applyAlignment="1" applyProtection="1">
      <alignment horizontal="center" vertical="center" wrapText="1"/>
      <protection hidden="1"/>
    </xf>
    <xf numFmtId="1" fontId="7" fillId="49" borderId="16" xfId="0" applyNumberFormat="1" applyFont="1" applyFill="1" applyBorder="1" applyAlignment="1" applyProtection="1">
      <alignment horizontal="center" vertical="center" wrapText="1"/>
      <protection hidden="1"/>
    </xf>
    <xf numFmtId="10" fontId="7" fillId="49" borderId="16" xfId="2" applyNumberFormat="1" applyFont="1" applyFill="1" applyBorder="1" applyAlignment="1" applyProtection="1">
      <alignment horizontal="center" vertical="center" wrapText="1"/>
      <protection hidden="1"/>
    </xf>
    <xf numFmtId="165" fontId="17" fillId="62" borderId="16" xfId="0" applyNumberFormat="1" applyFont="1" applyFill="1" applyBorder="1" applyAlignment="1" applyProtection="1">
      <alignment horizontal="center" vertical="center"/>
      <protection hidden="1"/>
    </xf>
    <xf numFmtId="1" fontId="17" fillId="27" borderId="16" xfId="0" applyNumberFormat="1" applyFont="1" applyFill="1" applyBorder="1" applyAlignment="1" applyProtection="1">
      <alignment horizontal="center" vertical="center" wrapText="1"/>
      <protection hidden="1"/>
    </xf>
    <xf numFmtId="0" fontId="6" fillId="0" borderId="72" xfId="0" applyFont="1" applyBorder="1" applyAlignment="1" applyProtection="1">
      <alignment horizontal="left" vertical="center" wrapText="1"/>
      <protection hidden="1"/>
    </xf>
    <xf numFmtId="1" fontId="4" fillId="9" borderId="67" xfId="0" applyNumberFormat="1" applyFont="1" applyFill="1" applyBorder="1" applyAlignment="1" applyProtection="1">
      <alignment horizontal="center" vertical="center"/>
      <protection hidden="1"/>
    </xf>
    <xf numFmtId="2" fontId="3" fillId="9" borderId="67" xfId="0" applyNumberFormat="1" applyFont="1" applyFill="1" applyBorder="1" applyAlignment="1" applyProtection="1">
      <alignment horizontal="center" vertical="center" wrapText="1"/>
      <protection hidden="1"/>
    </xf>
    <xf numFmtId="167" fontId="7" fillId="19" borderId="67" xfId="1" applyNumberFormat="1" applyFont="1" applyFill="1" applyBorder="1" applyAlignment="1">
      <alignment vertical="center"/>
    </xf>
    <xf numFmtId="2" fontId="3" fillId="46" borderId="67" xfId="0" applyNumberFormat="1" applyFont="1" applyFill="1" applyBorder="1" applyAlignment="1" applyProtection="1">
      <alignment horizontal="center" vertical="center" wrapText="1"/>
      <protection hidden="1"/>
    </xf>
    <xf numFmtId="2" fontId="7" fillId="48" borderId="67" xfId="0" applyNumberFormat="1" applyFont="1" applyFill="1" applyBorder="1" applyAlignment="1" applyProtection="1">
      <alignment horizontal="center" vertical="center" wrapText="1"/>
      <protection hidden="1"/>
    </xf>
    <xf numFmtId="2" fontId="3" fillId="48" borderId="67" xfId="0" applyNumberFormat="1" applyFont="1" applyFill="1" applyBorder="1" applyAlignment="1" applyProtection="1">
      <alignment horizontal="center" vertical="center" wrapText="1"/>
      <protection hidden="1"/>
    </xf>
    <xf numFmtId="165" fontId="5" fillId="62" borderId="67" xfId="0" applyNumberFormat="1" applyFont="1" applyFill="1" applyBorder="1" applyAlignment="1" applyProtection="1">
      <alignment horizontal="center" vertical="center"/>
      <protection hidden="1"/>
    </xf>
    <xf numFmtId="2" fontId="3" fillId="64" borderId="67" xfId="0" applyNumberFormat="1" applyFont="1" applyFill="1" applyBorder="1" applyAlignment="1" applyProtection="1">
      <alignment horizontal="center" vertical="center" wrapText="1"/>
      <protection hidden="1"/>
    </xf>
    <xf numFmtId="2" fontId="3" fillId="54" borderId="67" xfId="0" applyNumberFormat="1" applyFont="1" applyFill="1" applyBorder="1" applyAlignment="1" applyProtection="1">
      <alignment horizontal="center" vertical="center" wrapText="1"/>
      <protection hidden="1"/>
    </xf>
    <xf numFmtId="167" fontId="7" fillId="68" borderId="67" xfId="1" applyNumberFormat="1" applyFont="1" applyFill="1" applyBorder="1" applyAlignment="1" applyProtection="1">
      <alignment horizontal="center" vertical="center" wrapText="1"/>
      <protection hidden="1"/>
    </xf>
    <xf numFmtId="164" fontId="7" fillId="68" borderId="67" xfId="1" applyFont="1" applyFill="1" applyBorder="1" applyAlignment="1" applyProtection="1">
      <alignment horizontal="center" vertical="center" wrapText="1"/>
      <protection hidden="1"/>
    </xf>
    <xf numFmtId="167" fontId="3" fillId="68" borderId="67" xfId="1" applyNumberFormat="1" applyFont="1" applyFill="1" applyBorder="1" applyAlignment="1" applyProtection="1">
      <alignment horizontal="center" vertical="center" wrapText="1"/>
      <protection hidden="1"/>
    </xf>
    <xf numFmtId="167" fontId="7" fillId="66" borderId="67" xfId="1" applyNumberFormat="1" applyFont="1" applyFill="1" applyBorder="1" applyAlignment="1" applyProtection="1">
      <alignment horizontal="center" vertical="center" wrapText="1"/>
      <protection hidden="1"/>
    </xf>
    <xf numFmtId="169" fontId="7" fillId="66" borderId="67" xfId="0" applyNumberFormat="1" applyFont="1" applyFill="1" applyBorder="1" applyAlignment="1" applyProtection="1">
      <alignment horizontal="center" vertical="center" wrapText="1"/>
      <protection hidden="1"/>
    </xf>
    <xf numFmtId="2" fontId="3" fillId="68" borderId="67" xfId="0" applyNumberFormat="1" applyFont="1" applyFill="1" applyBorder="1" applyAlignment="1" applyProtection="1">
      <alignment horizontal="center" vertical="center" wrapText="1"/>
      <protection hidden="1"/>
    </xf>
    <xf numFmtId="1" fontId="35" fillId="27" borderId="67" xfId="0" applyNumberFormat="1" applyFont="1" applyFill="1" applyBorder="1" applyAlignment="1" applyProtection="1">
      <alignment horizontal="center" vertical="center" wrapText="1"/>
      <protection hidden="1"/>
    </xf>
    <xf numFmtId="1" fontId="7" fillId="49" borderId="67" xfId="0" applyNumberFormat="1" applyFont="1" applyFill="1" applyBorder="1" applyAlignment="1" applyProtection="1">
      <alignment horizontal="center" vertical="center" wrapText="1"/>
      <protection hidden="1"/>
    </xf>
    <xf numFmtId="10" fontId="7" fillId="49" borderId="67" xfId="2" applyNumberFormat="1" applyFont="1" applyFill="1" applyBorder="1" applyAlignment="1" applyProtection="1">
      <alignment horizontal="center" vertical="center" wrapText="1"/>
      <protection hidden="1"/>
    </xf>
    <xf numFmtId="2" fontId="3" fillId="49" borderId="68" xfId="0" applyNumberFormat="1" applyFont="1" applyFill="1" applyBorder="1" applyAlignment="1" applyProtection="1">
      <alignment horizontal="center" vertical="center" wrapText="1"/>
      <protection hidden="1"/>
    </xf>
    <xf numFmtId="0" fontId="3" fillId="12" borderId="68" xfId="0" applyFont="1" applyFill="1" applyBorder="1" applyAlignment="1" applyProtection="1">
      <alignment horizontal="center" vertical="center" wrapText="1"/>
      <protection hidden="1"/>
    </xf>
    <xf numFmtId="0" fontId="7" fillId="0" borderId="40" xfId="0" applyFont="1" applyBorder="1" applyProtection="1">
      <protection hidden="1"/>
    </xf>
    <xf numFmtId="164" fontId="7" fillId="13" borderId="40" xfId="0" applyNumberFormat="1" applyFont="1" applyFill="1" applyBorder="1" applyProtection="1">
      <protection hidden="1"/>
    </xf>
    <xf numFmtId="2" fontId="7" fillId="13" borderId="15" xfId="0" applyNumberFormat="1" applyFont="1" applyFill="1" applyBorder="1" applyProtection="1">
      <protection hidden="1"/>
    </xf>
    <xf numFmtId="0" fontId="7" fillId="2" borderId="37" xfId="0" applyFont="1" applyFill="1" applyBorder="1" applyProtection="1">
      <protection hidden="1"/>
    </xf>
    <xf numFmtId="164" fontId="7" fillId="43" borderId="45" xfId="1" applyFont="1" applyFill="1" applyBorder="1" applyProtection="1">
      <protection hidden="1"/>
    </xf>
    <xf numFmtId="0" fontId="3" fillId="2" borderId="37" xfId="0" applyFont="1" applyFill="1" applyBorder="1" applyAlignment="1" applyProtection="1">
      <alignment horizontal="center"/>
      <protection hidden="1"/>
    </xf>
    <xf numFmtId="0" fontId="7" fillId="2" borderId="38" xfId="0" applyFont="1" applyFill="1" applyBorder="1" applyProtection="1">
      <protection hidden="1"/>
    </xf>
    <xf numFmtId="0" fontId="3" fillId="4" borderId="4" xfId="0" applyFont="1" applyFill="1" applyBorder="1" applyAlignment="1" applyProtection="1">
      <alignment horizontal="center" wrapText="1"/>
      <protection hidden="1"/>
    </xf>
    <xf numFmtId="0" fontId="3" fillId="4" borderId="4" xfId="0" applyFont="1" applyFill="1" applyBorder="1" applyAlignment="1" applyProtection="1">
      <alignment horizontal="center" vertical="center"/>
      <protection hidden="1"/>
    </xf>
    <xf numFmtId="0" fontId="5" fillId="0" borderId="31" xfId="0" applyFont="1" applyBorder="1" applyAlignment="1" applyProtection="1">
      <alignment wrapText="1"/>
      <protection hidden="1"/>
    </xf>
    <xf numFmtId="0" fontId="7" fillId="0" borderId="4" xfId="0" applyFont="1" applyBorder="1" applyProtection="1">
      <protection hidden="1"/>
    </xf>
    <xf numFmtId="1" fontId="7" fillId="0" borderId="4" xfId="0" applyNumberFormat="1" applyFont="1" applyBorder="1" applyProtection="1">
      <protection hidden="1"/>
    </xf>
    <xf numFmtId="0" fontId="7" fillId="0" borderId="7" xfId="0" applyFont="1" applyBorder="1" applyProtection="1">
      <protection hidden="1"/>
    </xf>
    <xf numFmtId="0" fontId="3" fillId="5" borderId="31" xfId="0" applyFont="1" applyFill="1" applyBorder="1" applyAlignment="1" applyProtection="1">
      <alignment horizontal="center" vertical="center"/>
      <protection hidden="1"/>
    </xf>
    <xf numFmtId="4" fontId="7" fillId="12" borderId="4" xfId="0" applyNumberFormat="1" applyFont="1" applyFill="1" applyBorder="1" applyAlignment="1" applyProtection="1">
      <alignment vertical="center"/>
      <protection hidden="1"/>
    </xf>
    <xf numFmtId="0" fontId="7" fillId="12" borderId="4" xfId="0" applyFont="1" applyFill="1" applyBorder="1" applyAlignment="1" applyProtection="1">
      <alignment horizontal="center" vertical="center"/>
      <protection hidden="1"/>
    </xf>
    <xf numFmtId="4" fontId="7" fillId="0" borderId="4" xfId="0" applyNumberFormat="1" applyFont="1" applyBorder="1" applyAlignment="1" applyProtection="1">
      <alignment vertical="center"/>
      <protection hidden="1"/>
    </xf>
    <xf numFmtId="164" fontId="7" fillId="2" borderId="15" xfId="1" applyFont="1" applyFill="1" applyBorder="1" applyProtection="1">
      <protection hidden="1"/>
    </xf>
    <xf numFmtId="0" fontId="7" fillId="0" borderId="4" xfId="0" applyFont="1" applyBorder="1" applyAlignment="1" applyProtection="1">
      <alignment horizontal="center"/>
      <protection hidden="1"/>
    </xf>
    <xf numFmtId="2" fontId="7" fillId="0" borderId="4" xfId="0" applyNumberFormat="1" applyFont="1" applyBorder="1" applyProtection="1">
      <protection hidden="1"/>
    </xf>
    <xf numFmtId="170" fontId="7" fillId="0" borderId="4" xfId="0" applyNumberFormat="1" applyFont="1" applyBorder="1" applyProtection="1">
      <protection hidden="1"/>
    </xf>
    <xf numFmtId="0" fontId="3" fillId="0" borderId="37" xfId="0" applyFont="1" applyBorder="1" applyAlignment="1" applyProtection="1">
      <alignment horizontal="center" vertical="center"/>
      <protection hidden="1"/>
    </xf>
    <xf numFmtId="4" fontId="7" fillId="0" borderId="15" xfId="0" applyNumberFormat="1" applyFont="1" applyBorder="1" applyAlignment="1" applyProtection="1">
      <alignment vertical="center"/>
      <protection hidden="1"/>
    </xf>
    <xf numFmtId="0" fontId="7" fillId="0" borderId="15" xfId="0" applyFont="1" applyBorder="1" applyAlignment="1" applyProtection="1">
      <alignment horizontal="center" vertical="center"/>
      <protection hidden="1"/>
    </xf>
    <xf numFmtId="164" fontId="7" fillId="2" borderId="15" xfId="0" applyNumberFormat="1" applyFont="1" applyFill="1" applyBorder="1" applyProtection="1">
      <protection hidden="1"/>
    </xf>
    <xf numFmtId="164" fontId="7" fillId="13" borderId="15" xfId="0" applyNumberFormat="1" applyFont="1" applyFill="1" applyBorder="1" applyProtection="1">
      <protection hidden="1"/>
    </xf>
    <xf numFmtId="0" fontId="7" fillId="0" borderId="8" xfId="0" applyFont="1" applyBorder="1" applyAlignment="1" applyProtection="1">
      <alignment horizontal="center"/>
      <protection hidden="1"/>
    </xf>
    <xf numFmtId="0" fontId="3" fillId="4" borderId="31" xfId="0" applyFont="1" applyFill="1" applyBorder="1" applyAlignment="1" applyProtection="1">
      <alignment horizontal="center" vertical="center" wrapText="1"/>
      <protection hidden="1"/>
    </xf>
    <xf numFmtId="0" fontId="3" fillId="28" borderId="15" xfId="0" applyFont="1" applyFill="1" applyBorder="1" applyProtection="1">
      <protection hidden="1"/>
    </xf>
    <xf numFmtId="0" fontId="3" fillId="6" borderId="15" xfId="0" applyFont="1" applyFill="1" applyBorder="1" applyProtection="1">
      <protection hidden="1"/>
    </xf>
    <xf numFmtId="170" fontId="3" fillId="0" borderId="32" xfId="0" applyNumberFormat="1" applyFont="1" applyBorder="1" applyProtection="1">
      <protection hidden="1"/>
    </xf>
    <xf numFmtId="0" fontId="7" fillId="0" borderId="31" xfId="0" applyFont="1" applyBorder="1" applyAlignment="1" applyProtection="1">
      <alignment horizontal="center"/>
      <protection hidden="1"/>
    </xf>
    <xf numFmtId="10" fontId="7" fillId="0" borderId="4" xfId="0" applyNumberFormat="1" applyFont="1" applyBorder="1" applyAlignment="1" applyProtection="1">
      <alignment horizontal="center"/>
      <protection hidden="1"/>
    </xf>
    <xf numFmtId="0" fontId="3" fillId="6" borderId="37" xfId="0" applyFont="1" applyFill="1" applyBorder="1" applyProtection="1">
      <protection hidden="1"/>
    </xf>
    <xf numFmtId="10" fontId="7" fillId="0" borderId="4" xfId="2" applyNumberFormat="1" applyFont="1" applyBorder="1" applyAlignment="1" applyProtection="1">
      <alignment horizontal="center"/>
      <protection hidden="1"/>
    </xf>
    <xf numFmtId="0" fontId="7" fillId="2" borderId="39" xfId="0" applyFont="1" applyFill="1" applyBorder="1" applyProtection="1">
      <protection hidden="1"/>
    </xf>
    <xf numFmtId="0" fontId="7" fillId="2" borderId="42" xfId="0" applyFont="1" applyFill="1" applyBorder="1" applyProtection="1">
      <protection hidden="1"/>
    </xf>
    <xf numFmtId="0" fontId="3" fillId="6" borderId="20" xfId="0" applyFont="1" applyFill="1" applyBorder="1" applyProtection="1">
      <protection hidden="1"/>
    </xf>
    <xf numFmtId="0" fontId="3" fillId="6" borderId="16" xfId="0" applyFont="1" applyFill="1" applyBorder="1" applyProtection="1">
      <protection hidden="1"/>
    </xf>
    <xf numFmtId="0" fontId="3" fillId="5" borderId="4" xfId="0" applyFont="1" applyFill="1" applyBorder="1" applyAlignment="1" applyProtection="1">
      <alignment horizontal="center"/>
      <protection hidden="1"/>
    </xf>
    <xf numFmtId="0" fontId="3" fillId="5" borderId="4" xfId="0" applyFont="1" applyFill="1" applyBorder="1" applyProtection="1">
      <protection hidden="1"/>
    </xf>
    <xf numFmtId="0" fontId="7" fillId="0" borderId="13" xfId="0" applyFont="1" applyBorder="1" applyProtection="1">
      <protection hidden="1"/>
    </xf>
    <xf numFmtId="9" fontId="7" fillId="0" borderId="4" xfId="0" applyNumberFormat="1" applyFont="1" applyBorder="1" applyAlignment="1" applyProtection="1">
      <alignment horizontal="center"/>
      <protection hidden="1"/>
    </xf>
    <xf numFmtId="9" fontId="7" fillId="0" borderId="4" xfId="2" applyFont="1" applyBorder="1" applyAlignment="1" applyProtection="1">
      <alignment horizontal="center"/>
      <protection hidden="1"/>
    </xf>
    <xf numFmtId="0" fontId="7" fillId="0" borderId="5" xfId="0" applyFont="1" applyBorder="1" applyProtection="1">
      <protection hidden="1"/>
    </xf>
    <xf numFmtId="170" fontId="7" fillId="0" borderId="8" xfId="0" applyNumberFormat="1" applyFont="1" applyBorder="1" applyProtection="1">
      <protection hidden="1"/>
    </xf>
    <xf numFmtId="170" fontId="3" fillId="0" borderId="34" xfId="0" applyNumberFormat="1" applyFont="1" applyBorder="1" applyProtection="1">
      <protection hidden="1"/>
    </xf>
    <xf numFmtId="0" fontId="7" fillId="2" borderId="11" xfId="0" applyFont="1" applyFill="1" applyBorder="1" applyProtection="1">
      <protection hidden="1"/>
    </xf>
    <xf numFmtId="0" fontId="7" fillId="2" borderId="36" xfId="0" applyFont="1" applyFill="1" applyBorder="1" applyProtection="1">
      <protection hidden="1"/>
    </xf>
    <xf numFmtId="170" fontId="7" fillId="43" borderId="23" xfId="0" applyNumberFormat="1" applyFont="1" applyFill="1" applyBorder="1" applyProtection="1">
      <protection hidden="1"/>
    </xf>
    <xf numFmtId="0" fontId="3" fillId="0" borderId="4" xfId="0" applyFont="1" applyBorder="1" applyProtection="1">
      <protection hidden="1"/>
    </xf>
    <xf numFmtId="4" fontId="3" fillId="42" borderId="52" xfId="0" applyNumberFormat="1" applyFont="1" applyFill="1" applyBorder="1" applyProtection="1">
      <protection hidden="1"/>
    </xf>
    <xf numFmtId="0" fontId="3" fillId="74" borderId="15" xfId="0" applyFont="1" applyFill="1" applyBorder="1" applyAlignment="1" applyProtection="1">
      <alignment horizontal="center"/>
      <protection hidden="1"/>
    </xf>
    <xf numFmtId="4" fontId="3" fillId="74" borderId="15" xfId="0" applyNumberFormat="1" applyFont="1" applyFill="1" applyBorder="1" applyProtection="1">
      <protection hidden="1"/>
    </xf>
    <xf numFmtId="0" fontId="7" fillId="6" borderId="39" xfId="0" applyFont="1" applyFill="1" applyBorder="1" applyProtection="1">
      <protection hidden="1"/>
    </xf>
    <xf numFmtId="0" fontId="7" fillId="6" borderId="40" xfId="0" applyFont="1" applyFill="1" applyBorder="1" applyProtection="1">
      <protection hidden="1"/>
    </xf>
    <xf numFmtId="0" fontId="3" fillId="0" borderId="57" xfId="0" applyFont="1" applyBorder="1" applyProtection="1">
      <protection hidden="1"/>
    </xf>
    <xf numFmtId="0" fontId="3" fillId="0" borderId="59" xfId="0" applyFont="1" applyBorder="1" applyProtection="1">
      <protection hidden="1"/>
    </xf>
    <xf numFmtId="170" fontId="3" fillId="12" borderId="78" xfId="0" applyNumberFormat="1" applyFont="1" applyFill="1" applyBorder="1" applyProtection="1">
      <protection hidden="1"/>
    </xf>
    <xf numFmtId="0" fontId="3" fillId="0" borderId="31" xfId="0" applyFont="1" applyBorder="1" applyProtection="1">
      <protection hidden="1"/>
    </xf>
    <xf numFmtId="0" fontId="3" fillId="0" borderId="32" xfId="0" applyFont="1" applyBorder="1" applyProtection="1">
      <protection hidden="1"/>
    </xf>
    <xf numFmtId="0" fontId="3" fillId="0" borderId="38" xfId="0" applyFont="1" applyBorder="1" applyProtection="1">
      <protection hidden="1"/>
    </xf>
    <xf numFmtId="0" fontId="7" fillId="0" borderId="31" xfId="0" applyFont="1" applyBorder="1" applyProtection="1">
      <protection hidden="1"/>
    </xf>
    <xf numFmtId="0" fontId="7" fillId="0" borderId="33" xfId="0" applyFont="1" applyBorder="1" applyProtection="1">
      <protection hidden="1"/>
    </xf>
    <xf numFmtId="0" fontId="7" fillId="2" borderId="35" xfId="0" applyFont="1" applyFill="1" applyBorder="1" applyProtection="1">
      <protection hidden="1"/>
    </xf>
    <xf numFmtId="4" fontId="3" fillId="42" borderId="41" xfId="0" applyNumberFormat="1" applyFont="1" applyFill="1" applyBorder="1" applyProtection="1">
      <protection hidden="1"/>
    </xf>
    <xf numFmtId="0" fontId="3" fillId="0" borderId="58" xfId="0" applyFont="1" applyBorder="1" applyProtection="1">
      <protection hidden="1"/>
    </xf>
    <xf numFmtId="170" fontId="3" fillId="12" borderId="59" xfId="0" applyNumberFormat="1" applyFont="1" applyFill="1" applyBorder="1" applyProtection="1">
      <protection hidden="1"/>
    </xf>
    <xf numFmtId="0" fontId="3" fillId="0" borderId="15" xfId="0" applyFont="1" applyBorder="1" applyProtection="1">
      <protection hidden="1"/>
    </xf>
    <xf numFmtId="0" fontId="7" fillId="0" borderId="39" xfId="0" applyFont="1" applyBorder="1" applyProtection="1">
      <protection hidden="1"/>
    </xf>
    <xf numFmtId="0" fontId="7" fillId="0" borderId="40" xfId="0" applyFont="1" applyBorder="1"/>
    <xf numFmtId="164" fontId="7" fillId="63" borderId="16" xfId="1" applyFont="1" applyFill="1" applyBorder="1" applyAlignment="1">
      <alignment vertical="center"/>
    </xf>
    <xf numFmtId="4" fontId="7" fillId="22" borderId="16" xfId="0" applyNumberFormat="1" applyFont="1" applyFill="1" applyBorder="1" applyAlignment="1">
      <alignment vertical="center"/>
    </xf>
    <xf numFmtId="2" fontId="36" fillId="10" borderId="20" xfId="0" applyNumberFormat="1" applyFont="1" applyFill="1" applyBorder="1" applyAlignment="1" applyProtection="1">
      <alignment horizontal="center" vertical="center" wrapText="1"/>
      <protection hidden="1"/>
    </xf>
    <xf numFmtId="0" fontId="7" fillId="13" borderId="38" xfId="0" applyFont="1" applyFill="1" applyBorder="1" applyAlignment="1" applyProtection="1">
      <alignment vertical="center"/>
      <protection hidden="1"/>
    </xf>
    <xf numFmtId="0" fontId="7" fillId="0" borderId="0" xfId="0" applyFont="1" applyAlignment="1" applyProtection="1">
      <alignment vertical="center"/>
      <protection hidden="1"/>
    </xf>
    <xf numFmtId="164" fontId="14" fillId="63" borderId="16" xfId="1" applyFont="1" applyFill="1" applyBorder="1" applyAlignment="1">
      <alignment vertical="center"/>
    </xf>
    <xf numFmtId="2" fontId="7" fillId="0" borderId="0" xfId="0" applyNumberFormat="1" applyFont="1" applyAlignment="1" applyProtection="1">
      <alignment vertical="center"/>
      <protection hidden="1"/>
    </xf>
    <xf numFmtId="164" fontId="1" fillId="63" borderId="16" xfId="1" applyFont="1" applyFill="1" applyBorder="1" applyAlignment="1">
      <alignment vertical="center"/>
    </xf>
    <xf numFmtId="2" fontId="7" fillId="13" borderId="38" xfId="0" applyNumberFormat="1" applyFont="1" applyFill="1" applyBorder="1" applyAlignment="1" applyProtection="1">
      <alignment vertical="center"/>
      <protection hidden="1"/>
    </xf>
    <xf numFmtId="164" fontId="7" fillId="63" borderId="67" xfId="1" applyFont="1" applyFill="1" applyBorder="1" applyAlignment="1">
      <alignment vertical="center"/>
    </xf>
    <xf numFmtId="4" fontId="7" fillId="22" borderId="67" xfId="0" applyNumberFormat="1" applyFont="1" applyFill="1" applyBorder="1" applyAlignment="1">
      <alignment vertical="center"/>
    </xf>
    <xf numFmtId="2" fontId="36" fillId="10" borderId="66" xfId="0" applyNumberFormat="1" applyFont="1" applyFill="1" applyBorder="1" applyAlignment="1" applyProtection="1">
      <alignment horizontal="center" vertical="center" wrapText="1"/>
      <protection hidden="1"/>
    </xf>
    <xf numFmtId="0" fontId="3" fillId="6" borderId="16" xfId="0" applyFont="1" applyFill="1" applyBorder="1" applyAlignment="1" applyProtection="1">
      <alignment horizontal="center"/>
      <protection hidden="1"/>
    </xf>
    <xf numFmtId="0" fontId="12" fillId="13" borderId="9" xfId="3" applyFont="1" applyFill="1" applyBorder="1"/>
    <xf numFmtId="0" fontId="12" fillId="13" borderId="6" xfId="3" applyFont="1" applyFill="1" applyBorder="1"/>
    <xf numFmtId="0" fontId="12" fillId="2" borderId="6" xfId="3" applyFont="1" applyFill="1" applyBorder="1"/>
    <xf numFmtId="0" fontId="12" fillId="0" borderId="15" xfId="3" applyFont="1"/>
    <xf numFmtId="0" fontId="12" fillId="13" borderId="1" xfId="3" applyFont="1" applyFill="1" applyBorder="1"/>
    <xf numFmtId="0" fontId="12" fillId="13" borderId="15" xfId="3" applyFont="1" applyFill="1"/>
    <xf numFmtId="0" fontId="12" fillId="2" borderId="15" xfId="3" applyFont="1" applyFill="1"/>
    <xf numFmtId="0" fontId="12" fillId="13" borderId="10" xfId="3" applyFont="1" applyFill="1" applyBorder="1"/>
    <xf numFmtId="0" fontId="18" fillId="36" borderId="15" xfId="3" applyFont="1" applyFill="1" applyAlignment="1">
      <alignment horizontal="left"/>
    </xf>
    <xf numFmtId="0" fontId="32" fillId="33" borderId="16" xfId="3" applyFont="1" applyFill="1" applyBorder="1" applyAlignment="1">
      <alignment horizontal="center"/>
    </xf>
    <xf numFmtId="0" fontId="32" fillId="21" borderId="16" xfId="3" applyFont="1" applyFill="1" applyBorder="1" applyAlignment="1">
      <alignment horizontal="center"/>
    </xf>
    <xf numFmtId="0" fontId="32" fillId="16" borderId="16" xfId="3" applyFont="1" applyFill="1" applyBorder="1" applyAlignment="1">
      <alignment horizontal="center"/>
    </xf>
    <xf numFmtId="0" fontId="32" fillId="32" borderId="16" xfId="3" applyFont="1" applyFill="1" applyBorder="1" applyAlignment="1">
      <alignment horizontal="center"/>
    </xf>
    <xf numFmtId="0" fontId="32" fillId="34" borderId="16" xfId="3" applyFont="1" applyFill="1" applyBorder="1" applyAlignment="1">
      <alignment horizontal="center"/>
    </xf>
    <xf numFmtId="0" fontId="18" fillId="75" borderId="16" xfId="3" applyFont="1" applyFill="1" applyBorder="1" applyAlignment="1">
      <alignment horizontal="left" vertical="center" wrapText="1"/>
    </xf>
    <xf numFmtId="0" fontId="12" fillId="40" borderId="16" xfId="3" applyFont="1" applyFill="1" applyBorder="1" applyAlignment="1">
      <alignment horizontal="center" vertical="center" wrapText="1"/>
    </xf>
    <xf numFmtId="0" fontId="12" fillId="0" borderId="16" xfId="3" applyFont="1" applyBorder="1" applyAlignment="1">
      <alignment horizontal="center" vertical="center" wrapText="1"/>
    </xf>
    <xf numFmtId="0" fontId="12" fillId="0" borderId="16" xfId="3" applyFont="1" applyBorder="1" applyAlignment="1">
      <alignment horizontal="center" vertical="center"/>
    </xf>
    <xf numFmtId="0" fontId="12" fillId="13" borderId="16" xfId="3" applyFont="1" applyFill="1" applyBorder="1" applyAlignment="1">
      <alignment horizontal="center" vertical="center" wrapText="1"/>
    </xf>
    <xf numFmtId="0" fontId="32" fillId="37" borderId="54" xfId="3" applyFont="1" applyFill="1" applyBorder="1" applyAlignment="1">
      <alignment horizontal="center" vertical="center" wrapText="1"/>
    </xf>
    <xf numFmtId="0" fontId="12" fillId="0" borderId="54" xfId="3" applyFont="1" applyBorder="1" applyAlignment="1">
      <alignment horizontal="center" vertical="center" wrapText="1"/>
    </xf>
    <xf numFmtId="0" fontId="37" fillId="0" borderId="8" xfId="3" applyFont="1" applyBorder="1" applyAlignment="1">
      <alignment vertical="center" wrapText="1"/>
    </xf>
    <xf numFmtId="0" fontId="37" fillId="0" borderId="16" xfId="3" applyFont="1" applyBorder="1" applyAlignment="1">
      <alignment vertical="center" wrapText="1"/>
    </xf>
    <xf numFmtId="0" fontId="37" fillId="0" borderId="16" xfId="3" applyFont="1" applyBorder="1" applyAlignment="1">
      <alignment vertical="top" wrapText="1"/>
    </xf>
    <xf numFmtId="0" fontId="7" fillId="15" borderId="16" xfId="0" applyFont="1" applyFill="1" applyBorder="1" applyAlignment="1">
      <alignment horizontal="center" vertical="center"/>
    </xf>
    <xf numFmtId="0" fontId="8" fillId="20" borderId="16" xfId="0" applyFont="1" applyFill="1" applyBorder="1" applyAlignment="1" applyProtection="1">
      <alignment horizontal="center" vertical="center" wrapText="1"/>
      <protection hidden="1"/>
    </xf>
    <xf numFmtId="0" fontId="28" fillId="18" borderId="16" xfId="0" applyFont="1" applyFill="1" applyBorder="1" applyAlignment="1" applyProtection="1">
      <alignment horizontal="center" vertical="center" wrapText="1"/>
      <protection hidden="1"/>
    </xf>
    <xf numFmtId="0" fontId="8" fillId="35" borderId="16" xfId="0" applyFont="1" applyFill="1" applyBorder="1" applyAlignment="1" applyProtection="1">
      <alignment horizontal="center" vertical="center" wrapText="1"/>
      <protection hidden="1"/>
    </xf>
    <xf numFmtId="0" fontId="8" fillId="60" borderId="16" xfId="0" applyFont="1" applyFill="1" applyBorder="1" applyAlignment="1" applyProtection="1">
      <alignment horizontal="center" vertical="center" wrapText="1"/>
      <protection hidden="1"/>
    </xf>
    <xf numFmtId="0" fontId="28" fillId="58" borderId="16" xfId="0" applyFont="1" applyFill="1" applyBorder="1" applyAlignment="1" applyProtection="1">
      <alignment horizontal="center" vertical="center" wrapText="1"/>
      <protection hidden="1"/>
    </xf>
    <xf numFmtId="0" fontId="8" fillId="23" borderId="16" xfId="0" applyFont="1" applyFill="1" applyBorder="1" applyAlignment="1" applyProtection="1">
      <alignment horizontal="center" vertical="center" wrapText="1"/>
      <protection hidden="1"/>
    </xf>
    <xf numFmtId="0" fontId="28" fillId="21" borderId="16" xfId="0" applyFont="1" applyFill="1" applyBorder="1" applyAlignment="1" applyProtection="1">
      <alignment horizontal="center" vertical="center" wrapText="1"/>
      <protection hidden="1"/>
    </xf>
    <xf numFmtId="0" fontId="25" fillId="60" borderId="16" xfId="0" applyFont="1" applyFill="1" applyBorder="1" applyAlignment="1" applyProtection="1">
      <alignment horizontal="center" vertical="center" wrapText="1"/>
      <protection hidden="1"/>
    </xf>
    <xf numFmtId="0" fontId="8" fillId="57" borderId="16" xfId="0" applyFont="1" applyFill="1" applyBorder="1" applyAlignment="1" applyProtection="1">
      <alignment horizontal="center" vertical="center" wrapText="1"/>
      <protection hidden="1"/>
    </xf>
    <xf numFmtId="0" fontId="23" fillId="13" borderId="15" xfId="0" applyFont="1" applyFill="1" applyBorder="1" applyAlignment="1" applyProtection="1">
      <alignment horizontal="center"/>
      <protection hidden="1"/>
    </xf>
    <xf numFmtId="0" fontId="4" fillId="0" borderId="31" xfId="0" applyFont="1" applyBorder="1" applyAlignment="1" applyProtection="1">
      <alignment horizontal="right" wrapText="1"/>
      <protection hidden="1"/>
    </xf>
    <xf numFmtId="0" fontId="4" fillId="0" borderId="33" xfId="0" applyFont="1" applyBorder="1" applyAlignment="1" applyProtection="1">
      <alignment horizontal="right" wrapText="1"/>
      <protection hidden="1"/>
    </xf>
    <xf numFmtId="164" fontId="7" fillId="43" borderId="93" xfId="1" applyFont="1" applyFill="1" applyBorder="1" applyProtection="1">
      <protection hidden="1"/>
    </xf>
    <xf numFmtId="0" fontId="1" fillId="13" borderId="43" xfId="0" applyFont="1" applyFill="1" applyBorder="1"/>
    <xf numFmtId="0" fontId="7" fillId="2" borderId="43" xfId="0" applyFont="1" applyFill="1" applyBorder="1"/>
    <xf numFmtId="0" fontId="7" fillId="13" borderId="43" xfId="0" applyFont="1" applyFill="1" applyBorder="1"/>
    <xf numFmtId="0" fontId="7" fillId="0" borderId="19" xfId="0" applyFont="1" applyBorder="1"/>
    <xf numFmtId="0" fontId="1" fillId="13" borderId="37" xfId="0" applyFont="1" applyFill="1" applyBorder="1"/>
    <xf numFmtId="0" fontId="7" fillId="13" borderId="94" xfId="0" applyFont="1" applyFill="1" applyBorder="1"/>
    <xf numFmtId="0" fontId="4" fillId="13" borderId="37" xfId="0" applyFont="1" applyFill="1" applyBorder="1"/>
    <xf numFmtId="165" fontId="6" fillId="13" borderId="15" xfId="0" applyNumberFormat="1" applyFont="1" applyFill="1" applyBorder="1" applyAlignment="1">
      <alignment horizontal="center" vertical="center"/>
    </xf>
    <xf numFmtId="0" fontId="4" fillId="13" borderId="15" xfId="0" applyFont="1" applyFill="1" applyBorder="1"/>
    <xf numFmtId="0" fontId="7" fillId="0" borderId="39" xfId="0" applyFont="1" applyBorder="1"/>
    <xf numFmtId="0" fontId="7" fillId="13" borderId="42" xfId="0" applyFont="1" applyFill="1" applyBorder="1"/>
    <xf numFmtId="0" fontId="16" fillId="15" borderId="16" xfId="0" applyFont="1" applyFill="1" applyBorder="1" applyAlignment="1">
      <alignment horizontal="center" vertical="center" wrapText="1"/>
    </xf>
    <xf numFmtId="0" fontId="25" fillId="13" borderId="18" xfId="0" applyFont="1" applyFill="1" applyBorder="1" applyProtection="1">
      <protection hidden="1"/>
    </xf>
    <xf numFmtId="0" fontId="26" fillId="13" borderId="43" xfId="0" applyFont="1" applyFill="1" applyBorder="1" applyProtection="1">
      <protection hidden="1"/>
    </xf>
    <xf numFmtId="0" fontId="25" fillId="2" borderId="43" xfId="0" applyFont="1" applyFill="1" applyBorder="1" applyProtection="1">
      <protection hidden="1"/>
    </xf>
    <xf numFmtId="0" fontId="25" fillId="13" borderId="43" xfId="0" applyFont="1" applyFill="1" applyBorder="1" applyProtection="1">
      <protection hidden="1"/>
    </xf>
    <xf numFmtId="0" fontId="25" fillId="13" borderId="19" xfId="0" applyFont="1" applyFill="1" applyBorder="1" applyProtection="1">
      <protection hidden="1"/>
    </xf>
    <xf numFmtId="0" fontId="26" fillId="13" borderId="37" xfId="0" applyFont="1" applyFill="1" applyBorder="1" applyProtection="1">
      <protection hidden="1"/>
    </xf>
    <xf numFmtId="0" fontId="25" fillId="13" borderId="38" xfId="0" applyFont="1" applyFill="1" applyBorder="1" applyProtection="1">
      <protection hidden="1"/>
    </xf>
    <xf numFmtId="0" fontId="25" fillId="13" borderId="37" xfId="0" applyFont="1" applyFill="1" applyBorder="1" applyProtection="1">
      <protection hidden="1"/>
    </xf>
    <xf numFmtId="0" fontId="28" fillId="13" borderId="37" xfId="0" applyFont="1" applyFill="1" applyBorder="1" applyProtection="1">
      <protection hidden="1"/>
    </xf>
    <xf numFmtId="9" fontId="8" fillId="14" borderId="15" xfId="0" applyNumberFormat="1" applyFont="1" applyFill="1" applyBorder="1" applyAlignment="1" applyProtection="1">
      <alignment horizontal="center"/>
      <protection hidden="1"/>
    </xf>
    <xf numFmtId="165" fontId="25" fillId="13" borderId="15" xfId="0" applyNumberFormat="1" applyFont="1" applyFill="1" applyBorder="1" applyAlignment="1" applyProtection="1">
      <alignment horizontal="center" vertical="center"/>
      <protection hidden="1"/>
    </xf>
    <xf numFmtId="0" fontId="28" fillId="13" borderId="15" xfId="0" applyFont="1" applyFill="1" applyBorder="1" applyProtection="1">
      <protection hidden="1"/>
    </xf>
    <xf numFmtId="166" fontId="28" fillId="6" borderId="15" xfId="0" applyNumberFormat="1" applyFont="1" applyFill="1" applyBorder="1" applyAlignment="1" applyProtection="1">
      <alignment horizontal="center"/>
      <protection hidden="1"/>
    </xf>
    <xf numFmtId="0" fontId="8" fillId="4" borderId="31" xfId="0" applyFont="1" applyFill="1" applyBorder="1" applyAlignment="1" applyProtection="1">
      <alignment horizontal="center" vertical="center" wrapText="1"/>
      <protection hidden="1"/>
    </xf>
    <xf numFmtId="0" fontId="8" fillId="34" borderId="21" xfId="0" applyFont="1" applyFill="1" applyBorder="1" applyAlignment="1" applyProtection="1">
      <alignment horizontal="center" vertical="center" wrapText="1"/>
      <protection hidden="1"/>
    </xf>
    <xf numFmtId="0" fontId="8" fillId="0" borderId="31" xfId="0" applyFont="1" applyBorder="1" applyAlignment="1" applyProtection="1">
      <alignment horizontal="center" vertical="center"/>
      <protection hidden="1"/>
    </xf>
    <xf numFmtId="0" fontId="28" fillId="34" borderId="21" xfId="0" applyFont="1" applyFill="1" applyBorder="1" applyAlignment="1" applyProtection="1">
      <alignment horizontal="center" vertical="center" wrapText="1"/>
      <protection hidden="1"/>
    </xf>
    <xf numFmtId="0" fontId="25" fillId="13" borderId="39" xfId="0" applyFont="1" applyFill="1" applyBorder="1" applyProtection="1">
      <protection hidden="1"/>
    </xf>
    <xf numFmtId="0" fontId="25" fillId="13" borderId="40" xfId="0" applyFont="1" applyFill="1" applyBorder="1" applyProtection="1">
      <protection hidden="1"/>
    </xf>
    <xf numFmtId="164" fontId="21" fillId="12" borderId="17" xfId="1" applyFont="1" applyFill="1" applyBorder="1" applyAlignment="1" applyProtection="1">
      <alignment vertical="center"/>
      <protection hidden="1"/>
    </xf>
    <xf numFmtId="164" fontId="3" fillId="12" borderId="16" xfId="1" applyFont="1" applyFill="1" applyBorder="1" applyAlignment="1" applyProtection="1">
      <alignment vertical="center"/>
      <protection hidden="1"/>
    </xf>
    <xf numFmtId="2" fontId="3" fillId="26" borderId="16" xfId="0" applyNumberFormat="1" applyFont="1" applyFill="1" applyBorder="1" applyProtection="1">
      <protection hidden="1"/>
    </xf>
    <xf numFmtId="2" fontId="3" fillId="25" borderId="16" xfId="0" applyNumberFormat="1" applyFont="1" applyFill="1" applyBorder="1" applyProtection="1">
      <protection hidden="1"/>
    </xf>
    <xf numFmtId="0" fontId="7" fillId="13" borderId="9" xfId="0" applyFont="1" applyFill="1" applyBorder="1"/>
    <xf numFmtId="0" fontId="7" fillId="13" borderId="10" xfId="0" applyFont="1" applyFill="1" applyBorder="1"/>
    <xf numFmtId="0" fontId="7" fillId="13" borderId="2" xfId="0" applyFont="1" applyFill="1" applyBorder="1" applyProtection="1">
      <protection hidden="1"/>
    </xf>
    <xf numFmtId="0" fontId="7" fillId="6" borderId="15" xfId="0" applyFont="1" applyFill="1" applyBorder="1" applyProtection="1">
      <protection hidden="1"/>
    </xf>
    <xf numFmtId="0" fontId="7" fillId="13" borderId="94" xfId="0" applyFont="1" applyFill="1" applyBorder="1" applyProtection="1">
      <protection hidden="1"/>
    </xf>
    <xf numFmtId="0" fontId="18" fillId="11" borderId="21" xfId="0" applyFont="1" applyFill="1" applyBorder="1" applyAlignment="1" applyProtection="1">
      <alignment horizontal="center" vertical="center" wrapText="1"/>
      <protection hidden="1"/>
    </xf>
    <xf numFmtId="0" fontId="1" fillId="0" borderId="21" xfId="0" applyFont="1" applyBorder="1" applyAlignment="1" applyProtection="1">
      <alignment horizontal="center"/>
      <protection hidden="1"/>
    </xf>
    <xf numFmtId="0" fontId="7" fillId="80" borderId="37" xfId="0" applyFont="1" applyFill="1" applyBorder="1" applyProtection="1">
      <protection hidden="1"/>
    </xf>
    <xf numFmtId="0" fontId="7" fillId="0" borderId="21" xfId="0" applyFont="1" applyBorder="1" applyAlignment="1">
      <alignment horizontal="center"/>
    </xf>
    <xf numFmtId="0" fontId="14" fillId="13" borderId="15" xfId="0" applyFont="1" applyFill="1" applyBorder="1" applyProtection="1">
      <protection hidden="1"/>
    </xf>
    <xf numFmtId="0" fontId="18" fillId="11" borderId="88" xfId="0" applyFont="1" applyFill="1" applyBorder="1" applyAlignment="1" applyProtection="1">
      <alignment horizontal="center" vertical="center" wrapText="1"/>
      <protection hidden="1"/>
    </xf>
    <xf numFmtId="0" fontId="14" fillId="0" borderId="88" xfId="0" applyFont="1" applyBorder="1" applyAlignment="1" applyProtection="1">
      <alignment horizontal="center"/>
      <protection hidden="1"/>
    </xf>
    <xf numFmtId="0" fontId="1" fillId="0" borderId="21" xfId="0" applyFont="1" applyBorder="1" applyAlignment="1" applyProtection="1">
      <alignment horizontal="center" wrapText="1"/>
      <protection hidden="1"/>
    </xf>
    <xf numFmtId="0" fontId="7" fillId="13" borderId="21" xfId="0" applyFont="1" applyFill="1" applyBorder="1" applyAlignment="1" applyProtection="1">
      <alignment horizontal="center"/>
      <protection hidden="1"/>
    </xf>
    <xf numFmtId="0" fontId="9" fillId="11" borderId="21" xfId="0" applyFont="1" applyFill="1" applyBorder="1" applyAlignment="1" applyProtection="1">
      <alignment horizontal="center" vertical="center" wrapText="1"/>
      <protection hidden="1"/>
    </xf>
    <xf numFmtId="0" fontId="7" fillId="0" borderId="21" xfId="0" applyFont="1" applyBorder="1" applyAlignment="1" applyProtection="1">
      <alignment horizontal="center"/>
      <protection hidden="1"/>
    </xf>
    <xf numFmtId="0" fontId="7" fillId="0" borderId="88" xfId="0" applyFont="1" applyBorder="1" applyAlignment="1" applyProtection="1">
      <alignment horizontal="center"/>
      <protection hidden="1"/>
    </xf>
    <xf numFmtId="0" fontId="15" fillId="13" borderId="15" xfId="0" applyFont="1" applyFill="1" applyBorder="1" applyAlignment="1" applyProtection="1">
      <alignment horizontal="center"/>
      <protection hidden="1"/>
    </xf>
    <xf numFmtId="0" fontId="8" fillId="76" borderId="16" xfId="0" applyFont="1" applyFill="1" applyBorder="1" applyAlignment="1">
      <alignment horizontal="center" vertical="center" wrapText="1"/>
    </xf>
    <xf numFmtId="0" fontId="3" fillId="12" borderId="16" xfId="0" applyFont="1" applyFill="1" applyBorder="1" applyAlignment="1">
      <alignment horizontal="center"/>
    </xf>
    <xf numFmtId="0" fontId="2" fillId="3" borderId="15" xfId="0" applyFont="1" applyFill="1" applyBorder="1" applyAlignment="1">
      <alignment horizontal="left"/>
    </xf>
    <xf numFmtId="0" fontId="8" fillId="55" borderId="17" xfId="0" applyFont="1" applyFill="1" applyBorder="1" applyAlignment="1">
      <alignment horizontal="center" vertical="center" wrapText="1"/>
    </xf>
    <xf numFmtId="0" fontId="8" fillId="55" borderId="22" xfId="0" applyFont="1" applyFill="1" applyBorder="1" applyAlignment="1">
      <alignment horizontal="center" vertical="center" wrapText="1"/>
    </xf>
    <xf numFmtId="0" fontId="8" fillId="21" borderId="17" xfId="0" applyFont="1" applyFill="1" applyBorder="1" applyAlignment="1">
      <alignment horizontal="center" vertical="center" wrapText="1"/>
    </xf>
    <xf numFmtId="0" fontId="8" fillId="21" borderId="22" xfId="0" applyFont="1" applyFill="1" applyBorder="1" applyAlignment="1">
      <alignment horizontal="center" vertical="center" wrapText="1"/>
    </xf>
    <xf numFmtId="0" fontId="8" fillId="18" borderId="17" xfId="0" applyFont="1" applyFill="1" applyBorder="1" applyAlignment="1">
      <alignment horizontal="center" vertical="center" wrapText="1"/>
    </xf>
    <xf numFmtId="0" fontId="8" fillId="18" borderId="22" xfId="0" applyFont="1" applyFill="1" applyBorder="1" applyAlignment="1">
      <alignment horizontal="center" vertical="center" wrapText="1"/>
    </xf>
    <xf numFmtId="0" fontId="8" fillId="57" borderId="17" xfId="0" applyFont="1" applyFill="1" applyBorder="1" applyAlignment="1">
      <alignment horizontal="center" vertical="center" wrapText="1"/>
    </xf>
    <xf numFmtId="0" fontId="8" fillId="57" borderId="22" xfId="0" applyFont="1" applyFill="1" applyBorder="1" applyAlignment="1">
      <alignment horizontal="center" vertical="center" wrapText="1"/>
    </xf>
    <xf numFmtId="164" fontId="7" fillId="15" borderId="67" xfId="1" applyFont="1" applyFill="1" applyBorder="1" applyAlignment="1">
      <alignment horizontal="center"/>
    </xf>
    <xf numFmtId="164" fontId="7" fillId="15" borderId="68" xfId="1" applyFont="1" applyFill="1" applyBorder="1" applyAlignment="1">
      <alignment horizontal="center"/>
    </xf>
    <xf numFmtId="0" fontId="7" fillId="15" borderId="17" xfId="0" applyFont="1" applyFill="1" applyBorder="1" applyAlignment="1">
      <alignment horizontal="center" vertical="center"/>
    </xf>
    <xf numFmtId="0" fontId="7" fillId="15" borderId="88" xfId="0" applyFont="1" applyFill="1" applyBorder="1" applyAlignment="1">
      <alignment horizontal="center" vertical="center"/>
    </xf>
    <xf numFmtId="164" fontId="7" fillId="15" borderId="89" xfId="1" applyFont="1" applyFill="1" applyBorder="1" applyAlignment="1">
      <alignment horizontal="center" vertical="center"/>
    </xf>
    <xf numFmtId="164" fontId="7" fillId="15" borderId="91" xfId="1" applyFont="1" applyFill="1" applyBorder="1" applyAlignment="1">
      <alignment horizontal="center" vertical="center"/>
    </xf>
    <xf numFmtId="0" fontId="7" fillId="15" borderId="16" xfId="0" applyFont="1" applyFill="1" applyBorder="1" applyAlignment="1">
      <alignment horizontal="center" vertical="center"/>
    </xf>
    <xf numFmtId="0" fontId="7" fillId="15" borderId="21" xfId="0" applyFont="1" applyFill="1" applyBorder="1" applyAlignment="1">
      <alignment horizontal="center" vertical="center"/>
    </xf>
    <xf numFmtId="0" fontId="7" fillId="15" borderId="83" xfId="0" applyFont="1" applyFill="1" applyBorder="1" applyAlignment="1">
      <alignment horizontal="center" vertical="center"/>
    </xf>
    <xf numFmtId="0" fontId="7" fillId="15" borderId="92" xfId="0" applyFont="1" applyFill="1" applyBorder="1" applyAlignment="1">
      <alignment horizontal="center" vertical="center"/>
    </xf>
    <xf numFmtId="0" fontId="7" fillId="15" borderId="85" xfId="0" applyFont="1" applyFill="1" applyBorder="1" applyAlignment="1">
      <alignment horizontal="center" vertical="center"/>
    </xf>
    <xf numFmtId="0" fontId="7" fillId="15" borderId="38" xfId="0" applyFont="1" applyFill="1" applyBorder="1" applyAlignment="1">
      <alignment horizontal="center" vertical="center"/>
    </xf>
    <xf numFmtId="0" fontId="7" fillId="15" borderId="17" xfId="0" applyFont="1" applyFill="1" applyBorder="1" applyAlignment="1">
      <alignment horizontal="center"/>
    </xf>
    <xf numFmtId="0" fontId="7" fillId="15" borderId="88" xfId="0" applyFont="1" applyFill="1" applyBorder="1" applyAlignment="1">
      <alignment horizontal="center"/>
    </xf>
    <xf numFmtId="0" fontId="7" fillId="15" borderId="89" xfId="0" applyFont="1" applyFill="1" applyBorder="1" applyAlignment="1">
      <alignment horizontal="center" vertical="center"/>
    </xf>
    <xf numFmtId="0" fontId="7" fillId="15" borderId="91" xfId="0" applyFont="1" applyFill="1" applyBorder="1" applyAlignment="1">
      <alignment horizontal="center" vertical="center"/>
    </xf>
    <xf numFmtId="0" fontId="7" fillId="24" borderId="16" xfId="0" applyFont="1" applyFill="1" applyBorder="1" applyAlignment="1">
      <alignment horizontal="center" vertical="center"/>
    </xf>
    <xf numFmtId="164" fontId="7" fillId="24" borderId="67" xfId="1" applyFont="1" applyFill="1" applyBorder="1" applyAlignment="1">
      <alignment horizontal="center"/>
    </xf>
    <xf numFmtId="0" fontId="7" fillId="19" borderId="16" xfId="0" applyFont="1" applyFill="1" applyBorder="1" applyAlignment="1">
      <alignment horizontal="center" vertical="center"/>
    </xf>
    <xf numFmtId="0" fontId="7" fillId="19" borderId="17" xfId="0" applyFont="1" applyFill="1" applyBorder="1" applyAlignment="1">
      <alignment horizontal="center"/>
    </xf>
    <xf numFmtId="0" fontId="7" fillId="19" borderId="22" xfId="0" applyFont="1" applyFill="1" applyBorder="1" applyAlignment="1">
      <alignment horizontal="center"/>
    </xf>
    <xf numFmtId="0" fontId="7" fillId="19" borderId="17" xfId="0" applyFont="1" applyFill="1" applyBorder="1" applyAlignment="1">
      <alignment horizontal="center" vertical="center"/>
    </xf>
    <xf numFmtId="0" fontId="7" fillId="19" borderId="22" xfId="0" applyFont="1" applyFill="1" applyBorder="1" applyAlignment="1">
      <alignment horizontal="center" vertical="center"/>
    </xf>
    <xf numFmtId="0" fontId="7" fillId="19" borderId="89" xfId="0" applyFont="1" applyFill="1" applyBorder="1" applyAlignment="1">
      <alignment horizontal="center" vertical="center"/>
    </xf>
    <xf numFmtId="0" fontId="7" fillId="19" borderId="90" xfId="0" applyFont="1" applyFill="1" applyBorder="1" applyAlignment="1">
      <alignment horizontal="center" vertical="center"/>
    </xf>
    <xf numFmtId="167" fontId="7" fillId="19" borderId="89" xfId="1" applyNumberFormat="1" applyFont="1" applyFill="1" applyBorder="1" applyAlignment="1">
      <alignment horizontal="center" vertical="center"/>
    </xf>
    <xf numFmtId="167" fontId="7" fillId="19" borderId="90" xfId="1" applyNumberFormat="1" applyFont="1" applyFill="1" applyBorder="1" applyAlignment="1">
      <alignment horizontal="center" vertical="center"/>
    </xf>
    <xf numFmtId="0" fontId="7" fillId="19" borderId="16" xfId="0" applyFont="1" applyFill="1" applyBorder="1" applyAlignment="1">
      <alignment horizontal="center"/>
    </xf>
    <xf numFmtId="164" fontId="7" fillId="19" borderId="67" xfId="1" applyFont="1" applyFill="1" applyBorder="1" applyAlignment="1">
      <alignment horizontal="center"/>
    </xf>
    <xf numFmtId="0" fontId="7" fillId="24" borderId="17" xfId="0" applyFont="1" applyFill="1" applyBorder="1" applyAlignment="1">
      <alignment horizontal="center" vertical="center"/>
    </xf>
    <xf numFmtId="0" fontId="7" fillId="24" borderId="22" xfId="0" applyFont="1" applyFill="1" applyBorder="1" applyAlignment="1">
      <alignment horizontal="center" vertical="center"/>
    </xf>
    <xf numFmtId="167" fontId="7" fillId="24" borderId="89" xfId="1" applyNumberFormat="1" applyFont="1" applyFill="1" applyBorder="1" applyAlignment="1">
      <alignment horizontal="center" vertical="center"/>
    </xf>
    <xf numFmtId="167" fontId="7" fillId="24" borderId="90" xfId="1" applyNumberFormat="1" applyFont="1" applyFill="1" applyBorder="1" applyAlignment="1">
      <alignment horizontal="center" vertical="center"/>
    </xf>
    <xf numFmtId="0" fontId="7" fillId="24" borderId="16" xfId="0" applyFont="1" applyFill="1" applyBorder="1" applyAlignment="1">
      <alignment horizontal="center"/>
    </xf>
    <xf numFmtId="0" fontId="7" fillId="24" borderId="17" xfId="0" applyFont="1" applyFill="1" applyBorder="1" applyAlignment="1">
      <alignment horizontal="center"/>
    </xf>
    <xf numFmtId="0" fontId="7" fillId="24" borderId="22" xfId="0" applyFont="1" applyFill="1" applyBorder="1" applyAlignment="1">
      <alignment horizontal="center"/>
    </xf>
    <xf numFmtId="0" fontId="7" fillId="24" borderId="89" xfId="0" applyFont="1" applyFill="1" applyBorder="1" applyAlignment="1">
      <alignment horizontal="center" vertical="center"/>
    </xf>
    <xf numFmtId="0" fontId="7" fillId="24" borderId="90" xfId="0" applyFont="1" applyFill="1" applyBorder="1" applyAlignment="1">
      <alignment horizontal="center" vertical="center"/>
    </xf>
    <xf numFmtId="0" fontId="7" fillId="56" borderId="16" xfId="0" applyFont="1" applyFill="1" applyBorder="1" applyAlignment="1">
      <alignment horizontal="center" vertical="center"/>
    </xf>
    <xf numFmtId="164" fontId="7" fillId="56" borderId="67" xfId="1" applyFont="1" applyFill="1" applyBorder="1" applyAlignment="1">
      <alignment horizontal="center"/>
    </xf>
    <xf numFmtId="0" fontId="7" fillId="22" borderId="17" xfId="0" applyFont="1" applyFill="1" applyBorder="1" applyAlignment="1">
      <alignment horizontal="center" vertical="center"/>
    </xf>
    <xf numFmtId="0" fontId="7" fillId="22" borderId="22" xfId="0" applyFont="1" applyFill="1" applyBorder="1" applyAlignment="1">
      <alignment horizontal="center" vertical="center"/>
    </xf>
    <xf numFmtId="0" fontId="7" fillId="22" borderId="17" xfId="0" applyFont="1" applyFill="1" applyBorder="1" applyAlignment="1">
      <alignment horizontal="center"/>
    </xf>
    <xf numFmtId="0" fontId="7" fillId="22" borderId="22" xfId="0" applyFont="1" applyFill="1" applyBorder="1" applyAlignment="1">
      <alignment horizontal="center"/>
    </xf>
    <xf numFmtId="0" fontId="7" fillId="22" borderId="89" xfId="0" applyFont="1" applyFill="1" applyBorder="1" applyAlignment="1">
      <alignment horizontal="center" vertical="center"/>
    </xf>
    <xf numFmtId="0" fontId="7" fillId="22" borderId="90" xfId="0" applyFont="1" applyFill="1" applyBorder="1" applyAlignment="1">
      <alignment horizontal="center" vertical="center"/>
    </xf>
    <xf numFmtId="0" fontId="7" fillId="22" borderId="16" xfId="0" applyFont="1" applyFill="1" applyBorder="1" applyAlignment="1">
      <alignment horizontal="center" vertical="center"/>
    </xf>
    <xf numFmtId="164" fontId="7" fillId="22" borderId="67" xfId="1" applyFont="1" applyFill="1" applyBorder="1" applyAlignment="1">
      <alignment horizontal="center"/>
    </xf>
    <xf numFmtId="164" fontId="7" fillId="22" borderId="89" xfId="1" applyFont="1" applyFill="1" applyBorder="1" applyAlignment="1">
      <alignment horizontal="center"/>
    </xf>
    <xf numFmtId="167" fontId="7" fillId="22" borderId="89" xfId="1" applyNumberFormat="1" applyFont="1" applyFill="1" applyBorder="1" applyAlignment="1">
      <alignment horizontal="center" vertical="center"/>
    </xf>
    <xf numFmtId="167" fontId="7" fillId="22" borderId="90" xfId="1" applyNumberFormat="1" applyFont="1" applyFill="1" applyBorder="1" applyAlignment="1">
      <alignment horizontal="center" vertical="center"/>
    </xf>
    <xf numFmtId="0" fontId="7" fillId="22" borderId="83" xfId="0" applyFont="1" applyFill="1" applyBorder="1" applyAlignment="1">
      <alignment horizontal="center" vertical="center"/>
    </xf>
    <xf numFmtId="0" fontId="7" fillId="22" borderId="84" xfId="0" applyFont="1" applyFill="1" applyBorder="1" applyAlignment="1">
      <alignment horizontal="center" vertical="center"/>
    </xf>
    <xf numFmtId="0" fontId="7" fillId="22" borderId="86" xfId="0" applyFont="1" applyFill="1" applyBorder="1" applyAlignment="1">
      <alignment horizontal="center" vertical="center"/>
    </xf>
    <xf numFmtId="0" fontId="7" fillId="22" borderId="70" xfId="0" applyFont="1" applyFill="1" applyBorder="1" applyAlignment="1">
      <alignment horizontal="center" vertical="center"/>
    </xf>
    <xf numFmtId="0" fontId="7" fillId="56" borderId="17" xfId="0" applyFont="1" applyFill="1" applyBorder="1" applyAlignment="1">
      <alignment horizontal="center" vertical="center"/>
    </xf>
    <xf numFmtId="0" fontId="7" fillId="56" borderId="22" xfId="0" applyFont="1" applyFill="1" applyBorder="1" applyAlignment="1">
      <alignment horizontal="center" vertical="center"/>
    </xf>
    <xf numFmtId="0" fontId="7" fillId="56" borderId="17" xfId="0" applyFont="1" applyFill="1" applyBorder="1" applyAlignment="1">
      <alignment horizontal="center" vertical="center" wrapText="1"/>
    </xf>
    <xf numFmtId="0" fontId="7" fillId="56" borderId="22" xfId="0" applyFont="1" applyFill="1" applyBorder="1" applyAlignment="1">
      <alignment horizontal="center" vertical="center" wrapText="1"/>
    </xf>
    <xf numFmtId="167" fontId="7" fillId="56" borderId="67" xfId="1" applyNumberFormat="1" applyFont="1" applyFill="1" applyBorder="1" applyAlignment="1">
      <alignment vertical="center" wrapText="1"/>
    </xf>
    <xf numFmtId="0" fontId="7" fillId="56" borderId="89" xfId="0" applyFont="1" applyFill="1" applyBorder="1" applyAlignment="1">
      <alignment horizontal="center" vertical="center"/>
    </xf>
    <xf numFmtId="0" fontId="7" fillId="56" borderId="90" xfId="0" applyFont="1" applyFill="1" applyBorder="1" applyAlignment="1">
      <alignment horizontal="center" vertical="center"/>
    </xf>
    <xf numFmtId="0" fontId="5" fillId="4" borderId="95" xfId="0" applyFont="1" applyFill="1" applyBorder="1" applyAlignment="1">
      <alignment horizontal="center" vertical="center" wrapText="1"/>
    </xf>
    <xf numFmtId="0" fontId="5" fillId="4" borderId="96" xfId="0" applyFont="1" applyFill="1" applyBorder="1" applyAlignment="1">
      <alignment horizontal="center" vertical="center" wrapText="1"/>
    </xf>
    <xf numFmtId="0" fontId="15" fillId="13" borderId="38" xfId="0" applyFont="1" applyFill="1" applyBorder="1" applyAlignment="1" applyProtection="1">
      <alignment horizontal="center"/>
      <protection hidden="1"/>
    </xf>
    <xf numFmtId="0" fontId="8" fillId="34" borderId="16" xfId="0" applyFont="1" applyFill="1" applyBorder="1" applyAlignment="1">
      <alignment horizontal="center" vertical="center" wrapText="1"/>
    </xf>
    <xf numFmtId="0" fontId="3" fillId="12" borderId="97" xfId="0" applyFont="1" applyFill="1" applyBorder="1" applyAlignment="1">
      <alignment horizontal="center"/>
    </xf>
    <xf numFmtId="0" fontId="2" fillId="3" borderId="37" xfId="0" applyFont="1" applyFill="1" applyBorder="1" applyAlignment="1">
      <alignment horizontal="left"/>
    </xf>
    <xf numFmtId="0" fontId="8" fillId="79" borderId="17" xfId="0" applyFont="1" applyFill="1" applyBorder="1" applyAlignment="1">
      <alignment horizontal="center" vertical="center" wrapText="1"/>
    </xf>
    <xf numFmtId="0" fontId="8" fillId="79" borderId="22" xfId="0" applyFont="1" applyFill="1" applyBorder="1" applyAlignment="1">
      <alignment horizontal="center" vertical="center" wrapText="1"/>
    </xf>
    <xf numFmtId="0" fontId="2" fillId="30" borderId="15" xfId="0" applyFont="1" applyFill="1" applyBorder="1" applyAlignment="1">
      <alignment horizontal="left"/>
    </xf>
    <xf numFmtId="0" fontId="5" fillId="4" borderId="73" xfId="0" applyFont="1" applyFill="1" applyBorder="1" applyAlignment="1">
      <alignment horizontal="center" vertical="center" wrapText="1"/>
    </xf>
    <xf numFmtId="0" fontId="5" fillId="4" borderId="56" xfId="0" applyFont="1" applyFill="1" applyBorder="1" applyAlignment="1">
      <alignment horizontal="center" vertical="center" wrapText="1"/>
    </xf>
    <xf numFmtId="0" fontId="8" fillId="34" borderId="16" xfId="0" applyFont="1" applyFill="1" applyBorder="1" applyAlignment="1" applyProtection="1">
      <alignment horizontal="center" vertical="center"/>
      <protection hidden="1"/>
    </xf>
    <xf numFmtId="0" fontId="26" fillId="15" borderId="16" xfId="0" applyFont="1" applyFill="1" applyBorder="1" applyAlignment="1" applyProtection="1">
      <alignment vertical="center"/>
      <protection hidden="1"/>
    </xf>
    <xf numFmtId="0" fontId="26" fillId="15" borderId="21" xfId="0" applyFont="1" applyFill="1" applyBorder="1" applyAlignment="1" applyProtection="1">
      <alignment vertical="center"/>
      <protection hidden="1"/>
    </xf>
    <xf numFmtId="0" fontId="27" fillId="3" borderId="48" xfId="0" applyFont="1" applyFill="1" applyBorder="1" applyAlignment="1" applyProtection="1">
      <alignment horizontal="left"/>
      <protection hidden="1"/>
    </xf>
    <xf numFmtId="0" fontId="27" fillId="3" borderId="82" xfId="0" applyFont="1" applyFill="1" applyBorder="1" applyAlignment="1" applyProtection="1">
      <alignment horizontal="left"/>
      <protection hidden="1"/>
    </xf>
    <xf numFmtId="0" fontId="27" fillId="3" borderId="88" xfId="0" applyFont="1" applyFill="1" applyBorder="1" applyAlignment="1" applyProtection="1">
      <alignment horizontal="left"/>
      <protection hidden="1"/>
    </xf>
    <xf numFmtId="0" fontId="23" fillId="13" borderId="15" xfId="0" applyFont="1" applyFill="1" applyBorder="1" applyAlignment="1" applyProtection="1">
      <alignment horizontal="center"/>
      <protection hidden="1"/>
    </xf>
    <xf numFmtId="0" fontId="8" fillId="21" borderId="16" xfId="0" applyFont="1" applyFill="1" applyBorder="1" applyAlignment="1" applyProtection="1">
      <alignment horizontal="center" vertical="center"/>
      <protection hidden="1"/>
    </xf>
    <xf numFmtId="0" fontId="26" fillId="22" borderId="16" xfId="0" applyFont="1" applyFill="1" applyBorder="1" applyAlignment="1" applyProtection="1">
      <alignment vertical="center"/>
      <protection hidden="1"/>
    </xf>
    <xf numFmtId="0" fontId="23" fillId="2" borderId="15" xfId="0" applyFont="1" applyFill="1" applyBorder="1" applyAlignment="1" applyProtection="1">
      <alignment horizontal="center"/>
      <protection hidden="1"/>
    </xf>
    <xf numFmtId="0" fontId="8" fillId="55" borderId="16" xfId="0" applyFont="1" applyFill="1" applyBorder="1" applyAlignment="1" applyProtection="1">
      <alignment horizontal="center" vertical="center"/>
      <protection hidden="1"/>
    </xf>
    <xf numFmtId="0" fontId="26" fillId="56" borderId="16" xfId="0" applyFont="1" applyFill="1" applyBorder="1" applyAlignment="1" applyProtection="1">
      <alignment vertical="center"/>
      <protection hidden="1"/>
    </xf>
    <xf numFmtId="0" fontId="23" fillId="59" borderId="16" xfId="0" applyFont="1" applyFill="1" applyBorder="1" applyAlignment="1" applyProtection="1">
      <alignment horizontal="center" vertical="center"/>
      <protection hidden="1"/>
    </xf>
    <xf numFmtId="0" fontId="8" fillId="18" borderId="16" xfId="0" applyFont="1" applyFill="1" applyBorder="1" applyAlignment="1" applyProtection="1">
      <alignment horizontal="center" vertical="center"/>
      <protection hidden="1"/>
    </xf>
    <xf numFmtId="0" fontId="26" fillId="19" borderId="16" xfId="0" applyFont="1" applyFill="1" applyBorder="1" applyAlignment="1" applyProtection="1">
      <alignment vertical="center"/>
      <protection hidden="1"/>
    </xf>
    <xf numFmtId="0" fontId="23" fillId="7" borderId="99" xfId="0" applyFont="1" applyFill="1" applyBorder="1" applyAlignment="1" applyProtection="1">
      <alignment horizontal="center"/>
      <protection hidden="1"/>
    </xf>
    <xf numFmtId="0" fontId="28" fillId="58" borderId="16" xfId="0" applyFont="1" applyFill="1" applyBorder="1" applyAlignment="1" applyProtection="1">
      <alignment horizontal="center" vertical="center" wrapText="1"/>
      <protection hidden="1"/>
    </xf>
    <xf numFmtId="0" fontId="28" fillId="0" borderId="74" xfId="0" applyFont="1" applyBorder="1" applyAlignment="1" applyProtection="1">
      <alignment horizontal="center" vertical="center" wrapText="1"/>
      <protection hidden="1"/>
    </xf>
    <xf numFmtId="0" fontId="28" fillId="0" borderId="75" xfId="0" applyFont="1" applyBorder="1" applyAlignment="1" applyProtection="1">
      <alignment horizontal="center" vertical="center" wrapText="1"/>
      <protection hidden="1"/>
    </xf>
    <xf numFmtId="0" fontId="28" fillId="0" borderId="76" xfId="0" applyFont="1" applyBorder="1" applyAlignment="1" applyProtection="1">
      <alignment horizontal="center" vertical="center" wrapText="1"/>
      <protection hidden="1"/>
    </xf>
    <xf numFmtId="0" fontId="25" fillId="60" borderId="16" xfId="0" applyFont="1" applyFill="1" applyBorder="1" applyAlignment="1" applyProtection="1">
      <alignment horizontal="center" vertical="center" wrapText="1"/>
      <protection hidden="1"/>
    </xf>
    <xf numFmtId="0" fontId="26" fillId="56" borderId="16" xfId="0" applyFont="1" applyFill="1" applyBorder="1" applyAlignment="1" applyProtection="1">
      <alignment vertical="center" wrapText="1"/>
      <protection hidden="1"/>
    </xf>
    <xf numFmtId="2" fontId="28" fillId="21" borderId="16" xfId="0" applyNumberFormat="1" applyFont="1" applyFill="1" applyBorder="1" applyAlignment="1" applyProtection="1">
      <alignment horizontal="center" vertical="center" wrapText="1"/>
      <protection hidden="1"/>
    </xf>
    <xf numFmtId="0" fontId="8" fillId="23" borderId="16" xfId="0" applyFont="1" applyFill="1" applyBorder="1" applyAlignment="1" applyProtection="1">
      <alignment horizontal="center" vertical="center" wrapText="1"/>
      <protection hidden="1"/>
    </xf>
    <xf numFmtId="0" fontId="28" fillId="21" borderId="16" xfId="0" applyFont="1" applyFill="1" applyBorder="1" applyAlignment="1" applyProtection="1">
      <alignment horizontal="center" vertical="center" wrapText="1"/>
      <protection hidden="1"/>
    </xf>
    <xf numFmtId="2" fontId="28" fillId="58" borderId="16" xfId="0" applyNumberFormat="1" applyFont="1" applyFill="1" applyBorder="1" applyAlignment="1" applyProtection="1">
      <alignment horizontal="center" vertical="center" wrapText="1"/>
      <protection hidden="1"/>
    </xf>
    <xf numFmtId="0" fontId="8" fillId="57" borderId="16" xfId="0" applyFont="1" applyFill="1" applyBorder="1" applyAlignment="1" applyProtection="1">
      <alignment horizontal="center" vertical="center" wrapText="1"/>
      <protection hidden="1"/>
    </xf>
    <xf numFmtId="0" fontId="8" fillId="0" borderId="33" xfId="0" applyFont="1" applyBorder="1" applyAlignment="1" applyProtection="1">
      <alignment horizontal="center" vertical="center" wrapText="1"/>
      <protection hidden="1"/>
    </xf>
    <xf numFmtId="0" fontId="28" fillId="0" borderId="8" xfId="0" applyFont="1" applyBorder="1" applyAlignment="1" applyProtection="1">
      <alignment horizontal="center" vertical="center"/>
      <protection hidden="1"/>
    </xf>
    <xf numFmtId="0" fontId="28" fillId="0" borderId="9" xfId="0" applyFont="1" applyBorder="1" applyAlignment="1" applyProtection="1">
      <alignment horizontal="center" vertical="center" wrapText="1"/>
      <protection hidden="1"/>
    </xf>
    <xf numFmtId="0" fontId="8" fillId="60" borderId="16" xfId="0" applyFont="1" applyFill="1" applyBorder="1" applyAlignment="1" applyProtection="1">
      <alignment horizontal="center" vertical="center" wrapText="1"/>
      <protection hidden="1"/>
    </xf>
    <xf numFmtId="0" fontId="28" fillId="34" borderId="21" xfId="0" applyFont="1" applyFill="1" applyBorder="1" applyAlignment="1" applyProtection="1">
      <alignment horizontal="center" vertical="center" wrapText="1"/>
      <protection hidden="1"/>
    </xf>
    <xf numFmtId="0" fontId="25" fillId="56" borderId="16" xfId="0" applyFont="1" applyFill="1" applyBorder="1" applyAlignment="1" applyProtection="1">
      <alignment horizontal="center" vertical="center"/>
      <protection hidden="1"/>
    </xf>
    <xf numFmtId="0" fontId="8" fillId="0" borderId="33" xfId="0" applyFont="1" applyBorder="1" applyAlignment="1" applyProtection="1">
      <alignment horizontal="center" vertical="center"/>
      <protection hidden="1"/>
    </xf>
    <xf numFmtId="0" fontId="28" fillId="0" borderId="8" xfId="0" applyFont="1" applyBorder="1" applyAlignment="1" applyProtection="1">
      <alignment horizontal="center" vertical="center" wrapText="1"/>
      <protection hidden="1"/>
    </xf>
    <xf numFmtId="0" fontId="29" fillId="56" borderId="16" xfId="0" applyFont="1" applyFill="1" applyBorder="1" applyAlignment="1" applyProtection="1">
      <alignment vertical="center"/>
      <protection hidden="1"/>
    </xf>
    <xf numFmtId="2" fontId="28" fillId="18" borderId="16" xfId="0" applyNumberFormat="1" applyFont="1" applyFill="1" applyBorder="1" applyAlignment="1" applyProtection="1">
      <alignment horizontal="center" vertical="center" wrapText="1"/>
      <protection hidden="1"/>
    </xf>
    <xf numFmtId="0" fontId="8" fillId="20" borderId="16" xfId="0" applyFont="1" applyFill="1" applyBorder="1" applyAlignment="1" applyProtection="1">
      <alignment horizontal="center" vertical="center" wrapText="1"/>
      <protection hidden="1"/>
    </xf>
    <xf numFmtId="0" fontId="28" fillId="0" borderId="98" xfId="0" applyFont="1" applyBorder="1" applyAlignment="1" applyProtection="1">
      <alignment horizontal="center" vertical="center" wrapText="1"/>
      <protection hidden="1"/>
    </xf>
    <xf numFmtId="0" fontId="28" fillId="18" borderId="16" xfId="0" applyFont="1" applyFill="1" applyBorder="1" applyAlignment="1" applyProtection="1">
      <alignment horizontal="center" vertical="center" wrapText="1"/>
      <protection hidden="1"/>
    </xf>
    <xf numFmtId="2" fontId="28" fillId="34" borderId="16" xfId="0" applyNumberFormat="1" applyFont="1" applyFill="1" applyBorder="1" applyAlignment="1" applyProtection="1">
      <alignment horizontal="center" vertical="center" wrapText="1"/>
      <protection hidden="1"/>
    </xf>
    <xf numFmtId="0" fontId="8" fillId="35" borderId="16" xfId="0" applyFont="1" applyFill="1" applyBorder="1" applyAlignment="1" applyProtection="1">
      <alignment horizontal="center" vertical="center" wrapText="1"/>
      <protection hidden="1"/>
    </xf>
    <xf numFmtId="0" fontId="9" fillId="11" borderId="7" xfId="0" applyFont="1" applyFill="1" applyBorder="1" applyAlignment="1" applyProtection="1">
      <alignment horizontal="center" vertical="center"/>
      <protection hidden="1"/>
    </xf>
    <xf numFmtId="0" fontId="3" fillId="22" borderId="54" xfId="0" applyFont="1" applyFill="1" applyBorder="1" applyAlignment="1" applyProtection="1">
      <alignment horizontal="center" vertical="center"/>
      <protection hidden="1"/>
    </xf>
    <xf numFmtId="0" fontId="9" fillId="0" borderId="10" xfId="0" applyFont="1" applyBorder="1" applyAlignment="1" applyProtection="1">
      <alignment horizontal="center"/>
      <protection hidden="1"/>
    </xf>
    <xf numFmtId="0" fontId="3" fillId="19" borderId="54" xfId="0" applyFont="1" applyFill="1" applyBorder="1" applyAlignment="1" applyProtection="1">
      <alignment horizontal="center" vertical="center"/>
      <protection hidden="1"/>
    </xf>
    <xf numFmtId="0" fontId="9" fillId="0" borderId="16" xfId="0" applyFont="1" applyBorder="1" applyAlignment="1" applyProtection="1">
      <alignment horizontal="center"/>
      <protection hidden="1"/>
    </xf>
    <xf numFmtId="0" fontId="3" fillId="17" borderId="54" xfId="0" applyFont="1" applyFill="1" applyBorder="1" applyAlignment="1" applyProtection="1">
      <alignment horizontal="center" vertical="center"/>
      <protection hidden="1"/>
    </xf>
    <xf numFmtId="0" fontId="2" fillId="3" borderId="37" xfId="0" applyFont="1" applyFill="1" applyBorder="1" applyAlignment="1" applyProtection="1">
      <alignment horizontal="left"/>
      <protection hidden="1"/>
    </xf>
    <xf numFmtId="0" fontId="2" fillId="3" borderId="15" xfId="0" applyFont="1" applyFill="1" applyBorder="1" applyAlignment="1" applyProtection="1">
      <alignment horizontal="left"/>
      <protection hidden="1"/>
    </xf>
    <xf numFmtId="0" fontId="2" fillId="3" borderId="38" xfId="0" applyFont="1" applyFill="1" applyBorder="1" applyAlignment="1" applyProtection="1">
      <alignment horizontal="left"/>
      <protection hidden="1"/>
    </xf>
    <xf numFmtId="0" fontId="3" fillId="24" borderId="16" xfId="0" applyFont="1" applyFill="1" applyBorder="1" applyAlignment="1" applyProtection="1">
      <alignment horizontal="center" vertical="center"/>
      <protection hidden="1"/>
    </xf>
    <xf numFmtId="0" fontId="3" fillId="24" borderId="54" xfId="0" applyFont="1" applyFill="1" applyBorder="1" applyAlignment="1" applyProtection="1">
      <alignment horizontal="center" vertical="center"/>
      <protection hidden="1"/>
    </xf>
    <xf numFmtId="0" fontId="3" fillId="15" borderId="16" xfId="0" applyFont="1" applyFill="1" applyBorder="1" applyAlignment="1" applyProtection="1">
      <alignment horizontal="center" vertical="center"/>
      <protection hidden="1"/>
    </xf>
    <xf numFmtId="0" fontId="30" fillId="13" borderId="15" xfId="3" applyFont="1" applyFill="1" applyAlignment="1">
      <alignment horizontal="center"/>
    </xf>
    <xf numFmtId="0" fontId="31" fillId="3" borderId="15" xfId="3" applyFont="1" applyFill="1" applyAlignment="1">
      <alignment horizontal="left"/>
    </xf>
    <xf numFmtId="0" fontId="31" fillId="3" borderId="64" xfId="3" applyFont="1" applyFill="1" applyBorder="1" applyAlignment="1">
      <alignment horizontal="left"/>
    </xf>
    <xf numFmtId="0" fontId="18" fillId="38" borderId="16" xfId="3" applyFont="1" applyFill="1" applyBorder="1" applyAlignment="1">
      <alignment horizontal="center" vertical="center" wrapText="1"/>
    </xf>
    <xf numFmtId="0" fontId="32" fillId="39" borderId="16" xfId="3" applyFont="1" applyFill="1" applyBorder="1" applyAlignment="1">
      <alignment horizontal="center" vertical="center" wrapText="1"/>
    </xf>
    <xf numFmtId="0" fontId="12" fillId="15" borderId="54" xfId="3" applyFont="1" applyFill="1" applyBorder="1" applyAlignment="1">
      <alignment horizontal="center" vertical="center" wrapText="1"/>
    </xf>
    <xf numFmtId="0" fontId="12" fillId="15" borderId="81" xfId="3" applyFont="1" applyFill="1" applyBorder="1" applyAlignment="1">
      <alignment horizontal="center" vertical="center" wrapText="1"/>
    </xf>
    <xf numFmtId="0" fontId="12" fillId="15" borderId="45" xfId="3" applyFont="1" applyFill="1" applyBorder="1" applyAlignment="1">
      <alignment horizontal="center" vertical="center" wrapText="1"/>
    </xf>
    <xf numFmtId="1" fontId="12" fillId="0" borderId="54" xfId="3" applyNumberFormat="1" applyFont="1" applyBorder="1" applyAlignment="1">
      <alignment horizontal="center" vertical="center"/>
    </xf>
    <xf numFmtId="1" fontId="12" fillId="0" borderId="81" xfId="3" applyNumberFormat="1" applyFont="1" applyBorder="1" applyAlignment="1">
      <alignment horizontal="center" vertical="center"/>
    </xf>
    <xf numFmtId="1" fontId="12" fillId="0" borderId="45" xfId="3" applyNumberFormat="1" applyFont="1" applyBorder="1" applyAlignment="1">
      <alignment horizontal="center" vertical="center"/>
    </xf>
    <xf numFmtId="0" fontId="12" fillId="0" borderId="54" xfId="3" applyFont="1" applyBorder="1" applyAlignment="1">
      <alignment horizontal="center" vertical="center"/>
    </xf>
    <xf numFmtId="0" fontId="12" fillId="0" borderId="81" xfId="3" applyFont="1" applyBorder="1" applyAlignment="1">
      <alignment horizontal="center" vertical="center"/>
    </xf>
    <xf numFmtId="0" fontId="12" fillId="0" borderId="45" xfId="3" applyFont="1" applyBorder="1" applyAlignment="1">
      <alignment horizontal="center" vertical="center"/>
    </xf>
    <xf numFmtId="0" fontId="12" fillId="0" borderId="16" xfId="3" applyFont="1" applyBorder="1" applyAlignment="1">
      <alignment horizontal="center" vertical="center"/>
    </xf>
    <xf numFmtId="1" fontId="12" fillId="0" borderId="16" xfId="3" applyNumberFormat="1" applyFont="1" applyBorder="1" applyAlignment="1">
      <alignment horizontal="center" vertical="center"/>
    </xf>
    <xf numFmtId="0" fontId="12" fillId="0" borderId="16" xfId="3" applyFont="1" applyBorder="1" applyAlignment="1">
      <alignment horizontal="center"/>
    </xf>
    <xf numFmtId="0" fontId="32" fillId="37" borderId="16" xfId="3" applyFont="1" applyFill="1" applyBorder="1" applyAlignment="1">
      <alignment horizontal="center" vertical="center" wrapText="1"/>
    </xf>
    <xf numFmtId="0" fontId="12" fillId="0" borderId="16" xfId="3" applyFont="1" applyBorder="1" applyAlignment="1">
      <alignment horizontal="center" vertical="center" wrapText="1"/>
    </xf>
    <xf numFmtId="0" fontId="15" fillId="47" borderId="47" xfId="0" applyFont="1" applyFill="1" applyBorder="1" applyAlignment="1" applyProtection="1">
      <alignment horizontal="center"/>
      <protection hidden="1"/>
    </xf>
    <xf numFmtId="0" fontId="15" fillId="47" borderId="71" xfId="0" applyFont="1" applyFill="1" applyBorder="1" applyAlignment="1" applyProtection="1">
      <alignment horizontal="center"/>
      <protection hidden="1"/>
    </xf>
    <xf numFmtId="0" fontId="15" fillId="52" borderId="47" xfId="0" applyFont="1" applyFill="1" applyBorder="1" applyAlignment="1" applyProtection="1">
      <alignment horizontal="center"/>
      <protection hidden="1"/>
    </xf>
    <xf numFmtId="0" fontId="7" fillId="0" borderId="15" xfId="0" applyFont="1" applyBorder="1" applyAlignment="1" applyProtection="1">
      <alignment horizontal="center" wrapText="1"/>
      <protection hidden="1"/>
    </xf>
    <xf numFmtId="0" fontId="7" fillId="0" borderId="64" xfId="0" applyFont="1" applyBorder="1" applyAlignment="1" applyProtection="1">
      <alignment horizontal="center" wrapText="1"/>
      <protection hidden="1"/>
    </xf>
    <xf numFmtId="0" fontId="7" fillId="0" borderId="70" xfId="0" applyFont="1" applyBorder="1" applyAlignment="1" applyProtection="1">
      <alignment horizontal="center" wrapText="1"/>
      <protection hidden="1"/>
    </xf>
    <xf numFmtId="0" fontId="7" fillId="0" borderId="56" xfId="0" applyFont="1" applyBorder="1" applyAlignment="1" applyProtection="1">
      <alignment horizontal="center" wrapText="1"/>
      <protection hidden="1"/>
    </xf>
    <xf numFmtId="0" fontId="3" fillId="24" borderId="16" xfId="0" applyFont="1" applyFill="1" applyBorder="1" applyAlignment="1" applyProtection="1">
      <alignment horizontal="center" wrapText="1"/>
      <protection hidden="1"/>
    </xf>
    <xf numFmtId="10" fontId="3" fillId="24" borderId="16" xfId="1" applyNumberFormat="1" applyFont="1" applyFill="1" applyBorder="1" applyAlignment="1" applyProtection="1">
      <alignment horizontal="center" vertical="center"/>
      <protection hidden="1"/>
    </xf>
    <xf numFmtId="0" fontId="3" fillId="41" borderId="60" xfId="0" applyFont="1" applyFill="1" applyBorder="1" applyAlignment="1" applyProtection="1">
      <alignment horizontal="center" vertical="center" wrapText="1"/>
      <protection hidden="1"/>
    </xf>
    <xf numFmtId="0" fontId="3" fillId="41" borderId="13" xfId="0" applyFont="1" applyFill="1" applyBorder="1" applyAlignment="1" applyProtection="1">
      <alignment horizontal="center" vertical="center" wrapText="1"/>
      <protection hidden="1"/>
    </xf>
    <xf numFmtId="0" fontId="3" fillId="41" borderId="61" xfId="0" applyFont="1" applyFill="1" applyBorder="1" applyAlignment="1" applyProtection="1">
      <alignment horizontal="center" vertical="center" wrapText="1"/>
      <protection hidden="1"/>
    </xf>
    <xf numFmtId="0" fontId="3" fillId="41" borderId="5" xfId="0" applyFont="1" applyFill="1" applyBorder="1" applyAlignment="1" applyProtection="1">
      <alignment horizontal="center" vertical="center" wrapText="1"/>
      <protection hidden="1"/>
    </xf>
    <xf numFmtId="0" fontId="3" fillId="41" borderId="39" xfId="0" applyFont="1" applyFill="1" applyBorder="1" applyAlignment="1" applyProtection="1">
      <alignment horizontal="center" vertical="center" wrapText="1"/>
      <protection hidden="1"/>
    </xf>
    <xf numFmtId="0" fontId="3" fillId="41" borderId="62" xfId="0" applyFont="1" applyFill="1" applyBorder="1" applyAlignment="1" applyProtection="1">
      <alignment horizontal="center" vertical="center" wrapText="1"/>
      <protection hidden="1"/>
    </xf>
    <xf numFmtId="170" fontId="3" fillId="41" borderId="80" xfId="0" applyNumberFormat="1" applyFont="1" applyFill="1" applyBorder="1" applyAlignment="1" applyProtection="1">
      <alignment horizontal="center" vertical="center"/>
      <protection hidden="1"/>
    </xf>
    <xf numFmtId="170" fontId="3" fillId="41" borderId="34" xfId="0" applyNumberFormat="1" applyFont="1" applyFill="1" applyBorder="1" applyAlignment="1" applyProtection="1">
      <alignment horizontal="center" vertical="center"/>
      <protection hidden="1"/>
    </xf>
    <xf numFmtId="0" fontId="15" fillId="61" borderId="47" xfId="0" applyFont="1" applyFill="1" applyBorder="1" applyAlignment="1" applyProtection="1">
      <alignment horizontal="center"/>
      <protection hidden="1"/>
    </xf>
    <xf numFmtId="0" fontId="3" fillId="0" borderId="7" xfId="0" applyFont="1" applyBorder="1" applyAlignment="1" applyProtection="1">
      <alignment horizontal="center" wrapText="1"/>
      <protection hidden="1"/>
    </xf>
    <xf numFmtId="0" fontId="3" fillId="0" borderId="13" xfId="0" applyFont="1" applyBorder="1" applyAlignment="1" applyProtection="1">
      <alignment horizontal="center" wrapText="1"/>
      <protection hidden="1"/>
    </xf>
    <xf numFmtId="0" fontId="3" fillId="0" borderId="7" xfId="0" applyFont="1" applyBorder="1" applyAlignment="1" applyProtection="1">
      <alignment horizontal="center"/>
      <protection hidden="1"/>
    </xf>
    <xf numFmtId="0" fontId="3" fillId="0" borderId="13" xfId="0" applyFont="1" applyBorder="1" applyAlignment="1" applyProtection="1">
      <alignment horizontal="center"/>
      <protection hidden="1"/>
    </xf>
    <xf numFmtId="0" fontId="3" fillId="41" borderId="79" xfId="0" applyFont="1" applyFill="1" applyBorder="1" applyAlignment="1" applyProtection="1">
      <alignment horizontal="center" vertical="center" wrapText="1"/>
      <protection hidden="1"/>
    </xf>
    <xf numFmtId="0" fontId="3" fillId="41" borderId="80" xfId="0" applyFont="1" applyFill="1" applyBorder="1" applyAlignment="1" applyProtection="1">
      <alignment horizontal="center" vertical="center" wrapText="1"/>
      <protection hidden="1"/>
    </xf>
    <xf numFmtId="0" fontId="3" fillId="41" borderId="42" xfId="0" applyFont="1" applyFill="1" applyBorder="1" applyAlignment="1" applyProtection="1">
      <alignment horizontal="center" vertical="center" wrapText="1"/>
      <protection hidden="1"/>
    </xf>
    <xf numFmtId="0" fontId="24" fillId="13" borderId="15" xfId="0" applyFont="1" applyFill="1" applyBorder="1" applyAlignment="1" applyProtection="1">
      <alignment horizontal="center"/>
      <protection hidden="1"/>
    </xf>
    <xf numFmtId="0" fontId="24" fillId="13" borderId="38" xfId="0" applyFont="1" applyFill="1" applyBorder="1" applyAlignment="1" applyProtection="1">
      <alignment horizontal="center"/>
      <protection hidden="1"/>
    </xf>
    <xf numFmtId="0" fontId="3" fillId="44" borderId="49" xfId="0" applyFont="1" applyFill="1" applyBorder="1" applyAlignment="1" applyProtection="1">
      <alignment horizontal="left" vertical="center"/>
      <protection hidden="1"/>
    </xf>
    <xf numFmtId="0" fontId="3" fillId="5" borderId="77" xfId="0" applyFont="1" applyFill="1" applyBorder="1" applyAlignment="1" applyProtection="1">
      <alignment horizontal="center" vertical="center" wrapText="1"/>
      <protection hidden="1"/>
    </xf>
    <xf numFmtId="0" fontId="3" fillId="5" borderId="25" xfId="0" applyFont="1" applyFill="1" applyBorder="1" applyAlignment="1" applyProtection="1">
      <alignment horizontal="center" vertical="center" wrapText="1"/>
      <protection hidden="1"/>
    </xf>
    <xf numFmtId="0" fontId="3" fillId="5" borderId="25" xfId="0" applyFont="1" applyFill="1" applyBorder="1" applyAlignment="1" applyProtection="1">
      <alignment horizontal="center" vertical="center"/>
      <protection hidden="1"/>
    </xf>
    <xf numFmtId="0" fontId="3" fillId="5" borderId="26" xfId="0" applyFont="1" applyFill="1" applyBorder="1" applyAlignment="1" applyProtection="1">
      <alignment horizontal="center" vertical="center"/>
      <protection hidden="1"/>
    </xf>
    <xf numFmtId="0" fontId="3" fillId="5" borderId="25" xfId="0" applyFont="1" applyFill="1" applyBorder="1" applyAlignment="1" applyProtection="1">
      <alignment horizontal="center" wrapText="1"/>
      <protection hidden="1"/>
    </xf>
    <xf numFmtId="0" fontId="3" fillId="5" borderId="28" xfId="0" applyFont="1" applyFill="1" applyBorder="1" applyAlignment="1" applyProtection="1">
      <alignment horizontal="center" wrapText="1"/>
      <protection hidden="1"/>
    </xf>
    <xf numFmtId="0" fontId="3" fillId="2" borderId="45" xfId="0" applyFont="1" applyFill="1" applyBorder="1" applyAlignment="1" applyProtection="1">
      <alignment horizontal="center"/>
      <protection hidden="1"/>
    </xf>
    <xf numFmtId="0" fontId="3" fillId="2" borderId="51" xfId="0" applyFont="1" applyFill="1" applyBorder="1" applyAlignment="1" applyProtection="1">
      <alignment horizontal="center"/>
      <protection hidden="1"/>
    </xf>
    <xf numFmtId="0" fontId="3" fillId="2" borderId="55" xfId="0" applyFont="1" applyFill="1" applyBorder="1" applyAlignment="1" applyProtection="1">
      <alignment horizontal="center"/>
      <protection hidden="1"/>
    </xf>
    <xf numFmtId="0" fontId="3" fillId="2" borderId="65" xfId="0" applyFont="1" applyFill="1" applyBorder="1" applyAlignment="1" applyProtection="1">
      <alignment horizontal="center"/>
      <protection hidden="1"/>
    </xf>
    <xf numFmtId="0" fontId="15" fillId="10" borderId="69" xfId="0" applyFont="1" applyFill="1" applyBorder="1" applyAlignment="1" applyProtection="1">
      <alignment horizontal="center"/>
      <protection hidden="1"/>
    </xf>
    <xf numFmtId="0" fontId="15" fillId="10" borderId="65" xfId="0" applyFont="1" applyFill="1" applyBorder="1" applyAlignment="1" applyProtection="1">
      <alignment horizontal="center"/>
      <protection hidden="1"/>
    </xf>
    <xf numFmtId="0" fontId="2" fillId="30" borderId="39" xfId="0" applyFont="1" applyFill="1" applyBorder="1" applyAlignment="1" applyProtection="1">
      <alignment horizontal="left"/>
      <protection hidden="1"/>
    </xf>
    <xf numFmtId="0" fontId="2" fillId="30" borderId="40" xfId="0" applyFont="1" applyFill="1" applyBorder="1" applyAlignment="1" applyProtection="1">
      <alignment horizontal="left"/>
      <protection hidden="1"/>
    </xf>
    <xf numFmtId="0" fontId="2" fillId="30" borderId="42" xfId="0" applyFont="1" applyFill="1" applyBorder="1" applyAlignment="1" applyProtection="1">
      <alignment horizontal="left"/>
      <protection hidden="1"/>
    </xf>
    <xf numFmtId="0" fontId="3" fillId="0" borderId="69" xfId="0" applyFont="1" applyBorder="1" applyAlignment="1" applyProtection="1">
      <alignment horizontal="center" vertical="center" wrapText="1"/>
      <protection hidden="1"/>
    </xf>
    <xf numFmtId="0" fontId="3" fillId="0" borderId="48" xfId="0" applyFont="1" applyBorder="1" applyAlignment="1" applyProtection="1">
      <alignment horizontal="center" vertical="center" wrapText="1"/>
      <protection hidden="1"/>
    </xf>
    <xf numFmtId="0" fontId="15" fillId="8" borderId="47" xfId="0" applyFont="1" applyFill="1" applyBorder="1" applyAlignment="1" applyProtection="1">
      <alignment horizontal="center"/>
      <protection hidden="1"/>
    </xf>
    <xf numFmtId="0" fontId="15" fillId="45" borderId="47" xfId="0" applyFont="1" applyFill="1" applyBorder="1" applyAlignment="1" applyProtection="1">
      <alignment horizontal="center"/>
      <protection hidden="1"/>
    </xf>
    <xf numFmtId="0" fontId="15" fillId="50" borderId="47" xfId="0" applyFont="1" applyFill="1" applyBorder="1" applyAlignment="1" applyProtection="1">
      <alignment horizontal="center"/>
      <protection hidden="1"/>
    </xf>
    <xf numFmtId="0" fontId="15" fillId="65" borderId="47" xfId="0" applyFont="1" applyFill="1" applyBorder="1" applyAlignment="1" applyProtection="1">
      <alignment horizontal="center"/>
      <protection hidden="1"/>
    </xf>
    <xf numFmtId="164" fontId="21" fillId="0" borderId="16" xfId="1" applyFont="1" applyBorder="1" applyAlignment="1" applyProtection="1">
      <alignment horizontal="center" vertical="center"/>
      <protection hidden="1"/>
    </xf>
    <xf numFmtId="164" fontId="21" fillId="0" borderId="21" xfId="1" applyFont="1" applyBorder="1" applyAlignment="1" applyProtection="1">
      <alignment horizontal="center" vertical="center"/>
      <protection hidden="1"/>
    </xf>
    <xf numFmtId="164" fontId="3" fillId="0" borderId="16" xfId="1" applyFont="1" applyFill="1" applyBorder="1" applyAlignment="1" applyProtection="1">
      <alignment horizontal="center" vertical="center"/>
      <protection hidden="1"/>
    </xf>
    <xf numFmtId="164" fontId="3" fillId="0" borderId="21" xfId="1" applyFont="1" applyFill="1" applyBorder="1" applyAlignment="1" applyProtection="1">
      <alignment horizontal="center" vertical="center"/>
      <protection hidden="1"/>
    </xf>
    <xf numFmtId="0" fontId="3" fillId="11" borderId="33" xfId="0" applyFont="1" applyFill="1" applyBorder="1" applyAlignment="1" applyProtection="1">
      <alignment horizontal="center" vertical="center" wrapText="1"/>
      <protection hidden="1"/>
    </xf>
    <xf numFmtId="0" fontId="1" fillId="0" borderId="44" xfId="0" applyFont="1" applyBorder="1" applyAlignment="1" applyProtection="1">
      <alignment wrapText="1"/>
      <protection hidden="1"/>
    </xf>
    <xf numFmtId="0" fontId="3" fillId="11" borderId="10" xfId="0" applyFont="1" applyFill="1" applyBorder="1" applyAlignment="1" applyProtection="1">
      <alignment horizontal="center"/>
      <protection hidden="1"/>
    </xf>
    <xf numFmtId="0" fontId="3" fillId="42" borderId="40" xfId="0" applyFont="1" applyFill="1" applyBorder="1" applyAlignment="1" applyProtection="1">
      <alignment horizontal="center"/>
      <protection hidden="1"/>
    </xf>
    <xf numFmtId="0" fontId="17" fillId="43" borderId="18" xfId="0" applyFont="1" applyFill="1" applyBorder="1" applyAlignment="1" applyProtection="1">
      <alignment horizontal="center" vertical="center"/>
      <protection hidden="1"/>
    </xf>
    <xf numFmtId="0" fontId="17" fillId="43" borderId="19" xfId="0" applyFont="1" applyFill="1" applyBorder="1" applyAlignment="1" applyProtection="1">
      <alignment horizontal="center" vertical="center"/>
      <protection hidden="1"/>
    </xf>
    <xf numFmtId="0" fontId="17" fillId="43" borderId="39" xfId="0" applyFont="1" applyFill="1" applyBorder="1" applyAlignment="1" applyProtection="1">
      <alignment horizontal="center" vertical="center"/>
      <protection hidden="1"/>
    </xf>
    <xf numFmtId="0" fontId="17" fillId="43" borderId="42" xfId="0" applyFont="1" applyFill="1" applyBorder="1" applyAlignment="1" applyProtection="1">
      <alignment horizontal="center" vertical="center"/>
      <protection hidden="1"/>
    </xf>
    <xf numFmtId="0" fontId="3" fillId="43" borderId="18" xfId="0" applyFont="1" applyFill="1" applyBorder="1" applyAlignment="1" applyProtection="1">
      <alignment horizontal="center" vertical="center" wrapText="1"/>
      <protection hidden="1"/>
    </xf>
    <xf numFmtId="0" fontId="3" fillId="43" borderId="19" xfId="0" applyFont="1" applyFill="1" applyBorder="1" applyAlignment="1" applyProtection="1">
      <alignment horizontal="center" vertical="center" wrapText="1"/>
      <protection hidden="1"/>
    </xf>
    <xf numFmtId="0" fontId="3" fillId="43" borderId="39" xfId="0" applyFont="1" applyFill="1" applyBorder="1" applyAlignment="1" applyProtection="1">
      <alignment horizontal="center" vertical="center" wrapText="1"/>
      <protection hidden="1"/>
    </xf>
    <xf numFmtId="0" fontId="3" fillId="43" borderId="42" xfId="0" applyFont="1" applyFill="1" applyBorder="1" applyAlignment="1" applyProtection="1">
      <alignment horizontal="center" vertical="center" wrapText="1"/>
      <protection hidden="1"/>
    </xf>
    <xf numFmtId="0" fontId="3" fillId="43" borderId="18" xfId="0" applyFont="1" applyFill="1" applyBorder="1" applyAlignment="1" applyProtection="1">
      <alignment horizontal="center" vertical="center"/>
      <protection hidden="1"/>
    </xf>
    <xf numFmtId="0" fontId="3" fillId="43" borderId="19" xfId="0" applyFont="1" applyFill="1" applyBorder="1" applyAlignment="1" applyProtection="1">
      <alignment horizontal="center" vertical="center"/>
      <protection hidden="1"/>
    </xf>
    <xf numFmtId="0" fontId="3" fillId="43" borderId="39" xfId="0" applyFont="1" applyFill="1" applyBorder="1" applyAlignment="1" applyProtection="1">
      <alignment horizontal="center" vertical="center"/>
      <protection hidden="1"/>
    </xf>
    <xf numFmtId="0" fontId="3" fillId="43" borderId="42" xfId="0" applyFont="1" applyFill="1" applyBorder="1" applyAlignment="1" applyProtection="1">
      <alignment horizontal="center" vertical="center"/>
      <protection hidden="1"/>
    </xf>
    <xf numFmtId="0" fontId="7" fillId="2" borderId="49" xfId="0" applyFont="1" applyFill="1" applyBorder="1" applyAlignment="1" applyProtection="1">
      <alignment horizontal="left"/>
      <protection hidden="1"/>
    </xf>
    <xf numFmtId="0" fontId="7" fillId="2" borderId="46" xfId="0" applyFont="1" applyFill="1" applyBorder="1" applyAlignment="1" applyProtection="1">
      <alignment horizontal="left"/>
      <protection hidden="1"/>
    </xf>
    <xf numFmtId="0" fontId="7" fillId="2" borderId="50" xfId="0" applyFont="1" applyFill="1" applyBorder="1" applyAlignment="1" applyProtection="1">
      <alignment horizontal="left"/>
      <protection hidden="1"/>
    </xf>
    <xf numFmtId="0" fontId="3" fillId="5" borderId="24" xfId="0" applyFont="1" applyFill="1" applyBorder="1" applyAlignment="1" applyProtection="1">
      <alignment horizontal="center" vertical="center" wrapText="1"/>
      <protection hidden="1"/>
    </xf>
    <xf numFmtId="0" fontId="7" fillId="13" borderId="18" xfId="0" applyFont="1" applyFill="1" applyBorder="1" applyAlignment="1" applyProtection="1">
      <alignment horizontal="center"/>
      <protection hidden="1"/>
    </xf>
    <xf numFmtId="0" fontId="7" fillId="13" borderId="43" xfId="0" applyFont="1" applyFill="1" applyBorder="1" applyAlignment="1" applyProtection="1">
      <alignment horizontal="center"/>
      <protection hidden="1"/>
    </xf>
    <xf numFmtId="0" fontId="7" fillId="13" borderId="37" xfId="0" applyFont="1" applyFill="1" applyBorder="1" applyAlignment="1" applyProtection="1">
      <alignment horizontal="center"/>
      <protection hidden="1"/>
    </xf>
    <xf numFmtId="0" fontId="7" fillId="13" borderId="15" xfId="0" applyFont="1" applyFill="1" applyBorder="1" applyAlignment="1" applyProtection="1">
      <alignment horizontal="center"/>
      <protection hidden="1"/>
    </xf>
    <xf numFmtId="0" fontId="3" fillId="12" borderId="49" xfId="0" applyFont="1" applyFill="1" applyBorder="1" applyAlignment="1" applyProtection="1">
      <alignment horizontal="left"/>
      <protection hidden="1"/>
    </xf>
    <xf numFmtId="0" fontId="3" fillId="12" borderId="50" xfId="0" applyFont="1" applyFill="1" applyBorder="1" applyAlignment="1" applyProtection="1">
      <alignment horizontal="left"/>
      <protection hidden="1"/>
    </xf>
    <xf numFmtId="0" fontId="3" fillId="6" borderId="20" xfId="0" applyFont="1" applyFill="1" applyBorder="1" applyAlignment="1" applyProtection="1">
      <alignment horizontal="center"/>
      <protection hidden="1"/>
    </xf>
    <xf numFmtId="0" fontId="3" fillId="6" borderId="16" xfId="0" applyFont="1" applyFill="1" applyBorder="1" applyAlignment="1" applyProtection="1">
      <alignment horizontal="center"/>
      <protection hidden="1"/>
    </xf>
    <xf numFmtId="0" fontId="3" fillId="5" borderId="18" xfId="0" applyFont="1" applyFill="1" applyBorder="1" applyAlignment="1" applyProtection="1">
      <alignment horizontal="center" vertical="center" wrapText="1"/>
      <protection hidden="1"/>
    </xf>
    <xf numFmtId="0" fontId="3" fillId="5" borderId="37" xfId="0" applyFont="1" applyFill="1" applyBorder="1" applyAlignment="1" applyProtection="1">
      <alignment horizontal="center" vertical="center" wrapText="1"/>
      <protection hidden="1"/>
    </xf>
    <xf numFmtId="0" fontId="3" fillId="5" borderId="3" xfId="0" applyFont="1" applyFill="1" applyBorder="1" applyAlignment="1" applyProtection="1">
      <alignment horizontal="center" vertical="center" wrapText="1"/>
      <protection hidden="1"/>
    </xf>
    <xf numFmtId="0" fontId="3" fillId="5" borderId="14" xfId="0" applyFont="1" applyFill="1" applyBorder="1" applyAlignment="1" applyProtection="1">
      <alignment horizontal="center" vertical="center" wrapText="1"/>
      <protection hidden="1"/>
    </xf>
    <xf numFmtId="0" fontId="3" fillId="5" borderId="14" xfId="0" applyFont="1" applyFill="1" applyBorder="1" applyAlignment="1" applyProtection="1">
      <alignment horizontal="center" vertical="center"/>
      <protection hidden="1"/>
    </xf>
    <xf numFmtId="165" fontId="7" fillId="12" borderId="23" xfId="0" applyNumberFormat="1" applyFont="1" applyFill="1" applyBorder="1" applyProtection="1">
      <protection hidden="1"/>
    </xf>
    <xf numFmtId="0" fontId="26" fillId="13" borderId="15" xfId="0" applyFont="1" applyFill="1" applyBorder="1" applyAlignment="1" applyProtection="1">
      <protection hidden="1"/>
    </xf>
    <xf numFmtId="0" fontId="26" fillId="0" borderId="29" xfId="0" applyFont="1" applyBorder="1" applyAlignment="1" applyProtection="1">
      <protection hidden="1"/>
    </xf>
    <xf numFmtId="0" fontId="26" fillId="0" borderId="14" xfId="0" applyFont="1" applyBorder="1" applyAlignment="1" applyProtection="1">
      <protection hidden="1"/>
    </xf>
    <xf numFmtId="0" fontId="26" fillId="0" borderId="10" xfId="0" applyFont="1" applyBorder="1" applyAlignment="1" applyProtection="1">
      <protection hidden="1"/>
    </xf>
    <xf numFmtId="0" fontId="26" fillId="22" borderId="16" xfId="0" applyFont="1" applyFill="1" applyBorder="1" applyAlignment="1" applyProtection="1">
      <protection hidden="1"/>
    </xf>
    <xf numFmtId="0" fontId="29" fillId="22" borderId="16" xfId="0" applyFont="1" applyFill="1" applyBorder="1" applyAlignment="1" applyProtection="1">
      <protection hidden="1"/>
    </xf>
    <xf numFmtId="0" fontId="26" fillId="59" borderId="16" xfId="0" applyFont="1" applyFill="1" applyBorder="1" applyAlignment="1" applyProtection="1">
      <protection hidden="1"/>
    </xf>
    <xf numFmtId="0" fontId="29" fillId="59" borderId="16" xfId="0" applyFont="1" applyFill="1" applyBorder="1" applyAlignment="1" applyProtection="1">
      <protection hidden="1"/>
    </xf>
    <xf numFmtId="0" fontId="26" fillId="19" borderId="16" xfId="0" applyFont="1" applyFill="1" applyBorder="1" applyAlignment="1" applyProtection="1">
      <protection hidden="1"/>
    </xf>
    <xf numFmtId="0" fontId="29" fillId="19" borderId="16" xfId="0" applyFont="1" applyFill="1" applyBorder="1" applyAlignment="1" applyProtection="1">
      <protection hidden="1"/>
    </xf>
    <xf numFmtId="0" fontId="26" fillId="15" borderId="16" xfId="0" applyFont="1" applyFill="1" applyBorder="1" applyAlignment="1" applyProtection="1">
      <protection hidden="1"/>
    </xf>
    <xf numFmtId="0" fontId="29" fillId="15" borderId="16" xfId="0" applyFont="1" applyFill="1" applyBorder="1" applyAlignment="1" applyProtection="1">
      <protection hidden="1"/>
    </xf>
    <xf numFmtId="0" fontId="26" fillId="15" borderId="21" xfId="0" applyFont="1" applyFill="1" applyBorder="1" applyAlignment="1" applyProtection="1">
      <protection hidden="1"/>
    </xf>
    <xf numFmtId="0" fontId="26" fillId="0" borderId="100" xfId="0" applyFont="1" applyBorder="1" applyAlignment="1" applyProtection="1">
      <protection hidden="1"/>
    </xf>
    <xf numFmtId="0" fontId="26" fillId="0" borderId="101" xfId="0" applyFont="1" applyBorder="1" applyAlignment="1" applyProtection="1">
      <protection hidden="1"/>
    </xf>
    <xf numFmtId="0" fontId="26" fillId="0" borderId="102" xfId="0" applyFont="1" applyBorder="1" applyAlignment="1" applyProtection="1">
      <protection hidden="1"/>
    </xf>
    <xf numFmtId="0" fontId="1" fillId="13" borderId="15" xfId="0" applyFont="1" applyFill="1" applyBorder="1" applyAlignment="1" applyProtection="1">
      <protection hidden="1"/>
    </xf>
    <xf numFmtId="0" fontId="12" fillId="0" borderId="16" xfId="0" applyFont="1" applyBorder="1" applyAlignment="1" applyProtection="1">
      <protection hidden="1"/>
    </xf>
    <xf numFmtId="0" fontId="12" fillId="0" borderId="12" xfId="0" applyFont="1" applyBorder="1" applyAlignment="1" applyProtection="1">
      <protection hidden="1"/>
    </xf>
    <xf numFmtId="0" fontId="12" fillId="0" borderId="13" xfId="0" applyFont="1" applyBorder="1" applyAlignment="1" applyProtection="1">
      <protection hidden="1"/>
    </xf>
    <xf numFmtId="0" fontId="12" fillId="0" borderId="2" xfId="0" applyFont="1" applyBorder="1" applyAlignment="1" applyProtection="1">
      <protection hidden="1"/>
    </xf>
    <xf numFmtId="0" fontId="12" fillId="0" borderId="45" xfId="0" applyFont="1" applyBorder="1" applyAlignment="1" applyProtection="1">
      <protection hidden="1"/>
    </xf>
    <xf numFmtId="0" fontId="1" fillId="12" borderId="46" xfId="0" applyFont="1" applyFill="1" applyBorder="1" applyAlignment="1" applyProtection="1">
      <protection hidden="1"/>
    </xf>
    <xf numFmtId="0" fontId="1" fillId="12" borderId="50" xfId="0" applyFont="1" applyFill="1" applyBorder="1" applyAlignment="1" applyProtection="1">
      <protection hidden="1"/>
    </xf>
    <xf numFmtId="0" fontId="1" fillId="0" borderId="2" xfId="0" applyFont="1" applyBorder="1" applyAlignment="1" applyProtection="1">
      <protection hidden="1"/>
    </xf>
    <xf numFmtId="0" fontId="1" fillId="0" borderId="3" xfId="0" applyFont="1" applyBorder="1" applyAlignment="1" applyProtection="1">
      <protection hidden="1"/>
    </xf>
    <xf numFmtId="0" fontId="1" fillId="0" borderId="27" xfId="0" applyFont="1" applyBorder="1" applyAlignment="1" applyProtection="1">
      <protection hidden="1"/>
    </xf>
    <xf numFmtId="0" fontId="1" fillId="0" borderId="14" xfId="0" applyFont="1" applyBorder="1" applyAlignment="1" applyProtection="1">
      <protection hidden="1"/>
    </xf>
    <xf numFmtId="0" fontId="1" fillId="0" borderId="30" xfId="0" applyFont="1" applyBorder="1" applyAlignment="1" applyProtection="1">
      <protection hidden="1"/>
    </xf>
    <xf numFmtId="0" fontId="1" fillId="0" borderId="40" xfId="0" applyFont="1" applyBorder="1" applyAlignment="1" applyProtection="1">
      <protection hidden="1"/>
    </xf>
    <xf numFmtId="0" fontId="1" fillId="0" borderId="53" xfId="0" applyFont="1" applyBorder="1" applyAlignment="1" applyProtection="1">
      <protection hidden="1"/>
    </xf>
    <xf numFmtId="0" fontId="1" fillId="0" borderId="42" xfId="0" applyFont="1" applyBorder="1" applyAlignment="1" applyProtection="1">
      <protection hidden="1"/>
    </xf>
    <xf numFmtId="0" fontId="1" fillId="0" borderId="63" xfId="0" applyFont="1" applyBorder="1" applyAlignment="1" applyProtection="1">
      <protection hidden="1"/>
    </xf>
    <xf numFmtId="0" fontId="1" fillId="0" borderId="29" xfId="0" applyFont="1" applyBorder="1" applyAlignment="1" applyProtection="1">
      <protection hidden="1"/>
    </xf>
  </cellXfs>
  <cellStyles count="4">
    <cellStyle name="Moneda" xfId="1" builtinId="4"/>
    <cellStyle name="Normal" xfId="0" builtinId="0"/>
    <cellStyle name="Normal 2" xfId="3" xr:uid="{50E8843D-3F03-4B23-B380-89F472B8CBBA}"/>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0" Type="http://schemas.openxmlformats.org/officeDocument/2006/relationships/image" Target="../media/image20.jpe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2.png"/><Relationship Id="rId1"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178594</xdr:rowOff>
    </xdr:from>
    <xdr:ext cx="2157412" cy="759619"/>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654969" y="178594"/>
          <a:ext cx="2157412" cy="759619"/>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466725</xdr:colOff>
      <xdr:row>1</xdr:row>
      <xdr:rowOff>7144</xdr:rowOff>
    </xdr:from>
    <xdr:ext cx="2157412" cy="759619"/>
    <xdr:pic>
      <xdr:nvPicPr>
        <xdr:cNvPr id="2" name="image1.png" title="Imagen">
          <a:extLst>
            <a:ext uri="{FF2B5EF4-FFF2-40B4-BE49-F238E27FC236}">
              <a16:creationId xmlns:a16="http://schemas.microsoft.com/office/drawing/2014/main" id="{DAD9BE55-9CB0-4B27-AFC0-050CD5AD315B}"/>
            </a:ext>
          </a:extLst>
        </xdr:cNvPr>
        <xdr:cNvPicPr preferRelativeResize="0"/>
      </xdr:nvPicPr>
      <xdr:blipFill>
        <a:blip xmlns:r="http://schemas.openxmlformats.org/officeDocument/2006/relationships" r:embed="rId1" cstate="print"/>
        <a:stretch>
          <a:fillRect/>
        </a:stretch>
      </xdr:blipFill>
      <xdr:spPr>
        <a:xfrm>
          <a:off x="466725" y="197644"/>
          <a:ext cx="2157412" cy="759619"/>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628650</xdr:colOff>
      <xdr:row>0</xdr:row>
      <xdr:rowOff>111919</xdr:rowOff>
    </xdr:from>
    <xdr:ext cx="2157412" cy="759619"/>
    <xdr:pic>
      <xdr:nvPicPr>
        <xdr:cNvPr id="2" name="image1.png" title="Imagen">
          <a:extLst>
            <a:ext uri="{FF2B5EF4-FFF2-40B4-BE49-F238E27FC236}">
              <a16:creationId xmlns:a16="http://schemas.microsoft.com/office/drawing/2014/main" id="{E1B37AC0-AF04-48D6-99DD-9EF4FECF5680}"/>
            </a:ext>
          </a:extLst>
        </xdr:cNvPr>
        <xdr:cNvPicPr preferRelativeResize="0"/>
      </xdr:nvPicPr>
      <xdr:blipFill>
        <a:blip xmlns:r="http://schemas.openxmlformats.org/officeDocument/2006/relationships" r:embed="rId1" cstate="print"/>
        <a:stretch>
          <a:fillRect/>
        </a:stretch>
      </xdr:blipFill>
      <xdr:spPr>
        <a:xfrm>
          <a:off x="628650" y="111919"/>
          <a:ext cx="2157412" cy="7596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92869</xdr:colOff>
      <xdr:row>0</xdr:row>
      <xdr:rowOff>178594</xdr:rowOff>
    </xdr:from>
    <xdr:ext cx="2157412" cy="759619"/>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652588" y="178594"/>
          <a:ext cx="2157412" cy="7596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92869</xdr:colOff>
      <xdr:row>0</xdr:row>
      <xdr:rowOff>178594</xdr:rowOff>
    </xdr:from>
    <xdr:ext cx="2157412" cy="759619"/>
    <xdr:pic>
      <xdr:nvPicPr>
        <xdr:cNvPr id="3" name="image1.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1654969" y="178594"/>
          <a:ext cx="2157412" cy="7596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92868</xdr:colOff>
      <xdr:row>0</xdr:row>
      <xdr:rowOff>159544</xdr:rowOff>
    </xdr:from>
    <xdr:ext cx="2356417" cy="860992"/>
    <xdr:pic>
      <xdr:nvPicPr>
        <xdr:cNvPr id="2" name="image1.png" title="Imagen">
          <a:extLst>
            <a:ext uri="{FF2B5EF4-FFF2-40B4-BE49-F238E27FC236}">
              <a16:creationId xmlns:a16="http://schemas.microsoft.com/office/drawing/2014/main" id="{D9821B99-443E-49B5-8B37-4A7DD401E2AA}"/>
            </a:ext>
          </a:extLst>
        </xdr:cNvPr>
        <xdr:cNvPicPr preferRelativeResize="0"/>
      </xdr:nvPicPr>
      <xdr:blipFill>
        <a:blip xmlns:r="http://schemas.openxmlformats.org/officeDocument/2006/relationships" r:embed="rId1" cstate="print"/>
        <a:stretch>
          <a:fillRect/>
        </a:stretch>
      </xdr:blipFill>
      <xdr:spPr>
        <a:xfrm>
          <a:off x="2178843" y="159544"/>
          <a:ext cx="2356417" cy="860992"/>
        </a:xfrm>
        <a:prstGeom prst="rect">
          <a:avLst/>
        </a:prstGeom>
        <a:noFill/>
      </xdr:spPr>
    </xdr:pic>
    <xdr:clientData fLocksWithSheet="0"/>
  </xdr:oneCellAnchor>
  <xdr:twoCellAnchor editAs="oneCell">
    <xdr:from>
      <xdr:col>2</xdr:col>
      <xdr:colOff>321469</xdr:colOff>
      <xdr:row>16</xdr:row>
      <xdr:rowOff>23812</xdr:rowOff>
    </xdr:from>
    <xdr:to>
      <xdr:col>2</xdr:col>
      <xdr:colOff>2857501</xdr:colOff>
      <xdr:row>21</xdr:row>
      <xdr:rowOff>110086</xdr:rowOff>
    </xdr:to>
    <xdr:pic>
      <xdr:nvPicPr>
        <xdr:cNvPr id="3" name="Imagen 2">
          <a:extLst>
            <a:ext uri="{FF2B5EF4-FFF2-40B4-BE49-F238E27FC236}">
              <a16:creationId xmlns:a16="http://schemas.microsoft.com/office/drawing/2014/main" id="{D8C2286F-B4A3-40BD-B712-CCC10470B6FA}"/>
            </a:ext>
          </a:extLst>
        </xdr:cNvPr>
        <xdr:cNvPicPr>
          <a:picLocks noChangeAspect="1"/>
        </xdr:cNvPicPr>
      </xdr:nvPicPr>
      <xdr:blipFill>
        <a:blip xmlns:r="http://schemas.openxmlformats.org/officeDocument/2006/relationships" r:embed="rId2"/>
        <a:stretch>
          <a:fillRect/>
        </a:stretch>
      </xdr:blipFill>
      <xdr:spPr>
        <a:xfrm>
          <a:off x="4093369" y="20674012"/>
          <a:ext cx="2536032" cy="1419774"/>
        </a:xfrm>
        <a:prstGeom prst="rect">
          <a:avLst/>
        </a:prstGeom>
      </xdr:spPr>
    </xdr:pic>
    <xdr:clientData/>
  </xdr:twoCellAnchor>
  <xdr:twoCellAnchor editAs="oneCell">
    <xdr:from>
      <xdr:col>6</xdr:col>
      <xdr:colOff>642937</xdr:colOff>
      <xdr:row>16</xdr:row>
      <xdr:rowOff>35718</xdr:rowOff>
    </xdr:from>
    <xdr:to>
      <xdr:col>6</xdr:col>
      <xdr:colOff>3298031</xdr:colOff>
      <xdr:row>22</xdr:row>
      <xdr:rowOff>1454</xdr:rowOff>
    </xdr:to>
    <xdr:pic>
      <xdr:nvPicPr>
        <xdr:cNvPr id="4" name="Imagen 3">
          <a:extLst>
            <a:ext uri="{FF2B5EF4-FFF2-40B4-BE49-F238E27FC236}">
              <a16:creationId xmlns:a16="http://schemas.microsoft.com/office/drawing/2014/main" id="{0478504D-FEDB-4C3F-8750-7F5B68560E4D}"/>
            </a:ext>
          </a:extLst>
        </xdr:cNvPr>
        <xdr:cNvPicPr>
          <a:picLocks noChangeAspect="1"/>
        </xdr:cNvPicPr>
      </xdr:nvPicPr>
      <xdr:blipFill>
        <a:blip xmlns:r="http://schemas.openxmlformats.org/officeDocument/2006/relationships" r:embed="rId3"/>
        <a:stretch>
          <a:fillRect/>
        </a:stretch>
      </xdr:blipFill>
      <xdr:spPr>
        <a:xfrm>
          <a:off x="21007387" y="20685918"/>
          <a:ext cx="2655094" cy="1461161"/>
        </a:xfrm>
        <a:prstGeom prst="rect">
          <a:avLst/>
        </a:prstGeom>
      </xdr:spPr>
    </xdr:pic>
    <xdr:clientData/>
  </xdr:twoCellAnchor>
  <xdr:twoCellAnchor editAs="oneCell">
    <xdr:from>
      <xdr:col>3</xdr:col>
      <xdr:colOff>690561</xdr:colOff>
      <xdr:row>16</xdr:row>
      <xdr:rowOff>35721</xdr:rowOff>
    </xdr:from>
    <xdr:to>
      <xdr:col>3</xdr:col>
      <xdr:colOff>3298030</xdr:colOff>
      <xdr:row>21</xdr:row>
      <xdr:rowOff>119840</xdr:rowOff>
    </xdr:to>
    <xdr:pic>
      <xdr:nvPicPr>
        <xdr:cNvPr id="5" name="Imagen 4">
          <a:extLst>
            <a:ext uri="{FF2B5EF4-FFF2-40B4-BE49-F238E27FC236}">
              <a16:creationId xmlns:a16="http://schemas.microsoft.com/office/drawing/2014/main" id="{DD2B3227-F0CA-492A-9BEF-36D3E92540B0}"/>
            </a:ext>
          </a:extLst>
        </xdr:cNvPr>
        <xdr:cNvPicPr>
          <a:picLocks noChangeAspect="1"/>
        </xdr:cNvPicPr>
      </xdr:nvPicPr>
      <xdr:blipFill>
        <a:blip xmlns:r="http://schemas.openxmlformats.org/officeDocument/2006/relationships" r:embed="rId4"/>
        <a:stretch>
          <a:fillRect/>
        </a:stretch>
      </xdr:blipFill>
      <xdr:spPr>
        <a:xfrm>
          <a:off x="8081961" y="20685921"/>
          <a:ext cx="2607469" cy="1417619"/>
        </a:xfrm>
        <a:prstGeom prst="rect">
          <a:avLst/>
        </a:prstGeom>
      </xdr:spPr>
    </xdr:pic>
    <xdr:clientData/>
  </xdr:twoCellAnchor>
  <xdr:twoCellAnchor editAs="oneCell">
    <xdr:from>
      <xdr:col>4</xdr:col>
      <xdr:colOff>940595</xdr:colOff>
      <xdr:row>16</xdr:row>
      <xdr:rowOff>83344</xdr:rowOff>
    </xdr:from>
    <xdr:to>
      <xdr:col>4</xdr:col>
      <xdr:colOff>3464718</xdr:colOff>
      <xdr:row>21</xdr:row>
      <xdr:rowOff>130809</xdr:rowOff>
    </xdr:to>
    <xdr:pic>
      <xdr:nvPicPr>
        <xdr:cNvPr id="6" name="Imagen 5">
          <a:extLst>
            <a:ext uri="{FF2B5EF4-FFF2-40B4-BE49-F238E27FC236}">
              <a16:creationId xmlns:a16="http://schemas.microsoft.com/office/drawing/2014/main" id="{8B6718BC-D7F4-4A6D-B9DC-F2A6C352ED46}"/>
            </a:ext>
          </a:extLst>
        </xdr:cNvPr>
        <xdr:cNvPicPr>
          <a:picLocks noChangeAspect="1"/>
        </xdr:cNvPicPr>
      </xdr:nvPicPr>
      <xdr:blipFill>
        <a:blip xmlns:r="http://schemas.openxmlformats.org/officeDocument/2006/relationships" r:embed="rId5"/>
        <a:stretch>
          <a:fillRect/>
        </a:stretch>
      </xdr:blipFill>
      <xdr:spPr>
        <a:xfrm>
          <a:off x="12646820" y="20733544"/>
          <a:ext cx="2524123" cy="1380965"/>
        </a:xfrm>
        <a:prstGeom prst="rect">
          <a:avLst/>
        </a:prstGeom>
      </xdr:spPr>
    </xdr:pic>
    <xdr:clientData/>
  </xdr:twoCellAnchor>
  <xdr:twoCellAnchor editAs="oneCell">
    <xdr:from>
      <xdr:col>5</xdr:col>
      <xdr:colOff>762000</xdr:colOff>
      <xdr:row>16</xdr:row>
      <xdr:rowOff>59532</xdr:rowOff>
    </xdr:from>
    <xdr:to>
      <xdr:col>5</xdr:col>
      <xdr:colOff>3238499</xdr:colOff>
      <xdr:row>21</xdr:row>
      <xdr:rowOff>98367</xdr:rowOff>
    </xdr:to>
    <xdr:pic>
      <xdr:nvPicPr>
        <xdr:cNvPr id="7" name="Imagen 6">
          <a:extLst>
            <a:ext uri="{FF2B5EF4-FFF2-40B4-BE49-F238E27FC236}">
              <a16:creationId xmlns:a16="http://schemas.microsoft.com/office/drawing/2014/main" id="{486CD0EF-0E9C-4981-8069-C59A97E55F7F}"/>
            </a:ext>
          </a:extLst>
        </xdr:cNvPr>
        <xdr:cNvPicPr>
          <a:picLocks noChangeAspect="1"/>
        </xdr:cNvPicPr>
      </xdr:nvPicPr>
      <xdr:blipFill>
        <a:blip xmlns:r="http://schemas.openxmlformats.org/officeDocument/2006/relationships" r:embed="rId6"/>
        <a:stretch>
          <a:fillRect/>
        </a:stretch>
      </xdr:blipFill>
      <xdr:spPr>
        <a:xfrm>
          <a:off x="16840200" y="20709732"/>
          <a:ext cx="2476499" cy="1372335"/>
        </a:xfrm>
        <a:prstGeom prst="rect">
          <a:avLst/>
        </a:prstGeom>
      </xdr:spPr>
    </xdr:pic>
    <xdr:clientData/>
  </xdr:twoCellAnchor>
  <xdr:twoCellAnchor editAs="oneCell">
    <xdr:from>
      <xdr:col>5</xdr:col>
      <xdr:colOff>297655</xdr:colOff>
      <xdr:row>23</xdr:row>
      <xdr:rowOff>162192</xdr:rowOff>
    </xdr:from>
    <xdr:to>
      <xdr:col>5</xdr:col>
      <xdr:colOff>1968079</xdr:colOff>
      <xdr:row>23</xdr:row>
      <xdr:rowOff>1415010</xdr:rowOff>
    </xdr:to>
    <xdr:pic>
      <xdr:nvPicPr>
        <xdr:cNvPr id="8" name="Imagen 7">
          <a:extLst>
            <a:ext uri="{FF2B5EF4-FFF2-40B4-BE49-F238E27FC236}">
              <a16:creationId xmlns:a16="http://schemas.microsoft.com/office/drawing/2014/main" id="{FF49281B-1398-492B-AD4B-58132128F0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375855" y="22469742"/>
          <a:ext cx="1670424" cy="1252818"/>
        </a:xfrm>
        <a:prstGeom prst="rect">
          <a:avLst/>
        </a:prstGeom>
      </xdr:spPr>
    </xdr:pic>
    <xdr:clientData/>
  </xdr:twoCellAnchor>
  <xdr:twoCellAnchor editAs="oneCell">
    <xdr:from>
      <xdr:col>5</xdr:col>
      <xdr:colOff>2147886</xdr:colOff>
      <xdr:row>23</xdr:row>
      <xdr:rowOff>160733</xdr:rowOff>
    </xdr:from>
    <xdr:to>
      <xdr:col>5</xdr:col>
      <xdr:colOff>3810000</xdr:colOff>
      <xdr:row>23</xdr:row>
      <xdr:rowOff>1407319</xdr:rowOff>
    </xdr:to>
    <xdr:pic>
      <xdr:nvPicPr>
        <xdr:cNvPr id="9" name="Imagen 8">
          <a:extLst>
            <a:ext uri="{FF2B5EF4-FFF2-40B4-BE49-F238E27FC236}">
              <a16:creationId xmlns:a16="http://schemas.microsoft.com/office/drawing/2014/main" id="{62B995B7-7A47-4800-978B-BC0F605D3AA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226086" y="22468283"/>
          <a:ext cx="1662114" cy="1246586"/>
        </a:xfrm>
        <a:prstGeom prst="rect">
          <a:avLst/>
        </a:prstGeom>
      </xdr:spPr>
    </xdr:pic>
    <xdr:clientData/>
  </xdr:twoCellAnchor>
  <xdr:twoCellAnchor editAs="oneCell">
    <xdr:from>
      <xdr:col>2</xdr:col>
      <xdr:colOff>702469</xdr:colOff>
      <xdr:row>23</xdr:row>
      <xdr:rowOff>59531</xdr:rowOff>
    </xdr:from>
    <xdr:to>
      <xdr:col>2</xdr:col>
      <xdr:colOff>2647969</xdr:colOff>
      <xdr:row>23</xdr:row>
      <xdr:rowOff>1518656</xdr:rowOff>
    </xdr:to>
    <xdr:pic>
      <xdr:nvPicPr>
        <xdr:cNvPr id="10" name="Imagen 9">
          <a:extLst>
            <a:ext uri="{FF2B5EF4-FFF2-40B4-BE49-F238E27FC236}">
              <a16:creationId xmlns:a16="http://schemas.microsoft.com/office/drawing/2014/main" id="{6D85B7A7-9FBD-41D7-AB8C-A87A1F643E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74369" y="22367081"/>
          <a:ext cx="1945500" cy="1459125"/>
        </a:xfrm>
        <a:prstGeom prst="rect">
          <a:avLst/>
        </a:prstGeom>
      </xdr:spPr>
    </xdr:pic>
    <xdr:clientData/>
  </xdr:twoCellAnchor>
  <xdr:twoCellAnchor editAs="oneCell">
    <xdr:from>
      <xdr:col>6</xdr:col>
      <xdr:colOff>1154906</xdr:colOff>
      <xdr:row>23</xdr:row>
      <xdr:rowOff>107156</xdr:rowOff>
    </xdr:from>
    <xdr:to>
      <xdr:col>6</xdr:col>
      <xdr:colOff>3015456</xdr:colOff>
      <xdr:row>23</xdr:row>
      <xdr:rowOff>1502568</xdr:rowOff>
    </xdr:to>
    <xdr:pic>
      <xdr:nvPicPr>
        <xdr:cNvPr id="11" name="Imagen 10">
          <a:extLst>
            <a:ext uri="{FF2B5EF4-FFF2-40B4-BE49-F238E27FC236}">
              <a16:creationId xmlns:a16="http://schemas.microsoft.com/office/drawing/2014/main" id="{60F784C8-E9D0-4313-9A8F-9C0DAC85CA7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519356" y="22414706"/>
          <a:ext cx="1860550" cy="1395412"/>
        </a:xfrm>
        <a:prstGeom prst="rect">
          <a:avLst/>
        </a:prstGeom>
      </xdr:spPr>
    </xdr:pic>
    <xdr:clientData/>
  </xdr:twoCellAnchor>
  <xdr:twoCellAnchor editAs="oneCell">
    <xdr:from>
      <xdr:col>4</xdr:col>
      <xdr:colOff>1678782</xdr:colOff>
      <xdr:row>23</xdr:row>
      <xdr:rowOff>107156</xdr:rowOff>
    </xdr:from>
    <xdr:to>
      <xdr:col>4</xdr:col>
      <xdr:colOff>2845593</xdr:colOff>
      <xdr:row>23</xdr:row>
      <xdr:rowOff>1662904</xdr:rowOff>
    </xdr:to>
    <xdr:pic>
      <xdr:nvPicPr>
        <xdr:cNvPr id="12" name="Imagen 11">
          <a:extLst>
            <a:ext uri="{FF2B5EF4-FFF2-40B4-BE49-F238E27FC236}">
              <a16:creationId xmlns:a16="http://schemas.microsoft.com/office/drawing/2014/main" id="{6D5BB2DC-75A9-44E2-B7D2-FD3C475D1F3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385007" y="22414706"/>
          <a:ext cx="1166811" cy="1555748"/>
        </a:xfrm>
        <a:prstGeom prst="rect">
          <a:avLst/>
        </a:prstGeom>
      </xdr:spPr>
    </xdr:pic>
    <xdr:clientData/>
  </xdr:twoCellAnchor>
  <xdr:twoCellAnchor editAs="oneCell">
    <xdr:from>
      <xdr:col>3</xdr:col>
      <xdr:colOff>1464469</xdr:colOff>
      <xdr:row>23</xdr:row>
      <xdr:rowOff>95250</xdr:rowOff>
    </xdr:from>
    <xdr:to>
      <xdr:col>3</xdr:col>
      <xdr:colOff>2547994</xdr:colOff>
      <xdr:row>23</xdr:row>
      <xdr:rowOff>1539950</xdr:rowOff>
    </xdr:to>
    <xdr:pic>
      <xdr:nvPicPr>
        <xdr:cNvPr id="13" name="Imagen 12">
          <a:extLst>
            <a:ext uri="{FF2B5EF4-FFF2-40B4-BE49-F238E27FC236}">
              <a16:creationId xmlns:a16="http://schemas.microsoft.com/office/drawing/2014/main" id="{7938DD82-3B29-42AE-837E-B79C0EF2353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55869" y="22402800"/>
          <a:ext cx="1083525" cy="1444700"/>
        </a:xfrm>
        <a:prstGeom prst="rect">
          <a:avLst/>
        </a:prstGeom>
      </xdr:spPr>
    </xdr:pic>
    <xdr:clientData/>
  </xdr:twoCellAnchor>
  <xdr:oneCellAnchor>
    <xdr:from>
      <xdr:col>6</xdr:col>
      <xdr:colOff>366713</xdr:colOff>
      <xdr:row>32</xdr:row>
      <xdr:rowOff>119061</xdr:rowOff>
    </xdr:from>
    <xdr:ext cx="3288802" cy="2486413"/>
    <xdr:pic>
      <xdr:nvPicPr>
        <xdr:cNvPr id="14" name="Imagen 13">
          <a:extLst>
            <a:ext uri="{FF2B5EF4-FFF2-40B4-BE49-F238E27FC236}">
              <a16:creationId xmlns:a16="http://schemas.microsoft.com/office/drawing/2014/main" id="{411CBE2B-8D18-4348-A73B-C673828170C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0731163" y="39685911"/>
          <a:ext cx="3288802" cy="2486413"/>
        </a:xfrm>
        <a:prstGeom prst="rect">
          <a:avLst/>
        </a:prstGeom>
        <a:ln w="19050">
          <a:solidFill>
            <a:schemeClr val="tx1"/>
          </a:solidFill>
        </a:ln>
      </xdr:spPr>
    </xdr:pic>
    <xdr:clientData/>
  </xdr:oneCellAnchor>
  <xdr:oneCellAnchor>
    <xdr:from>
      <xdr:col>6</xdr:col>
      <xdr:colOff>500063</xdr:colOff>
      <xdr:row>44</xdr:row>
      <xdr:rowOff>56647</xdr:rowOff>
    </xdr:from>
    <xdr:ext cx="1423987" cy="1969518"/>
    <xdr:pic>
      <xdr:nvPicPr>
        <xdr:cNvPr id="15" name="Imagen 14">
          <a:extLst>
            <a:ext uri="{FF2B5EF4-FFF2-40B4-BE49-F238E27FC236}">
              <a16:creationId xmlns:a16="http://schemas.microsoft.com/office/drawing/2014/main" id="{DF555904-65DC-46B0-BA59-6E749AE6461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0864513" y="46605322"/>
          <a:ext cx="1423987" cy="1969518"/>
        </a:xfrm>
        <a:prstGeom prst="rect">
          <a:avLst/>
        </a:prstGeom>
        <a:ln w="19050">
          <a:solidFill>
            <a:schemeClr val="tx1"/>
          </a:solidFill>
        </a:ln>
      </xdr:spPr>
    </xdr:pic>
    <xdr:clientData/>
  </xdr:oneCellAnchor>
  <xdr:oneCellAnchor>
    <xdr:from>
      <xdr:col>6</xdr:col>
      <xdr:colOff>2097863</xdr:colOff>
      <xdr:row>32</xdr:row>
      <xdr:rowOff>4909273</xdr:rowOff>
    </xdr:from>
    <xdr:ext cx="1446007" cy="2005877"/>
    <xdr:pic>
      <xdr:nvPicPr>
        <xdr:cNvPr id="16" name="Imagen 15">
          <a:extLst>
            <a:ext uri="{FF2B5EF4-FFF2-40B4-BE49-F238E27FC236}">
              <a16:creationId xmlns:a16="http://schemas.microsoft.com/office/drawing/2014/main" id="{8418BFBF-92FA-458A-A8E3-62A20D72470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462313" y="44476123"/>
          <a:ext cx="1446007" cy="2005877"/>
        </a:xfrm>
        <a:prstGeom prst="rect">
          <a:avLst/>
        </a:prstGeom>
        <a:ln w="19050">
          <a:solidFill>
            <a:schemeClr val="tx1"/>
          </a:solidFill>
        </a:ln>
      </xdr:spPr>
    </xdr:pic>
    <xdr:clientData/>
  </xdr:oneCellAnchor>
  <xdr:oneCellAnchor>
    <xdr:from>
      <xdr:col>6</xdr:col>
      <xdr:colOff>495264</xdr:colOff>
      <xdr:row>32</xdr:row>
      <xdr:rowOff>4935448</xdr:rowOff>
    </xdr:from>
    <xdr:ext cx="1447836" cy="2002505"/>
    <xdr:pic>
      <xdr:nvPicPr>
        <xdr:cNvPr id="17" name="Imagen 16">
          <a:extLst>
            <a:ext uri="{FF2B5EF4-FFF2-40B4-BE49-F238E27FC236}">
              <a16:creationId xmlns:a16="http://schemas.microsoft.com/office/drawing/2014/main" id="{9F5867B1-9E1C-4E8D-A9F1-CCCFA210BED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0859714" y="44502298"/>
          <a:ext cx="1447836" cy="2002505"/>
        </a:xfrm>
        <a:prstGeom prst="rect">
          <a:avLst/>
        </a:prstGeom>
        <a:ln w="19050">
          <a:solidFill>
            <a:schemeClr val="tx1"/>
          </a:solidFill>
        </a:ln>
      </xdr:spPr>
    </xdr:pic>
    <xdr:clientData/>
  </xdr:oneCellAnchor>
  <xdr:oneCellAnchor>
    <xdr:from>
      <xdr:col>6</xdr:col>
      <xdr:colOff>2074014</xdr:colOff>
      <xdr:row>32</xdr:row>
      <xdr:rowOff>2666999</xdr:rowOff>
    </xdr:from>
    <xdr:ext cx="1541142" cy="2076451"/>
    <xdr:pic>
      <xdr:nvPicPr>
        <xdr:cNvPr id="18" name="Imagen 17">
          <a:extLst>
            <a:ext uri="{FF2B5EF4-FFF2-40B4-BE49-F238E27FC236}">
              <a16:creationId xmlns:a16="http://schemas.microsoft.com/office/drawing/2014/main" id="{B5123E9E-871C-4529-87C1-3D2D9457E9D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2438464" y="42233849"/>
          <a:ext cx="1541142" cy="2076451"/>
        </a:xfrm>
        <a:prstGeom prst="rect">
          <a:avLst/>
        </a:prstGeom>
        <a:ln w="19050">
          <a:solidFill>
            <a:schemeClr val="tx1"/>
          </a:solidFill>
        </a:ln>
      </xdr:spPr>
    </xdr:pic>
    <xdr:clientData/>
  </xdr:oneCellAnchor>
  <xdr:oneCellAnchor>
    <xdr:from>
      <xdr:col>6</xdr:col>
      <xdr:colOff>423789</xdr:colOff>
      <xdr:row>32</xdr:row>
      <xdr:rowOff>2666999</xdr:rowOff>
    </xdr:from>
    <xdr:ext cx="1580546" cy="2123275"/>
    <xdr:pic>
      <xdr:nvPicPr>
        <xdr:cNvPr id="19" name="Imagen 18">
          <a:extLst>
            <a:ext uri="{FF2B5EF4-FFF2-40B4-BE49-F238E27FC236}">
              <a16:creationId xmlns:a16="http://schemas.microsoft.com/office/drawing/2014/main" id="{8B42C1F3-6696-43F2-ABCD-3FF8373FAB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788239" y="42233849"/>
          <a:ext cx="1580546" cy="2123275"/>
        </a:xfrm>
        <a:prstGeom prst="rect">
          <a:avLst/>
        </a:prstGeom>
        <a:ln w="19050">
          <a:solidFill>
            <a:schemeClr val="tx1"/>
          </a:solidFill>
        </a:ln>
      </xdr:spPr>
    </xdr:pic>
    <xdr:clientData/>
  </xdr:oneCellAnchor>
  <xdr:oneCellAnchor>
    <xdr:from>
      <xdr:col>6</xdr:col>
      <xdr:colOff>2100263</xdr:colOff>
      <xdr:row>44</xdr:row>
      <xdr:rowOff>113796</xdr:rowOff>
    </xdr:from>
    <xdr:ext cx="1359917" cy="1886453"/>
    <xdr:pic>
      <xdr:nvPicPr>
        <xdr:cNvPr id="20" name="Imagen 19">
          <a:extLst>
            <a:ext uri="{FF2B5EF4-FFF2-40B4-BE49-F238E27FC236}">
              <a16:creationId xmlns:a16="http://schemas.microsoft.com/office/drawing/2014/main" id="{F8C820C1-B7C2-45B2-BEA2-6A9892FC10D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464713" y="46662471"/>
          <a:ext cx="1359917" cy="1886453"/>
        </a:xfrm>
        <a:prstGeom prst="rect">
          <a:avLst/>
        </a:prstGeom>
        <a:ln w="19050">
          <a:solidFill>
            <a:schemeClr val="tx1"/>
          </a:solidFill>
        </a:ln>
      </xdr:spPr>
    </xdr:pic>
    <xdr:clientData/>
  </xdr:oneCellAnchor>
  <xdr:twoCellAnchor editAs="oneCell">
    <xdr:from>
      <xdr:col>4</xdr:col>
      <xdr:colOff>345375</xdr:colOff>
      <xdr:row>32</xdr:row>
      <xdr:rowOff>190500</xdr:rowOff>
    </xdr:from>
    <xdr:to>
      <xdr:col>4</xdr:col>
      <xdr:colOff>4185375</xdr:colOff>
      <xdr:row>32</xdr:row>
      <xdr:rowOff>3094993</xdr:rowOff>
    </xdr:to>
    <xdr:pic>
      <xdr:nvPicPr>
        <xdr:cNvPr id="21" name="Imagen 20">
          <a:extLst>
            <a:ext uri="{FF2B5EF4-FFF2-40B4-BE49-F238E27FC236}">
              <a16:creationId xmlns:a16="http://schemas.microsoft.com/office/drawing/2014/main" id="{1A994CCE-CD03-49B6-BE3A-EFEBECBC4AE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051600" y="39757350"/>
          <a:ext cx="3840000" cy="2904493"/>
        </a:xfrm>
        <a:prstGeom prst="rect">
          <a:avLst/>
        </a:prstGeom>
        <a:ln w="19050">
          <a:solidFill>
            <a:schemeClr val="tx1"/>
          </a:solidFill>
        </a:ln>
      </xdr:spPr>
    </xdr:pic>
    <xdr:clientData/>
  </xdr:twoCellAnchor>
  <xdr:twoCellAnchor editAs="oneCell">
    <xdr:from>
      <xdr:col>4</xdr:col>
      <xdr:colOff>345375</xdr:colOff>
      <xdr:row>32</xdr:row>
      <xdr:rowOff>3177268</xdr:rowOff>
    </xdr:from>
    <xdr:to>
      <xdr:col>4</xdr:col>
      <xdr:colOff>4185374</xdr:colOff>
      <xdr:row>38</xdr:row>
      <xdr:rowOff>23860</xdr:rowOff>
    </xdr:to>
    <xdr:pic>
      <xdr:nvPicPr>
        <xdr:cNvPr id="22" name="Imagen 21">
          <a:extLst>
            <a:ext uri="{FF2B5EF4-FFF2-40B4-BE49-F238E27FC236}">
              <a16:creationId xmlns:a16="http://schemas.microsoft.com/office/drawing/2014/main" id="{94BA9F39-A52B-43C2-9C35-4F00109508E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051600" y="42744118"/>
          <a:ext cx="3839999" cy="2856867"/>
        </a:xfrm>
        <a:prstGeom prst="rect">
          <a:avLst/>
        </a:prstGeom>
        <a:ln w="19050">
          <a:solidFill>
            <a:schemeClr val="tx1"/>
          </a:solidFill>
        </a:ln>
      </xdr:spPr>
    </xdr:pic>
    <xdr:clientData/>
  </xdr:twoCellAnchor>
  <xdr:twoCellAnchor editAs="oneCell">
    <xdr:from>
      <xdr:col>4</xdr:col>
      <xdr:colOff>352500</xdr:colOff>
      <xdr:row>38</xdr:row>
      <xdr:rowOff>113261</xdr:rowOff>
    </xdr:from>
    <xdr:to>
      <xdr:col>4</xdr:col>
      <xdr:colOff>2242500</xdr:colOff>
      <xdr:row>53</xdr:row>
      <xdr:rowOff>83283</xdr:rowOff>
    </xdr:to>
    <xdr:pic>
      <xdr:nvPicPr>
        <xdr:cNvPr id="23" name="Imagen 22">
          <a:extLst>
            <a:ext uri="{FF2B5EF4-FFF2-40B4-BE49-F238E27FC236}">
              <a16:creationId xmlns:a16="http://schemas.microsoft.com/office/drawing/2014/main" id="{5CA763BF-8609-4B3E-909C-38B4FF8D80E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058725" y="45690386"/>
          <a:ext cx="1890000" cy="2398897"/>
        </a:xfrm>
        <a:prstGeom prst="rect">
          <a:avLst/>
        </a:prstGeom>
        <a:ln w="19050">
          <a:solidFill>
            <a:schemeClr val="tx1"/>
          </a:solidFill>
        </a:ln>
      </xdr:spPr>
    </xdr:pic>
    <xdr:clientData/>
  </xdr:twoCellAnchor>
  <xdr:twoCellAnchor editAs="oneCell">
    <xdr:from>
      <xdr:col>4</xdr:col>
      <xdr:colOff>2312250</xdr:colOff>
      <xdr:row>71</xdr:row>
      <xdr:rowOff>82286</xdr:rowOff>
    </xdr:from>
    <xdr:to>
      <xdr:col>4</xdr:col>
      <xdr:colOff>4202250</xdr:colOff>
      <xdr:row>86</xdr:row>
      <xdr:rowOff>50947</xdr:rowOff>
    </xdr:to>
    <xdr:pic>
      <xdr:nvPicPr>
        <xdr:cNvPr id="24" name="Imagen 23">
          <a:extLst>
            <a:ext uri="{FF2B5EF4-FFF2-40B4-BE49-F238E27FC236}">
              <a16:creationId xmlns:a16="http://schemas.microsoft.com/office/drawing/2014/main" id="{A51C0850-840D-47AB-9D9E-D985D70DE67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4018475" y="51002936"/>
          <a:ext cx="1890000" cy="2397536"/>
        </a:xfrm>
        <a:prstGeom prst="rect">
          <a:avLst/>
        </a:prstGeom>
        <a:ln w="19050">
          <a:solidFill>
            <a:schemeClr val="tx1"/>
          </a:solidFill>
        </a:ln>
      </xdr:spPr>
    </xdr:pic>
    <xdr:clientData/>
  </xdr:twoCellAnchor>
  <xdr:twoCellAnchor editAs="oneCell">
    <xdr:from>
      <xdr:col>4</xdr:col>
      <xdr:colOff>2300325</xdr:colOff>
      <xdr:row>38</xdr:row>
      <xdr:rowOff>138397</xdr:rowOff>
    </xdr:from>
    <xdr:to>
      <xdr:col>4</xdr:col>
      <xdr:colOff>4190325</xdr:colOff>
      <xdr:row>53</xdr:row>
      <xdr:rowOff>107058</xdr:rowOff>
    </xdr:to>
    <xdr:pic>
      <xdr:nvPicPr>
        <xdr:cNvPr id="25" name="Imagen 24">
          <a:extLst>
            <a:ext uri="{FF2B5EF4-FFF2-40B4-BE49-F238E27FC236}">
              <a16:creationId xmlns:a16="http://schemas.microsoft.com/office/drawing/2014/main" id="{DFB58995-1471-45FA-B767-EE922A98E4B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006550" y="45715522"/>
          <a:ext cx="1890000" cy="2397536"/>
        </a:xfrm>
        <a:prstGeom prst="rect">
          <a:avLst/>
        </a:prstGeom>
        <a:ln w="19050">
          <a:solidFill>
            <a:schemeClr val="tx1"/>
          </a:solidFill>
        </a:ln>
      </xdr:spPr>
    </xdr:pic>
    <xdr:clientData/>
  </xdr:twoCellAnchor>
  <xdr:twoCellAnchor editAs="oneCell">
    <xdr:from>
      <xdr:col>4</xdr:col>
      <xdr:colOff>354825</xdr:colOff>
      <xdr:row>54</xdr:row>
      <xdr:rowOff>4006</xdr:rowOff>
    </xdr:from>
    <xdr:to>
      <xdr:col>4</xdr:col>
      <xdr:colOff>4194825</xdr:colOff>
      <xdr:row>71</xdr:row>
      <xdr:rowOff>2013</xdr:rowOff>
    </xdr:to>
    <xdr:pic>
      <xdr:nvPicPr>
        <xdr:cNvPr id="26" name="Imagen 25">
          <a:extLst>
            <a:ext uri="{FF2B5EF4-FFF2-40B4-BE49-F238E27FC236}">
              <a16:creationId xmlns:a16="http://schemas.microsoft.com/office/drawing/2014/main" id="{29DC6FB7-C01D-4D6D-B75E-A0D821380EE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061050" y="48171931"/>
          <a:ext cx="3840000" cy="2750732"/>
        </a:xfrm>
        <a:prstGeom prst="rect">
          <a:avLst/>
        </a:prstGeom>
        <a:ln w="19050">
          <a:solidFill>
            <a:schemeClr val="tx1"/>
          </a:solidFill>
        </a:ln>
      </xdr:spPr>
    </xdr:pic>
    <xdr:clientData/>
  </xdr:twoCellAnchor>
  <xdr:twoCellAnchor editAs="oneCell">
    <xdr:from>
      <xdr:col>4</xdr:col>
      <xdr:colOff>342900</xdr:colOff>
      <xdr:row>71</xdr:row>
      <xdr:rowOff>56036</xdr:rowOff>
    </xdr:from>
    <xdr:to>
      <xdr:col>4</xdr:col>
      <xdr:colOff>2232900</xdr:colOff>
      <xdr:row>86</xdr:row>
      <xdr:rowOff>24697</xdr:rowOff>
    </xdr:to>
    <xdr:pic>
      <xdr:nvPicPr>
        <xdr:cNvPr id="27" name="Imagen 26">
          <a:extLst>
            <a:ext uri="{FF2B5EF4-FFF2-40B4-BE49-F238E27FC236}">
              <a16:creationId xmlns:a16="http://schemas.microsoft.com/office/drawing/2014/main" id="{D43B6D74-F3A7-4895-A86C-02DACA6ABAE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049125" y="50976686"/>
          <a:ext cx="1890000" cy="2397536"/>
        </a:xfrm>
        <a:prstGeom prst="rect">
          <a:avLst/>
        </a:prstGeom>
        <a:ln w="19050">
          <a:solidFill>
            <a:schemeClr val="tx1"/>
          </a:solidFill>
        </a:ln>
      </xdr:spPr>
    </xdr:pic>
    <xdr:clientData/>
  </xdr:twoCellAnchor>
  <xdr:twoCellAnchor editAs="oneCell">
    <xdr:from>
      <xdr:col>3</xdr:col>
      <xdr:colOff>2124225</xdr:colOff>
      <xdr:row>38</xdr:row>
      <xdr:rowOff>133747</xdr:rowOff>
    </xdr:from>
    <xdr:to>
      <xdr:col>3</xdr:col>
      <xdr:colOff>4014225</xdr:colOff>
      <xdr:row>53</xdr:row>
      <xdr:rowOff>102408</xdr:rowOff>
    </xdr:to>
    <xdr:pic>
      <xdr:nvPicPr>
        <xdr:cNvPr id="28" name="Imagen 27">
          <a:extLst>
            <a:ext uri="{FF2B5EF4-FFF2-40B4-BE49-F238E27FC236}">
              <a16:creationId xmlns:a16="http://schemas.microsoft.com/office/drawing/2014/main" id="{AA6FE670-2D70-4725-B7B4-4A7E172E099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515625" y="45710872"/>
          <a:ext cx="1890000" cy="2397536"/>
        </a:xfrm>
        <a:prstGeom prst="rect">
          <a:avLst/>
        </a:prstGeom>
        <a:ln w="19050">
          <a:solidFill>
            <a:schemeClr val="tx1"/>
          </a:solidFill>
        </a:ln>
      </xdr:spPr>
    </xdr:pic>
    <xdr:clientData/>
  </xdr:twoCellAnchor>
  <xdr:twoCellAnchor editAs="oneCell">
    <xdr:from>
      <xdr:col>3</xdr:col>
      <xdr:colOff>178725</xdr:colOff>
      <xdr:row>38</xdr:row>
      <xdr:rowOff>131347</xdr:rowOff>
    </xdr:from>
    <xdr:to>
      <xdr:col>3</xdr:col>
      <xdr:colOff>2068725</xdr:colOff>
      <xdr:row>53</xdr:row>
      <xdr:rowOff>100008</xdr:rowOff>
    </xdr:to>
    <xdr:pic>
      <xdr:nvPicPr>
        <xdr:cNvPr id="29" name="Imagen 28">
          <a:extLst>
            <a:ext uri="{FF2B5EF4-FFF2-40B4-BE49-F238E27FC236}">
              <a16:creationId xmlns:a16="http://schemas.microsoft.com/office/drawing/2014/main" id="{A69940F3-A65A-4763-A56B-3B15E0C2480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70125" y="45708472"/>
          <a:ext cx="1890000" cy="2397536"/>
        </a:xfrm>
        <a:prstGeom prst="rect">
          <a:avLst/>
        </a:prstGeom>
        <a:ln w="19050">
          <a:solidFill>
            <a:schemeClr val="tx1"/>
          </a:solidFill>
        </a:ln>
      </xdr:spPr>
    </xdr:pic>
    <xdr:clientData/>
  </xdr:twoCellAnchor>
  <xdr:twoCellAnchor editAs="oneCell">
    <xdr:from>
      <xdr:col>3</xdr:col>
      <xdr:colOff>176325</xdr:colOff>
      <xdr:row>69</xdr:row>
      <xdr:rowOff>48664</xdr:rowOff>
    </xdr:from>
    <xdr:to>
      <xdr:col>3</xdr:col>
      <xdr:colOff>2066325</xdr:colOff>
      <xdr:row>84</xdr:row>
      <xdr:rowOff>7801</xdr:rowOff>
    </xdr:to>
    <xdr:pic>
      <xdr:nvPicPr>
        <xdr:cNvPr id="30" name="Imagen 29">
          <a:extLst>
            <a:ext uri="{FF2B5EF4-FFF2-40B4-BE49-F238E27FC236}">
              <a16:creationId xmlns:a16="http://schemas.microsoft.com/office/drawing/2014/main" id="{2B47A9DF-8824-4988-B41F-38B27B7BD1B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7725" y="50645464"/>
          <a:ext cx="1890000" cy="2388012"/>
        </a:xfrm>
        <a:prstGeom prst="rect">
          <a:avLst/>
        </a:prstGeom>
        <a:ln w="19050">
          <a:solidFill>
            <a:schemeClr val="tx1"/>
          </a:solidFill>
        </a:ln>
      </xdr:spPr>
    </xdr:pic>
    <xdr:clientData/>
  </xdr:twoCellAnchor>
  <xdr:twoCellAnchor editAs="oneCell">
    <xdr:from>
      <xdr:col>3</xdr:col>
      <xdr:colOff>192975</xdr:colOff>
      <xdr:row>32</xdr:row>
      <xdr:rowOff>190500</xdr:rowOff>
    </xdr:from>
    <xdr:to>
      <xdr:col>3</xdr:col>
      <xdr:colOff>4032975</xdr:colOff>
      <xdr:row>32</xdr:row>
      <xdr:rowOff>3094993</xdr:rowOff>
    </xdr:to>
    <xdr:pic>
      <xdr:nvPicPr>
        <xdr:cNvPr id="31" name="Imagen 30">
          <a:extLst>
            <a:ext uri="{FF2B5EF4-FFF2-40B4-BE49-F238E27FC236}">
              <a16:creationId xmlns:a16="http://schemas.microsoft.com/office/drawing/2014/main" id="{E64EFAB0-12DE-41FF-BEDD-C51E04814AE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84375" y="39757350"/>
          <a:ext cx="3840000" cy="2904493"/>
        </a:xfrm>
        <a:prstGeom prst="rect">
          <a:avLst/>
        </a:prstGeom>
        <a:ln w="19050">
          <a:solidFill>
            <a:schemeClr val="tx1"/>
          </a:solidFill>
        </a:ln>
      </xdr:spPr>
    </xdr:pic>
    <xdr:clientData/>
  </xdr:twoCellAnchor>
  <xdr:twoCellAnchor editAs="oneCell">
    <xdr:from>
      <xdr:col>3</xdr:col>
      <xdr:colOff>2112225</xdr:colOff>
      <xdr:row>54</xdr:row>
      <xdr:rowOff>10168</xdr:rowOff>
    </xdr:from>
    <xdr:to>
      <xdr:col>3</xdr:col>
      <xdr:colOff>4002225</xdr:colOff>
      <xdr:row>68</xdr:row>
      <xdr:rowOff>150279</xdr:rowOff>
    </xdr:to>
    <xdr:pic>
      <xdr:nvPicPr>
        <xdr:cNvPr id="32" name="Imagen 31">
          <a:extLst>
            <a:ext uri="{FF2B5EF4-FFF2-40B4-BE49-F238E27FC236}">
              <a16:creationId xmlns:a16="http://schemas.microsoft.com/office/drawing/2014/main" id="{41050CDD-5B54-42F3-B69F-963F0875F45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503625" y="48178093"/>
          <a:ext cx="1890000" cy="2407061"/>
        </a:xfrm>
        <a:prstGeom prst="rect">
          <a:avLst/>
        </a:prstGeom>
        <a:ln w="19050">
          <a:solidFill>
            <a:schemeClr val="tx1"/>
          </a:solidFill>
        </a:ln>
      </xdr:spPr>
    </xdr:pic>
    <xdr:clientData/>
  </xdr:twoCellAnchor>
  <xdr:twoCellAnchor editAs="oneCell">
    <xdr:from>
      <xdr:col>3</xdr:col>
      <xdr:colOff>195300</xdr:colOff>
      <xdr:row>32</xdr:row>
      <xdr:rowOff>3160543</xdr:rowOff>
    </xdr:from>
    <xdr:to>
      <xdr:col>3</xdr:col>
      <xdr:colOff>4035300</xdr:colOff>
      <xdr:row>38</xdr:row>
      <xdr:rowOff>7135</xdr:rowOff>
    </xdr:to>
    <xdr:pic>
      <xdr:nvPicPr>
        <xdr:cNvPr id="33" name="Imagen 32">
          <a:extLst>
            <a:ext uri="{FF2B5EF4-FFF2-40B4-BE49-F238E27FC236}">
              <a16:creationId xmlns:a16="http://schemas.microsoft.com/office/drawing/2014/main" id="{06898060-1DD8-49AE-B7DA-1ACE82EB89B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86700" y="42727393"/>
          <a:ext cx="3840000" cy="2856867"/>
        </a:xfrm>
        <a:prstGeom prst="rect">
          <a:avLst/>
        </a:prstGeom>
        <a:ln w="19050">
          <a:solidFill>
            <a:schemeClr val="tx1"/>
          </a:solidFill>
        </a:ln>
      </xdr:spPr>
    </xdr:pic>
    <xdr:clientData/>
  </xdr:twoCellAnchor>
  <xdr:twoCellAnchor editAs="oneCell">
    <xdr:from>
      <xdr:col>3</xdr:col>
      <xdr:colOff>2107425</xdr:colOff>
      <xdr:row>69</xdr:row>
      <xdr:rowOff>36664</xdr:rowOff>
    </xdr:from>
    <xdr:to>
      <xdr:col>3</xdr:col>
      <xdr:colOff>3997425</xdr:colOff>
      <xdr:row>84</xdr:row>
      <xdr:rowOff>5326</xdr:rowOff>
    </xdr:to>
    <xdr:pic>
      <xdr:nvPicPr>
        <xdr:cNvPr id="34" name="Imagen 33">
          <a:extLst>
            <a:ext uri="{FF2B5EF4-FFF2-40B4-BE49-F238E27FC236}">
              <a16:creationId xmlns:a16="http://schemas.microsoft.com/office/drawing/2014/main" id="{0BB0E8CD-3DC3-47CC-8FB6-2A82DFD7FF1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9498825" y="50633464"/>
          <a:ext cx="1890000" cy="2397537"/>
        </a:xfrm>
        <a:prstGeom prst="rect">
          <a:avLst/>
        </a:prstGeom>
        <a:ln w="19050">
          <a:solidFill>
            <a:schemeClr val="tx1"/>
          </a:solidFill>
        </a:ln>
      </xdr:spPr>
    </xdr:pic>
    <xdr:clientData/>
  </xdr:twoCellAnchor>
  <xdr:twoCellAnchor editAs="oneCell">
    <xdr:from>
      <xdr:col>3</xdr:col>
      <xdr:colOff>171450</xdr:colOff>
      <xdr:row>54</xdr:row>
      <xdr:rowOff>2968</xdr:rowOff>
    </xdr:from>
    <xdr:to>
      <xdr:col>3</xdr:col>
      <xdr:colOff>2061450</xdr:colOff>
      <xdr:row>68</xdr:row>
      <xdr:rowOff>143079</xdr:rowOff>
    </xdr:to>
    <xdr:pic>
      <xdr:nvPicPr>
        <xdr:cNvPr id="35" name="Imagen 34">
          <a:extLst>
            <a:ext uri="{FF2B5EF4-FFF2-40B4-BE49-F238E27FC236}">
              <a16:creationId xmlns:a16="http://schemas.microsoft.com/office/drawing/2014/main" id="{78A2FA45-6AEF-4B21-A650-B041CFCD726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562850" y="48170893"/>
          <a:ext cx="1890000" cy="2407061"/>
        </a:xfrm>
        <a:prstGeom prst="rect">
          <a:avLst/>
        </a:prstGeom>
        <a:ln w="19050">
          <a:solidFill>
            <a:schemeClr val="tx1"/>
          </a:solidFill>
        </a:ln>
      </xdr:spPr>
    </xdr:pic>
    <xdr:clientData/>
  </xdr:twoCellAnchor>
  <xdr:twoCellAnchor editAs="oneCell">
    <xdr:from>
      <xdr:col>2</xdr:col>
      <xdr:colOff>152400</xdr:colOff>
      <xdr:row>32</xdr:row>
      <xdr:rowOff>152400</xdr:rowOff>
    </xdr:from>
    <xdr:to>
      <xdr:col>2</xdr:col>
      <xdr:colOff>3236826</xdr:colOff>
      <xdr:row>32</xdr:row>
      <xdr:rowOff>2485393</xdr:rowOff>
    </xdr:to>
    <xdr:pic>
      <xdr:nvPicPr>
        <xdr:cNvPr id="36" name="Imagen 35">
          <a:extLst>
            <a:ext uri="{FF2B5EF4-FFF2-40B4-BE49-F238E27FC236}">
              <a16:creationId xmlns:a16="http://schemas.microsoft.com/office/drawing/2014/main" id="{48EA848B-F664-45BD-9F5D-E4E50F70583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924300" y="39719250"/>
          <a:ext cx="3084426" cy="2332993"/>
        </a:xfrm>
        <a:prstGeom prst="rect">
          <a:avLst/>
        </a:prstGeom>
        <a:ln w="19050">
          <a:solidFill>
            <a:schemeClr val="tx1"/>
          </a:solidFill>
        </a:ln>
      </xdr:spPr>
    </xdr:pic>
    <xdr:clientData/>
  </xdr:twoCellAnchor>
  <xdr:twoCellAnchor editAs="oneCell">
    <xdr:from>
      <xdr:col>2</xdr:col>
      <xdr:colOff>152400</xdr:colOff>
      <xdr:row>32</xdr:row>
      <xdr:rowOff>2592641</xdr:rowOff>
    </xdr:from>
    <xdr:to>
      <xdr:col>2</xdr:col>
      <xdr:colOff>1670515</xdr:colOff>
      <xdr:row>32</xdr:row>
      <xdr:rowOff>4633189</xdr:rowOff>
    </xdr:to>
    <xdr:pic>
      <xdr:nvPicPr>
        <xdr:cNvPr id="37" name="Imagen 36">
          <a:extLst>
            <a:ext uri="{FF2B5EF4-FFF2-40B4-BE49-F238E27FC236}">
              <a16:creationId xmlns:a16="http://schemas.microsoft.com/office/drawing/2014/main" id="{904DC482-67F5-4901-9444-226D1B3BAA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924300" y="42159491"/>
          <a:ext cx="1518115" cy="2040548"/>
        </a:xfrm>
        <a:prstGeom prst="rect">
          <a:avLst/>
        </a:prstGeom>
        <a:ln w="19050">
          <a:solidFill>
            <a:schemeClr val="tx1"/>
          </a:solidFill>
        </a:ln>
      </xdr:spPr>
    </xdr:pic>
    <xdr:clientData/>
  </xdr:twoCellAnchor>
  <xdr:twoCellAnchor editAs="oneCell">
    <xdr:from>
      <xdr:col>2</xdr:col>
      <xdr:colOff>1740675</xdr:colOff>
      <xdr:row>32</xdr:row>
      <xdr:rowOff>2571191</xdr:rowOff>
    </xdr:from>
    <xdr:to>
      <xdr:col>2</xdr:col>
      <xdr:colOff>3258790</xdr:colOff>
      <xdr:row>32</xdr:row>
      <xdr:rowOff>4611739</xdr:rowOff>
    </xdr:to>
    <xdr:pic>
      <xdr:nvPicPr>
        <xdr:cNvPr id="38" name="Imagen 37">
          <a:extLst>
            <a:ext uri="{FF2B5EF4-FFF2-40B4-BE49-F238E27FC236}">
              <a16:creationId xmlns:a16="http://schemas.microsoft.com/office/drawing/2014/main" id="{BAAD5323-DAD0-42D9-A163-EDED04C4DE9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512575" y="42138041"/>
          <a:ext cx="1518115" cy="2040548"/>
        </a:xfrm>
        <a:prstGeom prst="rect">
          <a:avLst/>
        </a:prstGeom>
        <a:ln w="19050">
          <a:solidFill>
            <a:schemeClr val="tx1"/>
          </a:solidFill>
        </a:ln>
      </xdr:spPr>
    </xdr:pic>
    <xdr:clientData/>
  </xdr:twoCellAnchor>
  <xdr:twoCellAnchor editAs="oneCell">
    <xdr:from>
      <xdr:col>2</xdr:col>
      <xdr:colOff>180975</xdr:colOff>
      <xdr:row>45</xdr:row>
      <xdr:rowOff>78041</xdr:rowOff>
    </xdr:from>
    <xdr:to>
      <xdr:col>2</xdr:col>
      <xdr:colOff>1699090</xdr:colOff>
      <xdr:row>57</xdr:row>
      <xdr:rowOff>61190</xdr:rowOff>
    </xdr:to>
    <xdr:pic>
      <xdr:nvPicPr>
        <xdr:cNvPr id="39" name="Imagen 38">
          <a:extLst>
            <a:ext uri="{FF2B5EF4-FFF2-40B4-BE49-F238E27FC236}">
              <a16:creationId xmlns:a16="http://schemas.microsoft.com/office/drawing/2014/main" id="{29320052-F609-43C6-90A6-2A60F8867B5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952875" y="46788641"/>
          <a:ext cx="1518115" cy="1926249"/>
        </a:xfrm>
        <a:prstGeom prst="rect">
          <a:avLst/>
        </a:prstGeom>
        <a:ln w="19050">
          <a:solidFill>
            <a:schemeClr val="tx1"/>
          </a:solidFill>
        </a:ln>
      </xdr:spPr>
    </xdr:pic>
    <xdr:clientData/>
  </xdr:twoCellAnchor>
  <xdr:twoCellAnchor editAs="oneCell">
    <xdr:from>
      <xdr:col>2</xdr:col>
      <xdr:colOff>169050</xdr:colOff>
      <xdr:row>58</xdr:row>
      <xdr:rowOff>31005</xdr:rowOff>
    </xdr:from>
    <xdr:to>
      <xdr:col>2</xdr:col>
      <xdr:colOff>1687165</xdr:colOff>
      <xdr:row>70</xdr:row>
      <xdr:rowOff>15247</xdr:rowOff>
    </xdr:to>
    <xdr:pic>
      <xdr:nvPicPr>
        <xdr:cNvPr id="40" name="Imagen 39">
          <a:extLst>
            <a:ext uri="{FF2B5EF4-FFF2-40B4-BE49-F238E27FC236}">
              <a16:creationId xmlns:a16="http://schemas.microsoft.com/office/drawing/2014/main" id="{12D40331-CCCF-4EA8-BFC2-02EFE5F3854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3940950" y="48846630"/>
          <a:ext cx="1518115" cy="1927342"/>
        </a:xfrm>
        <a:prstGeom prst="rect">
          <a:avLst/>
        </a:prstGeom>
        <a:ln w="19050">
          <a:solidFill>
            <a:schemeClr val="tx1"/>
          </a:solidFill>
        </a:ln>
      </xdr:spPr>
    </xdr:pic>
    <xdr:clientData/>
  </xdr:twoCellAnchor>
  <xdr:twoCellAnchor editAs="oneCell">
    <xdr:from>
      <xdr:col>2</xdr:col>
      <xdr:colOff>214275</xdr:colOff>
      <xdr:row>32</xdr:row>
      <xdr:rowOff>4865471</xdr:rowOff>
    </xdr:from>
    <xdr:to>
      <xdr:col>2</xdr:col>
      <xdr:colOff>3309062</xdr:colOff>
      <xdr:row>44</xdr:row>
      <xdr:rowOff>118542</xdr:rowOff>
    </xdr:to>
    <xdr:pic>
      <xdr:nvPicPr>
        <xdr:cNvPr id="41" name="Imagen 40">
          <a:extLst>
            <a:ext uri="{FF2B5EF4-FFF2-40B4-BE49-F238E27FC236}">
              <a16:creationId xmlns:a16="http://schemas.microsoft.com/office/drawing/2014/main" id="{6AD779EE-3ABB-4EB8-A92E-F11FC62D6F5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3986175" y="44432321"/>
          <a:ext cx="3094787" cy="2234896"/>
        </a:xfrm>
        <a:prstGeom prst="rect">
          <a:avLst/>
        </a:prstGeom>
        <a:ln w="19050">
          <a:solidFill>
            <a:schemeClr val="tx1"/>
          </a:solidFill>
        </a:ln>
      </xdr:spPr>
    </xdr:pic>
    <xdr:clientData/>
  </xdr:twoCellAnchor>
  <xdr:twoCellAnchor editAs="oneCell">
    <xdr:from>
      <xdr:col>2</xdr:col>
      <xdr:colOff>1783500</xdr:colOff>
      <xdr:row>45</xdr:row>
      <xdr:rowOff>49916</xdr:rowOff>
    </xdr:from>
    <xdr:to>
      <xdr:col>2</xdr:col>
      <xdr:colOff>3301616</xdr:colOff>
      <xdr:row>57</xdr:row>
      <xdr:rowOff>25415</xdr:rowOff>
    </xdr:to>
    <xdr:pic>
      <xdr:nvPicPr>
        <xdr:cNvPr id="42" name="Imagen 41">
          <a:extLst>
            <a:ext uri="{FF2B5EF4-FFF2-40B4-BE49-F238E27FC236}">
              <a16:creationId xmlns:a16="http://schemas.microsoft.com/office/drawing/2014/main" id="{FB51B586-FCD8-43DB-8600-6048A5E3D6A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555400" y="46760516"/>
          <a:ext cx="1518116" cy="1918599"/>
        </a:xfrm>
        <a:prstGeom prst="rect">
          <a:avLst/>
        </a:prstGeom>
        <a:ln w="19050">
          <a:solidFill>
            <a:schemeClr val="tx1"/>
          </a:solidFill>
        </a:ln>
      </xdr:spPr>
    </xdr:pic>
    <xdr:clientData/>
  </xdr:twoCellAnchor>
  <xdr:twoCellAnchor editAs="oneCell">
    <xdr:from>
      <xdr:col>2</xdr:col>
      <xdr:colOff>1790700</xdr:colOff>
      <xdr:row>58</xdr:row>
      <xdr:rowOff>23612</xdr:rowOff>
    </xdr:from>
    <xdr:to>
      <xdr:col>2</xdr:col>
      <xdr:colOff>3308816</xdr:colOff>
      <xdr:row>70</xdr:row>
      <xdr:rowOff>6761</xdr:rowOff>
    </xdr:to>
    <xdr:pic>
      <xdr:nvPicPr>
        <xdr:cNvPr id="43" name="Imagen 42">
          <a:extLst>
            <a:ext uri="{FF2B5EF4-FFF2-40B4-BE49-F238E27FC236}">
              <a16:creationId xmlns:a16="http://schemas.microsoft.com/office/drawing/2014/main" id="{BFAEAD4A-B645-4D2C-9866-9D8B9471770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5562600" y="48839237"/>
          <a:ext cx="1518116" cy="1926249"/>
        </a:xfrm>
        <a:prstGeom prst="rect">
          <a:avLst/>
        </a:prstGeom>
        <a:ln w="19050">
          <a:solidFill>
            <a:schemeClr val="tx1"/>
          </a:solidFill>
        </a:ln>
      </xdr:spPr>
    </xdr:pic>
    <xdr:clientData/>
  </xdr:twoCellAnchor>
  <xdr:twoCellAnchor editAs="oneCell">
    <xdr:from>
      <xdr:col>5</xdr:col>
      <xdr:colOff>257250</xdr:colOff>
      <xdr:row>32</xdr:row>
      <xdr:rowOff>152400</xdr:rowOff>
    </xdr:from>
    <xdr:to>
      <xdr:col>5</xdr:col>
      <xdr:colOff>4097250</xdr:colOff>
      <xdr:row>32</xdr:row>
      <xdr:rowOff>3056893</xdr:rowOff>
    </xdr:to>
    <xdr:pic>
      <xdr:nvPicPr>
        <xdr:cNvPr id="44" name="Imagen 43">
          <a:extLst>
            <a:ext uri="{FF2B5EF4-FFF2-40B4-BE49-F238E27FC236}">
              <a16:creationId xmlns:a16="http://schemas.microsoft.com/office/drawing/2014/main" id="{A8E3072F-5A02-442C-93D8-10D182C1E2BC}"/>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6335450" y="39719250"/>
          <a:ext cx="3840000" cy="2904493"/>
        </a:xfrm>
        <a:prstGeom prst="rect">
          <a:avLst/>
        </a:prstGeom>
        <a:ln w="19050">
          <a:solidFill>
            <a:schemeClr val="tx1"/>
          </a:solidFill>
        </a:ln>
      </xdr:spPr>
    </xdr:pic>
    <xdr:clientData/>
  </xdr:twoCellAnchor>
  <xdr:twoCellAnchor editAs="oneCell">
    <xdr:from>
      <xdr:col>5</xdr:col>
      <xdr:colOff>228675</xdr:colOff>
      <xdr:row>32</xdr:row>
      <xdr:rowOff>3235779</xdr:rowOff>
    </xdr:from>
    <xdr:to>
      <xdr:col>5</xdr:col>
      <xdr:colOff>2118675</xdr:colOff>
      <xdr:row>36</xdr:row>
      <xdr:rowOff>61189</xdr:rowOff>
    </xdr:to>
    <xdr:pic>
      <xdr:nvPicPr>
        <xdr:cNvPr id="45" name="Imagen 44">
          <a:extLst>
            <a:ext uri="{FF2B5EF4-FFF2-40B4-BE49-F238E27FC236}">
              <a16:creationId xmlns:a16="http://schemas.microsoft.com/office/drawing/2014/main" id="{FE039BEA-C2BB-4D41-ABC3-108703E24FB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6306875" y="42802629"/>
          <a:ext cx="1890000" cy="2511835"/>
        </a:xfrm>
        <a:prstGeom prst="rect">
          <a:avLst/>
        </a:prstGeom>
        <a:ln w="19050">
          <a:solidFill>
            <a:schemeClr val="tx1"/>
          </a:solidFill>
        </a:ln>
      </xdr:spPr>
    </xdr:pic>
    <xdr:clientData/>
  </xdr:twoCellAnchor>
  <xdr:twoCellAnchor editAs="oneCell">
    <xdr:from>
      <xdr:col>5</xdr:col>
      <xdr:colOff>2181300</xdr:colOff>
      <xdr:row>32</xdr:row>
      <xdr:rowOff>3216729</xdr:rowOff>
    </xdr:from>
    <xdr:to>
      <xdr:col>5</xdr:col>
      <xdr:colOff>4071300</xdr:colOff>
      <xdr:row>36</xdr:row>
      <xdr:rowOff>42139</xdr:rowOff>
    </xdr:to>
    <xdr:pic>
      <xdr:nvPicPr>
        <xdr:cNvPr id="46" name="Imagen 45">
          <a:extLst>
            <a:ext uri="{FF2B5EF4-FFF2-40B4-BE49-F238E27FC236}">
              <a16:creationId xmlns:a16="http://schemas.microsoft.com/office/drawing/2014/main" id="{0A20EA71-3901-49B9-961D-0A6D0EF449E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8259500" y="42783579"/>
          <a:ext cx="1890000" cy="2511835"/>
        </a:xfrm>
        <a:prstGeom prst="rect">
          <a:avLst/>
        </a:prstGeom>
        <a:ln w="19050">
          <a:solidFill>
            <a:schemeClr val="tx1"/>
          </a:solidFill>
        </a:ln>
      </xdr:spPr>
    </xdr:pic>
    <xdr:clientData/>
  </xdr:twoCellAnchor>
  <xdr:twoCellAnchor editAs="oneCell">
    <xdr:from>
      <xdr:col>5</xdr:col>
      <xdr:colOff>209624</xdr:colOff>
      <xdr:row>37</xdr:row>
      <xdr:rowOff>85725</xdr:rowOff>
    </xdr:from>
    <xdr:to>
      <xdr:col>5</xdr:col>
      <xdr:colOff>2090099</xdr:colOff>
      <xdr:row>52</xdr:row>
      <xdr:rowOff>55746</xdr:rowOff>
    </xdr:to>
    <xdr:pic>
      <xdr:nvPicPr>
        <xdr:cNvPr id="47" name="Imagen 46">
          <a:extLst>
            <a:ext uri="{FF2B5EF4-FFF2-40B4-BE49-F238E27FC236}">
              <a16:creationId xmlns:a16="http://schemas.microsoft.com/office/drawing/2014/main" id="{1DB51C25-06F2-4AA3-8560-528BB65B2DD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6287824" y="45500925"/>
          <a:ext cx="1880475" cy="2398896"/>
        </a:xfrm>
        <a:prstGeom prst="rect">
          <a:avLst/>
        </a:prstGeom>
        <a:ln w="19050">
          <a:solidFill>
            <a:schemeClr val="tx1"/>
          </a:solidFill>
        </a:ln>
      </xdr:spPr>
    </xdr:pic>
    <xdr:clientData/>
  </xdr:twoCellAnchor>
  <xdr:twoCellAnchor editAs="oneCell">
    <xdr:from>
      <xdr:col>5</xdr:col>
      <xdr:colOff>2152725</xdr:colOff>
      <xdr:row>37</xdr:row>
      <xdr:rowOff>106136</xdr:rowOff>
    </xdr:from>
    <xdr:to>
      <xdr:col>5</xdr:col>
      <xdr:colOff>4042725</xdr:colOff>
      <xdr:row>52</xdr:row>
      <xdr:rowOff>74796</xdr:rowOff>
    </xdr:to>
    <xdr:pic>
      <xdr:nvPicPr>
        <xdr:cNvPr id="48" name="Imagen 47">
          <a:extLst>
            <a:ext uri="{FF2B5EF4-FFF2-40B4-BE49-F238E27FC236}">
              <a16:creationId xmlns:a16="http://schemas.microsoft.com/office/drawing/2014/main" id="{8A0331DE-C841-4ABD-9CA6-9E52C83C015F}"/>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230925" y="45521336"/>
          <a:ext cx="1890000" cy="2397535"/>
        </a:xfrm>
        <a:prstGeom prst="rect">
          <a:avLst/>
        </a:prstGeom>
        <a:ln w="19050">
          <a:solidFill>
            <a:schemeClr val="tx1"/>
          </a:solidFill>
        </a:ln>
      </xdr:spPr>
    </xdr:pic>
    <xdr:clientData/>
  </xdr:twoCellAnchor>
  <xdr:twoCellAnchor editAs="oneCell">
    <xdr:from>
      <xdr:col>5</xdr:col>
      <xdr:colOff>242925</xdr:colOff>
      <xdr:row>70</xdr:row>
      <xdr:rowOff>52350</xdr:rowOff>
    </xdr:from>
    <xdr:to>
      <xdr:col>5</xdr:col>
      <xdr:colOff>2132925</xdr:colOff>
      <xdr:row>85</xdr:row>
      <xdr:rowOff>21011</xdr:rowOff>
    </xdr:to>
    <xdr:pic>
      <xdr:nvPicPr>
        <xdr:cNvPr id="49" name="Imagen 48">
          <a:extLst>
            <a:ext uri="{FF2B5EF4-FFF2-40B4-BE49-F238E27FC236}">
              <a16:creationId xmlns:a16="http://schemas.microsoft.com/office/drawing/2014/main" id="{7E7D0A04-2AD1-4BF9-8C2F-79AE191EB268}"/>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6321125" y="50811075"/>
          <a:ext cx="1890000" cy="2397536"/>
        </a:xfrm>
        <a:prstGeom prst="rect">
          <a:avLst/>
        </a:prstGeom>
        <a:ln w="19050">
          <a:solidFill>
            <a:schemeClr val="tx1"/>
          </a:solidFill>
        </a:ln>
      </xdr:spPr>
    </xdr:pic>
    <xdr:clientData/>
  </xdr:twoCellAnchor>
  <xdr:twoCellAnchor editAs="oneCell">
    <xdr:from>
      <xdr:col>5</xdr:col>
      <xdr:colOff>2183625</xdr:colOff>
      <xdr:row>70</xdr:row>
      <xdr:rowOff>59475</xdr:rowOff>
    </xdr:from>
    <xdr:to>
      <xdr:col>5</xdr:col>
      <xdr:colOff>4073625</xdr:colOff>
      <xdr:row>85</xdr:row>
      <xdr:rowOff>28136</xdr:rowOff>
    </xdr:to>
    <xdr:pic>
      <xdr:nvPicPr>
        <xdr:cNvPr id="50" name="Imagen 49">
          <a:extLst>
            <a:ext uri="{FF2B5EF4-FFF2-40B4-BE49-F238E27FC236}">
              <a16:creationId xmlns:a16="http://schemas.microsoft.com/office/drawing/2014/main" id="{ABEC6341-60F2-4CC2-9D23-564B56EE482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261825" y="50818200"/>
          <a:ext cx="1890000" cy="2397536"/>
        </a:xfrm>
        <a:prstGeom prst="rect">
          <a:avLst/>
        </a:prstGeom>
        <a:ln w="19050">
          <a:solidFill>
            <a:schemeClr val="tx1"/>
          </a:solidFill>
        </a:ln>
      </xdr:spPr>
    </xdr:pic>
    <xdr:clientData/>
  </xdr:twoCellAnchor>
  <xdr:twoCellAnchor editAs="oneCell">
    <xdr:from>
      <xdr:col>5</xdr:col>
      <xdr:colOff>209550</xdr:colOff>
      <xdr:row>52</xdr:row>
      <xdr:rowOff>156407</xdr:rowOff>
    </xdr:from>
    <xdr:to>
      <xdr:col>5</xdr:col>
      <xdr:colOff>4048200</xdr:colOff>
      <xdr:row>69</xdr:row>
      <xdr:rowOff>143877</xdr:rowOff>
    </xdr:to>
    <xdr:pic>
      <xdr:nvPicPr>
        <xdr:cNvPr id="51" name="Imagen 50">
          <a:extLst>
            <a:ext uri="{FF2B5EF4-FFF2-40B4-BE49-F238E27FC236}">
              <a16:creationId xmlns:a16="http://schemas.microsoft.com/office/drawing/2014/main" id="{795265C4-2C88-4659-BAB6-C9E42576EC5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6287750" y="48000482"/>
          <a:ext cx="3838650" cy="2740195"/>
        </a:xfrm>
        <a:prstGeom prst="rect">
          <a:avLst/>
        </a:prstGeom>
        <a:ln w="1905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571500</xdr:colOff>
      <xdr:row>9</xdr:row>
      <xdr:rowOff>108857</xdr:rowOff>
    </xdr:from>
    <xdr:to>
      <xdr:col>9</xdr:col>
      <xdr:colOff>2094140</xdr:colOff>
      <xdr:row>11</xdr:row>
      <xdr:rowOff>167313</xdr:rowOff>
    </xdr:to>
    <xdr:pic>
      <xdr:nvPicPr>
        <xdr:cNvPr id="3" name="Imagen 2">
          <a:extLst>
            <a:ext uri="{FF2B5EF4-FFF2-40B4-BE49-F238E27FC236}">
              <a16:creationId xmlns:a16="http://schemas.microsoft.com/office/drawing/2014/main" id="{9AE54915-9062-4A3C-9B98-F3876D6D68D4}"/>
            </a:ext>
          </a:extLst>
        </xdr:cNvPr>
        <xdr:cNvPicPr>
          <a:picLocks noChangeAspect="1"/>
        </xdr:cNvPicPr>
      </xdr:nvPicPr>
      <xdr:blipFill>
        <a:blip xmlns:r="http://schemas.openxmlformats.org/officeDocument/2006/relationships" r:embed="rId1"/>
        <a:stretch>
          <a:fillRect/>
        </a:stretch>
      </xdr:blipFill>
      <xdr:spPr>
        <a:xfrm>
          <a:off x="10586357" y="2068286"/>
          <a:ext cx="2871108" cy="806849"/>
        </a:xfrm>
        <a:prstGeom prst="rect">
          <a:avLst/>
        </a:prstGeom>
      </xdr:spPr>
    </xdr:pic>
    <xdr:clientData/>
  </xdr:twoCellAnchor>
  <xdr:twoCellAnchor editAs="oneCell">
    <xdr:from>
      <xdr:col>14</xdr:col>
      <xdr:colOff>658245</xdr:colOff>
      <xdr:row>31</xdr:row>
      <xdr:rowOff>112259</xdr:rowOff>
    </xdr:from>
    <xdr:to>
      <xdr:col>18</xdr:col>
      <xdr:colOff>689652</xdr:colOff>
      <xdr:row>34</xdr:row>
      <xdr:rowOff>76963</xdr:rowOff>
    </xdr:to>
    <xdr:pic>
      <xdr:nvPicPr>
        <xdr:cNvPr id="4" name="Imagen 3">
          <a:extLst>
            <a:ext uri="{FF2B5EF4-FFF2-40B4-BE49-F238E27FC236}">
              <a16:creationId xmlns:a16="http://schemas.microsoft.com/office/drawing/2014/main" id="{A9FDDC10-5EDD-4624-A92A-A670AED97839}"/>
            </a:ext>
          </a:extLst>
        </xdr:cNvPr>
        <xdr:cNvPicPr>
          <a:picLocks noChangeAspect="1"/>
        </xdr:cNvPicPr>
      </xdr:nvPicPr>
      <xdr:blipFill>
        <a:blip xmlns:r="http://schemas.openxmlformats.org/officeDocument/2006/relationships" r:embed="rId2"/>
        <a:stretch>
          <a:fillRect/>
        </a:stretch>
      </xdr:blipFill>
      <xdr:spPr>
        <a:xfrm>
          <a:off x="20565495" y="10031866"/>
          <a:ext cx="5664763" cy="590632"/>
        </a:xfrm>
        <a:prstGeom prst="rect">
          <a:avLst/>
        </a:prstGeom>
      </xdr:spPr>
    </xdr:pic>
    <xdr:clientData/>
  </xdr:twoCellAnchor>
  <xdr:twoCellAnchor editAs="oneCell">
    <xdr:from>
      <xdr:col>15</xdr:col>
      <xdr:colOff>108857</xdr:colOff>
      <xdr:row>9</xdr:row>
      <xdr:rowOff>179614</xdr:rowOff>
    </xdr:from>
    <xdr:to>
      <xdr:col>16</xdr:col>
      <xdr:colOff>1279072</xdr:colOff>
      <xdr:row>11</xdr:row>
      <xdr:rowOff>238070</xdr:rowOff>
    </xdr:to>
    <xdr:pic>
      <xdr:nvPicPr>
        <xdr:cNvPr id="5" name="Imagen 4">
          <a:extLst>
            <a:ext uri="{FF2B5EF4-FFF2-40B4-BE49-F238E27FC236}">
              <a16:creationId xmlns:a16="http://schemas.microsoft.com/office/drawing/2014/main" id="{256A25AB-80A1-4960-A33D-EBDB3D3E90E6}"/>
            </a:ext>
          </a:extLst>
        </xdr:cNvPr>
        <xdr:cNvPicPr>
          <a:picLocks noChangeAspect="1"/>
        </xdr:cNvPicPr>
      </xdr:nvPicPr>
      <xdr:blipFill>
        <a:blip xmlns:r="http://schemas.openxmlformats.org/officeDocument/2006/relationships" r:embed="rId1"/>
        <a:stretch>
          <a:fillRect/>
        </a:stretch>
      </xdr:blipFill>
      <xdr:spPr>
        <a:xfrm>
          <a:off x="21227143" y="2139043"/>
          <a:ext cx="2871108" cy="806849"/>
        </a:xfrm>
        <a:prstGeom prst="rect">
          <a:avLst/>
        </a:prstGeom>
      </xdr:spPr>
    </xdr:pic>
    <xdr:clientData/>
  </xdr:twoCellAnchor>
  <xdr:oneCellAnchor>
    <xdr:from>
      <xdr:col>1</xdr:col>
      <xdr:colOff>1850571</xdr:colOff>
      <xdr:row>1</xdr:row>
      <xdr:rowOff>27215</xdr:rowOff>
    </xdr:from>
    <xdr:ext cx="2157412" cy="759619"/>
    <xdr:pic>
      <xdr:nvPicPr>
        <xdr:cNvPr id="6" name="image1.png" title="Imagen">
          <a:extLst>
            <a:ext uri="{FF2B5EF4-FFF2-40B4-BE49-F238E27FC236}">
              <a16:creationId xmlns:a16="http://schemas.microsoft.com/office/drawing/2014/main" id="{3D701E1E-AFD5-42A3-854F-2C59F7276CF9}"/>
            </a:ext>
          </a:extLst>
        </xdr:cNvPr>
        <xdr:cNvPicPr preferRelativeResize="0"/>
      </xdr:nvPicPr>
      <xdr:blipFill>
        <a:blip xmlns:r="http://schemas.openxmlformats.org/officeDocument/2006/relationships" r:embed="rId3" cstate="print"/>
        <a:stretch>
          <a:fillRect/>
        </a:stretch>
      </xdr:blipFill>
      <xdr:spPr>
        <a:xfrm>
          <a:off x="2190750" y="217715"/>
          <a:ext cx="2157412" cy="759619"/>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979"/>
  <sheetViews>
    <sheetView zoomScale="80" zoomScaleNormal="80" workbookViewId="0">
      <selection activeCell="A7" sqref="A7"/>
    </sheetView>
  </sheetViews>
  <sheetFormatPr defaultColWidth="12.625" defaultRowHeight="15" customHeight="1"/>
  <cols>
    <col min="1" max="1" width="11.75" style="81" bestFit="1" customWidth="1"/>
    <col min="2" max="2" width="19" style="81" bestFit="1" customWidth="1"/>
    <col min="3" max="3" width="23.875" style="81" customWidth="1"/>
    <col min="4" max="4" width="15.25" style="81" customWidth="1"/>
    <col min="5" max="5" width="19.375" style="81" customWidth="1"/>
    <col min="6" max="7" width="20" style="81" customWidth="1"/>
    <col min="8" max="8" width="15" style="81" bestFit="1" customWidth="1"/>
    <col min="9" max="9" width="29.75" style="81" customWidth="1"/>
    <col min="10" max="10" width="14" style="81" bestFit="1" customWidth="1"/>
    <col min="11" max="11" width="23.375" style="81" customWidth="1"/>
    <col min="12" max="15" width="9.375" style="81" customWidth="1"/>
    <col min="16" max="16384" width="12.625" style="81"/>
  </cols>
  <sheetData>
    <row r="1" spans="1:12" ht="14.25">
      <c r="A1" s="438"/>
      <c r="B1" s="3"/>
      <c r="C1" s="3"/>
      <c r="D1" s="3"/>
      <c r="E1" s="3"/>
      <c r="F1" s="112"/>
      <c r="G1" s="112"/>
      <c r="H1" s="112"/>
      <c r="I1" s="112"/>
      <c r="J1" s="113"/>
      <c r="K1" s="113"/>
    </row>
    <row r="2" spans="1:12" ht="23.25" customHeight="1">
      <c r="A2" s="2"/>
      <c r="B2" s="455" t="s">
        <v>0</v>
      </c>
      <c r="C2" s="455"/>
      <c r="D2" s="455"/>
      <c r="E2" s="455"/>
      <c r="F2" s="455"/>
      <c r="G2" s="455"/>
      <c r="H2" s="455"/>
      <c r="I2" s="455"/>
      <c r="J2" s="455"/>
      <c r="K2" s="455"/>
      <c r="L2" s="455"/>
    </row>
    <row r="3" spans="1:12" ht="14.25">
      <c r="A3" s="2"/>
      <c r="B3" s="114"/>
      <c r="C3" s="114"/>
      <c r="D3" s="114"/>
      <c r="E3" s="114"/>
      <c r="F3" s="112"/>
      <c r="G3" s="112"/>
      <c r="H3" s="112"/>
      <c r="I3" s="112"/>
      <c r="J3" s="113"/>
      <c r="K3" s="113"/>
    </row>
    <row r="4" spans="1:12" ht="24" customHeight="1">
      <c r="A4" s="2"/>
      <c r="B4" s="114"/>
      <c r="C4" s="114"/>
      <c r="D4" s="114"/>
      <c r="E4" s="114"/>
      <c r="F4" s="112"/>
      <c r="G4" s="112"/>
      <c r="H4" s="112"/>
      <c r="I4" s="112"/>
      <c r="J4" s="113"/>
      <c r="K4" s="113"/>
    </row>
    <row r="5" spans="1:12" ht="14.25">
      <c r="A5" s="439"/>
      <c r="B5" s="114"/>
      <c r="C5" s="114"/>
      <c r="D5" s="114"/>
      <c r="E5" s="114"/>
      <c r="F5" s="112"/>
      <c r="G5" s="112"/>
      <c r="H5" s="112"/>
      <c r="I5" s="112"/>
      <c r="J5" s="113"/>
      <c r="K5" s="113"/>
    </row>
    <row r="6" spans="1:12" ht="15.75" customHeight="1">
      <c r="A6" s="458" t="s">
        <v>1</v>
      </c>
      <c r="B6" s="458"/>
      <c r="C6" s="458"/>
      <c r="D6" s="458"/>
      <c r="E6" s="458"/>
      <c r="F6" s="458"/>
      <c r="G6" s="458"/>
      <c r="H6" s="458"/>
      <c r="I6" s="458"/>
      <c r="J6" s="458"/>
      <c r="K6" s="458"/>
    </row>
    <row r="7" spans="1:12" ht="14.25">
      <c r="A7" s="1"/>
      <c r="B7" s="115"/>
      <c r="C7" s="115"/>
      <c r="D7" s="115"/>
      <c r="E7" s="115"/>
      <c r="F7" s="1"/>
      <c r="G7" s="9"/>
    </row>
    <row r="8" spans="1:12" ht="44.25" customHeight="1">
      <c r="A8" s="4" t="s">
        <v>2</v>
      </c>
      <c r="B8" s="459" t="s">
        <v>3</v>
      </c>
      <c r="C8" s="460"/>
      <c r="D8" s="461" t="s">
        <v>4</v>
      </c>
      <c r="E8" s="462"/>
      <c r="F8" s="465" t="s">
        <v>5</v>
      </c>
      <c r="G8" s="466"/>
      <c r="H8" s="463" t="s">
        <v>6</v>
      </c>
      <c r="I8" s="464"/>
      <c r="J8" s="456" t="s">
        <v>7</v>
      </c>
      <c r="K8" s="456"/>
    </row>
    <row r="9" spans="1:12" ht="34.5" customHeight="1">
      <c r="A9" s="6"/>
      <c r="B9" s="116" t="s">
        <v>8</v>
      </c>
      <c r="C9" s="116" t="s">
        <v>9</v>
      </c>
      <c r="D9" s="117" t="s">
        <v>8</v>
      </c>
      <c r="E9" s="117" t="s">
        <v>9</v>
      </c>
      <c r="F9" s="118" t="s">
        <v>8</v>
      </c>
      <c r="G9" s="118" t="s">
        <v>9</v>
      </c>
      <c r="H9" s="119" t="s">
        <v>8</v>
      </c>
      <c r="I9" s="119" t="s">
        <v>9</v>
      </c>
      <c r="J9" s="121" t="s">
        <v>8</v>
      </c>
      <c r="K9" s="121" t="s">
        <v>9</v>
      </c>
    </row>
    <row r="10" spans="1:12" ht="66" customHeight="1">
      <c r="A10" s="8" t="s">
        <v>10</v>
      </c>
      <c r="B10" s="73" t="s">
        <v>11</v>
      </c>
      <c r="C10" s="48" t="s">
        <v>12</v>
      </c>
      <c r="D10" s="75" t="s">
        <v>11</v>
      </c>
      <c r="E10" s="5" t="s">
        <v>13</v>
      </c>
      <c r="F10" s="74" t="s">
        <v>11</v>
      </c>
      <c r="G10" s="28" t="s">
        <v>14</v>
      </c>
      <c r="H10" s="76" t="s">
        <v>11</v>
      </c>
      <c r="I10" s="29" t="s">
        <v>15</v>
      </c>
      <c r="J10" s="77" t="s">
        <v>11</v>
      </c>
      <c r="K10" s="78" t="s">
        <v>16</v>
      </c>
    </row>
    <row r="11" spans="1:12" ht="57">
      <c r="A11" s="8" t="s">
        <v>17</v>
      </c>
      <c r="B11" s="73" t="s">
        <v>11</v>
      </c>
      <c r="C11" s="72" t="s">
        <v>18</v>
      </c>
      <c r="D11" s="75" t="s">
        <v>11</v>
      </c>
      <c r="E11" s="70" t="s">
        <v>19</v>
      </c>
      <c r="F11" s="74" t="s">
        <v>11</v>
      </c>
      <c r="G11" s="69" t="s">
        <v>20</v>
      </c>
      <c r="H11" s="76" t="s">
        <v>11</v>
      </c>
      <c r="I11" s="67" t="s">
        <v>21</v>
      </c>
      <c r="J11" s="77" t="s">
        <v>11</v>
      </c>
      <c r="K11" s="79" t="s">
        <v>22</v>
      </c>
    </row>
    <row r="12" spans="1:12" ht="62.25" customHeight="1">
      <c r="A12" s="8" t="s">
        <v>23</v>
      </c>
      <c r="B12" s="73" t="s">
        <v>11</v>
      </c>
      <c r="C12" s="48" t="s">
        <v>24</v>
      </c>
      <c r="D12" s="75" t="s">
        <v>11</v>
      </c>
      <c r="E12" s="5" t="s">
        <v>25</v>
      </c>
      <c r="F12" s="74" t="s">
        <v>11</v>
      </c>
      <c r="G12" s="28" t="s">
        <v>26</v>
      </c>
      <c r="H12" s="76" t="s">
        <v>11</v>
      </c>
      <c r="I12" s="29" t="s">
        <v>27</v>
      </c>
      <c r="J12" s="77" t="s">
        <v>11</v>
      </c>
      <c r="K12" s="78" t="s">
        <v>28</v>
      </c>
    </row>
    <row r="13" spans="1:12" ht="57">
      <c r="A13" s="8" t="s">
        <v>29</v>
      </c>
      <c r="B13" s="73" t="s">
        <v>11</v>
      </c>
      <c r="C13" s="48" t="s">
        <v>30</v>
      </c>
      <c r="D13" s="75" t="s">
        <v>11</v>
      </c>
      <c r="E13" s="71" t="s">
        <v>31</v>
      </c>
      <c r="F13" s="74" t="s">
        <v>11</v>
      </c>
      <c r="G13" s="28" t="s">
        <v>32</v>
      </c>
      <c r="H13" s="76" t="s">
        <v>11</v>
      </c>
      <c r="I13" s="68" t="s">
        <v>15</v>
      </c>
      <c r="J13" s="77" t="s">
        <v>11</v>
      </c>
      <c r="K13" s="78" t="s">
        <v>33</v>
      </c>
    </row>
    <row r="14" spans="1:12" ht="15.75" customHeight="1"/>
    <row r="15" spans="1:12" ht="15.75" customHeight="1">
      <c r="B15" s="457" t="s">
        <v>34</v>
      </c>
      <c r="C15" s="457"/>
      <c r="D15" s="457" t="s">
        <v>34</v>
      </c>
      <c r="E15" s="457"/>
      <c r="F15" s="457" t="s">
        <v>34</v>
      </c>
      <c r="G15" s="457"/>
      <c r="H15" s="457" t="s">
        <v>34</v>
      </c>
      <c r="I15" s="457"/>
      <c r="J15" s="457" t="s">
        <v>34</v>
      </c>
      <c r="K15" s="457"/>
    </row>
    <row r="16" spans="1:12"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12">
    <mergeCell ref="B2:L2"/>
    <mergeCell ref="J8:K8"/>
    <mergeCell ref="F15:G15"/>
    <mergeCell ref="H15:I15"/>
    <mergeCell ref="A6:K6"/>
    <mergeCell ref="J15:K15"/>
    <mergeCell ref="B8:C8"/>
    <mergeCell ref="D8:E8"/>
    <mergeCell ref="H8:I8"/>
    <mergeCell ref="F8:G8"/>
    <mergeCell ref="B15:C15"/>
    <mergeCell ref="D15:E15"/>
  </mergeCells>
  <phoneticPr fontId="19" type="noConversion"/>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50155-B4CD-49ED-97D2-78E31FAA3997}">
  <dimension ref="A1:L25"/>
  <sheetViews>
    <sheetView workbookViewId="0">
      <selection activeCell="K10" sqref="K10"/>
    </sheetView>
  </sheetViews>
  <sheetFormatPr defaultColWidth="15.25" defaultRowHeight="14.25"/>
  <cols>
    <col min="1" max="1" width="41.75" style="81" customWidth="1"/>
    <col min="2" max="2" width="15.25" style="81"/>
    <col min="3" max="3" width="19.5" style="81" customWidth="1"/>
    <col min="4" max="6" width="15.25" style="81"/>
    <col min="7" max="7" width="17.5" style="81" customWidth="1"/>
    <col min="8" max="8" width="15.25" style="81"/>
    <col min="9" max="9" width="21.625" style="81" customWidth="1"/>
    <col min="10" max="16384" width="15.25" style="81"/>
  </cols>
  <sheetData>
    <row r="1" spans="1:12">
      <c r="A1" s="174"/>
      <c r="B1" s="403"/>
      <c r="C1" s="403"/>
      <c r="D1" s="403"/>
      <c r="E1" s="403"/>
      <c r="F1" s="404"/>
      <c r="G1" s="404"/>
      <c r="H1" s="404"/>
      <c r="I1" s="404"/>
      <c r="J1" s="405"/>
      <c r="K1" s="405"/>
      <c r="L1" s="406"/>
    </row>
    <row r="2" spans="1:12" ht="23.25" customHeight="1">
      <c r="A2" s="407"/>
      <c r="B2" s="455" t="s">
        <v>0</v>
      </c>
      <c r="C2" s="455"/>
      <c r="D2" s="455"/>
      <c r="E2" s="455"/>
      <c r="F2" s="455"/>
      <c r="G2" s="455"/>
      <c r="H2" s="455"/>
      <c r="I2" s="455"/>
      <c r="J2" s="455"/>
      <c r="K2" s="455"/>
      <c r="L2" s="531"/>
    </row>
    <row r="3" spans="1:12">
      <c r="A3" s="407"/>
      <c r="B3" s="114"/>
      <c r="C3" s="114"/>
      <c r="D3" s="114"/>
      <c r="E3" s="114"/>
      <c r="F3" s="112"/>
      <c r="G3" s="112"/>
      <c r="H3" s="112"/>
      <c r="I3" s="112"/>
      <c r="J3" s="114"/>
      <c r="K3" s="114"/>
      <c r="L3" s="181"/>
    </row>
    <row r="4" spans="1:12" ht="24" customHeight="1">
      <c r="A4" s="407"/>
      <c r="B4" s="114"/>
      <c r="C4" s="114"/>
      <c r="D4" s="114"/>
      <c r="E4" s="114"/>
      <c r="F4" s="112"/>
      <c r="G4" s="112"/>
      <c r="H4" s="112"/>
      <c r="I4" s="112"/>
      <c r="J4" s="114"/>
      <c r="K4" s="114"/>
      <c r="L4" s="181"/>
    </row>
    <row r="5" spans="1:12">
      <c r="A5" s="408"/>
      <c r="B5" s="114"/>
      <c r="C5" s="114"/>
      <c r="D5" s="114"/>
      <c r="E5" s="114"/>
      <c r="F5" s="112"/>
      <c r="G5" s="112"/>
      <c r="H5" s="112"/>
      <c r="I5" s="112"/>
      <c r="J5" s="114"/>
      <c r="K5" s="114"/>
      <c r="L5" s="181"/>
    </row>
    <row r="6" spans="1:12" ht="15.75" customHeight="1">
      <c r="A6" s="534" t="s">
        <v>35</v>
      </c>
      <c r="B6" s="458"/>
      <c r="C6" s="458"/>
      <c r="D6" s="458"/>
      <c r="E6" s="458"/>
      <c r="F6" s="458"/>
      <c r="G6" s="458"/>
      <c r="H6" s="458"/>
      <c r="I6" s="458"/>
      <c r="J6" s="458"/>
      <c r="K6" s="458"/>
      <c r="L6" s="181"/>
    </row>
    <row r="7" spans="1:12">
      <c r="A7" s="409"/>
      <c r="B7" s="410"/>
      <c r="C7" s="410"/>
      <c r="D7" s="410"/>
      <c r="E7" s="410"/>
      <c r="F7" s="411"/>
      <c r="G7" s="411"/>
      <c r="H7" s="114"/>
      <c r="I7" s="114"/>
      <c r="J7" s="114"/>
      <c r="K7" s="114"/>
      <c r="L7" s="181"/>
    </row>
    <row r="8" spans="1:12" ht="44.25" customHeight="1">
      <c r="A8" s="529" t="s">
        <v>36</v>
      </c>
      <c r="B8" s="459" t="s">
        <v>3</v>
      </c>
      <c r="C8" s="460"/>
      <c r="D8" s="461" t="s">
        <v>4</v>
      </c>
      <c r="E8" s="462"/>
      <c r="F8" s="535" t="s">
        <v>5</v>
      </c>
      <c r="G8" s="536"/>
      <c r="H8" s="463" t="s">
        <v>6</v>
      </c>
      <c r="I8" s="464"/>
      <c r="J8" s="532" t="s">
        <v>7</v>
      </c>
      <c r="K8" s="532"/>
      <c r="L8" s="181"/>
    </row>
    <row r="9" spans="1:12" ht="16.5" thickBot="1">
      <c r="A9" s="530"/>
      <c r="B9" s="122" t="s">
        <v>8</v>
      </c>
      <c r="C9" s="122" t="s">
        <v>9</v>
      </c>
      <c r="D9" s="123" t="s">
        <v>8</v>
      </c>
      <c r="E9" s="123" t="s">
        <v>9</v>
      </c>
      <c r="F9" s="124" t="s">
        <v>8</v>
      </c>
      <c r="G9" s="124" t="s">
        <v>9</v>
      </c>
      <c r="H9" s="125" t="s">
        <v>8</v>
      </c>
      <c r="I9" s="125" t="s">
        <v>9</v>
      </c>
      <c r="J9" s="126" t="s">
        <v>8</v>
      </c>
      <c r="K9" s="126" t="s">
        <v>9</v>
      </c>
      <c r="L9" s="181"/>
    </row>
    <row r="10" spans="1:12" ht="55.5" customHeight="1">
      <c r="A10" s="94" t="s">
        <v>37</v>
      </c>
      <c r="B10" s="95" t="s">
        <v>38</v>
      </c>
      <c r="C10" s="82" t="s">
        <v>39</v>
      </c>
      <c r="D10" s="96" t="s">
        <v>38</v>
      </c>
      <c r="E10" s="83" t="s">
        <v>40</v>
      </c>
      <c r="F10" s="97" t="s">
        <v>38</v>
      </c>
      <c r="G10" s="98" t="s">
        <v>41</v>
      </c>
      <c r="H10" s="99" t="s">
        <v>38</v>
      </c>
      <c r="I10" s="84" t="s">
        <v>42</v>
      </c>
      <c r="J10" s="100" t="s">
        <v>38</v>
      </c>
      <c r="K10" s="85" t="s">
        <v>43</v>
      </c>
      <c r="L10" s="181"/>
    </row>
    <row r="11" spans="1:12">
      <c r="A11" s="86" t="s">
        <v>44</v>
      </c>
      <c r="B11" s="522" t="s">
        <v>45</v>
      </c>
      <c r="C11" s="523"/>
      <c r="D11" s="507" t="s">
        <v>45</v>
      </c>
      <c r="E11" s="508"/>
      <c r="F11" s="496" t="s">
        <v>46</v>
      </c>
      <c r="G11" s="497"/>
      <c r="H11" s="485" t="s">
        <v>47</v>
      </c>
      <c r="I11" s="485"/>
      <c r="J11" s="473" t="s">
        <v>47</v>
      </c>
      <c r="K11" s="474"/>
      <c r="L11" s="181"/>
    </row>
    <row r="12" spans="1:12">
      <c r="A12" s="86" t="s">
        <v>48</v>
      </c>
      <c r="B12" s="522">
        <v>2007052</v>
      </c>
      <c r="C12" s="523"/>
      <c r="D12" s="509">
        <v>27049</v>
      </c>
      <c r="E12" s="510"/>
      <c r="F12" s="501" t="s">
        <v>49</v>
      </c>
      <c r="G12" s="502"/>
      <c r="H12" s="486" t="s">
        <v>50</v>
      </c>
      <c r="I12" s="487"/>
      <c r="J12" s="479" t="s">
        <v>51</v>
      </c>
      <c r="K12" s="480"/>
      <c r="L12" s="181"/>
    </row>
    <row r="13" spans="1:12">
      <c r="A13" s="86" t="s">
        <v>52</v>
      </c>
      <c r="B13" s="522" t="s">
        <v>53</v>
      </c>
      <c r="C13" s="523"/>
      <c r="D13" s="507" t="s">
        <v>54</v>
      </c>
      <c r="E13" s="508"/>
      <c r="F13" s="496" t="s">
        <v>55</v>
      </c>
      <c r="G13" s="497"/>
      <c r="H13" s="488" t="s">
        <v>56</v>
      </c>
      <c r="I13" s="489"/>
      <c r="J13" s="469" t="s">
        <v>57</v>
      </c>
      <c r="K13" s="470"/>
      <c r="L13" s="181"/>
    </row>
    <row r="14" spans="1:12" ht="15" thickBot="1">
      <c r="A14" s="87" t="s">
        <v>58</v>
      </c>
      <c r="B14" s="527" t="s">
        <v>58</v>
      </c>
      <c r="C14" s="528"/>
      <c r="D14" s="511" t="s">
        <v>58</v>
      </c>
      <c r="E14" s="512"/>
      <c r="F14" s="503" t="s">
        <v>58</v>
      </c>
      <c r="G14" s="504"/>
      <c r="H14" s="490" t="s">
        <v>58</v>
      </c>
      <c r="I14" s="491"/>
      <c r="J14" s="481" t="s">
        <v>58</v>
      </c>
      <c r="K14" s="482"/>
      <c r="L14" s="181"/>
    </row>
    <row r="15" spans="1:12" ht="60" customHeight="1">
      <c r="A15" s="93" t="s">
        <v>59</v>
      </c>
      <c r="B15" s="95" t="s">
        <v>38</v>
      </c>
      <c r="C15" s="82" t="s">
        <v>60</v>
      </c>
      <c r="D15" s="96" t="s">
        <v>38</v>
      </c>
      <c r="E15" s="83" t="s">
        <v>61</v>
      </c>
      <c r="F15" s="97" t="s">
        <v>38</v>
      </c>
      <c r="G15" s="98" t="s">
        <v>62</v>
      </c>
      <c r="H15" s="99" t="s">
        <v>38</v>
      </c>
      <c r="I15" s="84" t="s">
        <v>42</v>
      </c>
      <c r="J15" s="100" t="s">
        <v>38</v>
      </c>
      <c r="K15" s="88" t="s">
        <v>63</v>
      </c>
      <c r="L15" s="181"/>
    </row>
    <row r="16" spans="1:12">
      <c r="A16" s="86" t="s">
        <v>44</v>
      </c>
      <c r="B16" s="522" t="s">
        <v>64</v>
      </c>
      <c r="C16" s="523"/>
      <c r="D16" s="513" t="s">
        <v>47</v>
      </c>
      <c r="E16" s="513"/>
      <c r="F16" s="496" t="s">
        <v>65</v>
      </c>
      <c r="G16" s="497"/>
      <c r="H16" s="488" t="s">
        <v>66</v>
      </c>
      <c r="I16" s="489"/>
      <c r="J16" s="389" t="s">
        <v>67</v>
      </c>
      <c r="K16" s="89"/>
      <c r="L16" s="181"/>
    </row>
    <row r="17" spans="1:12">
      <c r="A17" s="86" t="s">
        <v>48</v>
      </c>
      <c r="B17" s="524" t="s">
        <v>68</v>
      </c>
      <c r="C17" s="525"/>
      <c r="D17" s="507" t="s">
        <v>69</v>
      </c>
      <c r="E17" s="508"/>
      <c r="F17" s="496" t="s">
        <v>70</v>
      </c>
      <c r="G17" s="497"/>
      <c r="H17" s="486">
        <v>802051953</v>
      </c>
      <c r="I17" s="487"/>
      <c r="J17" s="479">
        <v>1003561</v>
      </c>
      <c r="K17" s="480"/>
      <c r="L17" s="181"/>
    </row>
    <row r="18" spans="1:12">
      <c r="A18" s="86" t="s">
        <v>52</v>
      </c>
      <c r="B18" s="524" t="s">
        <v>71</v>
      </c>
      <c r="C18" s="525"/>
      <c r="D18" s="507" t="s">
        <v>72</v>
      </c>
      <c r="E18" s="508"/>
      <c r="F18" s="496" t="s">
        <v>73</v>
      </c>
      <c r="G18" s="497"/>
      <c r="H18" s="488" t="s">
        <v>74</v>
      </c>
      <c r="I18" s="489"/>
      <c r="J18" s="469" t="s">
        <v>75</v>
      </c>
      <c r="K18" s="470"/>
      <c r="L18" s="181"/>
    </row>
    <row r="19" spans="1:12" ht="15" thickBot="1">
      <c r="A19" s="87" t="s">
        <v>76</v>
      </c>
      <c r="B19" s="526">
        <v>1161160000</v>
      </c>
      <c r="C19" s="526"/>
      <c r="D19" s="516">
        <v>520000000</v>
      </c>
      <c r="E19" s="517"/>
      <c r="F19" s="498">
        <v>520000000</v>
      </c>
      <c r="G19" s="499"/>
      <c r="H19" s="492">
        <v>650000000</v>
      </c>
      <c r="I19" s="493"/>
      <c r="J19" s="471">
        <v>8000000000</v>
      </c>
      <c r="K19" s="472"/>
      <c r="L19" s="181"/>
    </row>
    <row r="20" spans="1:12" ht="59.25" customHeight="1">
      <c r="A20" s="92" t="s">
        <v>77</v>
      </c>
      <c r="B20" s="95" t="s">
        <v>38</v>
      </c>
      <c r="C20" s="82" t="s">
        <v>78</v>
      </c>
      <c r="D20" s="96" t="s">
        <v>38</v>
      </c>
      <c r="E20" s="90" t="s">
        <v>79</v>
      </c>
      <c r="F20" s="97" t="s">
        <v>38</v>
      </c>
      <c r="G20" s="98" t="s">
        <v>80</v>
      </c>
      <c r="H20" s="99" t="s">
        <v>38</v>
      </c>
      <c r="I20" s="84" t="s">
        <v>42</v>
      </c>
      <c r="J20" s="100" t="s">
        <v>38</v>
      </c>
      <c r="K20" s="91" t="s">
        <v>81</v>
      </c>
      <c r="L20" s="181"/>
    </row>
    <row r="21" spans="1:12">
      <c r="A21" s="86" t="s">
        <v>44</v>
      </c>
      <c r="B21" s="505" t="s">
        <v>47</v>
      </c>
      <c r="C21" s="505"/>
      <c r="D21" s="513" t="s">
        <v>47</v>
      </c>
      <c r="E21" s="507"/>
      <c r="F21" s="483" t="s">
        <v>65</v>
      </c>
      <c r="G21" s="483"/>
      <c r="H21" s="485" t="s">
        <v>82</v>
      </c>
      <c r="I21" s="485"/>
      <c r="J21" s="473" t="s">
        <v>47</v>
      </c>
      <c r="K21" s="474"/>
      <c r="L21" s="181"/>
    </row>
    <row r="22" spans="1:12">
      <c r="A22" s="86" t="s">
        <v>48</v>
      </c>
      <c r="B22" s="505" t="s">
        <v>83</v>
      </c>
      <c r="C22" s="505"/>
      <c r="D22" s="518" t="s">
        <v>84</v>
      </c>
      <c r="E22" s="519"/>
      <c r="F22" s="500" t="s">
        <v>85</v>
      </c>
      <c r="G22" s="500"/>
      <c r="H22" s="494" t="s">
        <v>86</v>
      </c>
      <c r="I22" s="494"/>
      <c r="J22" s="475" t="s">
        <v>87</v>
      </c>
      <c r="K22" s="476"/>
      <c r="L22" s="181"/>
    </row>
    <row r="23" spans="1:12">
      <c r="A23" s="86" t="s">
        <v>88</v>
      </c>
      <c r="B23" s="505" t="s">
        <v>89</v>
      </c>
      <c r="C23" s="505"/>
      <c r="D23" s="520" t="s">
        <v>90</v>
      </c>
      <c r="E23" s="521"/>
      <c r="F23" s="483" t="s">
        <v>91</v>
      </c>
      <c r="G23" s="483"/>
      <c r="H23" s="485" t="s">
        <v>92</v>
      </c>
      <c r="I23" s="485"/>
      <c r="J23" s="477" t="s">
        <v>93</v>
      </c>
      <c r="K23" s="478"/>
      <c r="L23" s="181"/>
    </row>
    <row r="24" spans="1:12" ht="15.75" customHeight="1" thickBot="1">
      <c r="A24" s="87" t="s">
        <v>94</v>
      </c>
      <c r="B24" s="506">
        <v>1702607923.0999999</v>
      </c>
      <c r="C24" s="506"/>
      <c r="D24" s="514">
        <v>1702607923.0999999</v>
      </c>
      <c r="E24" s="515"/>
      <c r="F24" s="484">
        <v>1702607923.0999999</v>
      </c>
      <c r="G24" s="484"/>
      <c r="H24" s="495">
        <v>1702607923.0999999</v>
      </c>
      <c r="I24" s="495"/>
      <c r="J24" s="467">
        <v>1702607923.0999999</v>
      </c>
      <c r="K24" s="468"/>
      <c r="L24" s="181"/>
    </row>
    <row r="25" spans="1:12" ht="15.75" customHeight="1" thickBot="1">
      <c r="A25" s="412"/>
      <c r="B25" s="533" t="s">
        <v>34</v>
      </c>
      <c r="C25" s="533"/>
      <c r="D25" s="533" t="s">
        <v>34</v>
      </c>
      <c r="E25" s="533"/>
      <c r="F25" s="533" t="s">
        <v>34</v>
      </c>
      <c r="G25" s="533"/>
      <c r="H25" s="533" t="s">
        <v>34</v>
      </c>
      <c r="I25" s="533"/>
      <c r="J25" s="533" t="s">
        <v>34</v>
      </c>
      <c r="K25" s="533"/>
      <c r="L25" s="413"/>
    </row>
  </sheetData>
  <mergeCells count="72">
    <mergeCell ref="A8:A9"/>
    <mergeCell ref="B2:L2"/>
    <mergeCell ref="H8:I8"/>
    <mergeCell ref="J8:K8"/>
    <mergeCell ref="B25:C25"/>
    <mergeCell ref="D25:E25"/>
    <mergeCell ref="F25:G25"/>
    <mergeCell ref="H25:I25"/>
    <mergeCell ref="J25:K25"/>
    <mergeCell ref="A6:K6"/>
    <mergeCell ref="B8:C8"/>
    <mergeCell ref="D8:E8"/>
    <mergeCell ref="F8:G8"/>
    <mergeCell ref="B11:C11"/>
    <mergeCell ref="B12:C12"/>
    <mergeCell ref="B13:C13"/>
    <mergeCell ref="B16:C16"/>
    <mergeCell ref="B17:C17"/>
    <mergeCell ref="B18:C18"/>
    <mergeCell ref="B19:C19"/>
    <mergeCell ref="B14:C14"/>
    <mergeCell ref="B21:C21"/>
    <mergeCell ref="B22:C22"/>
    <mergeCell ref="B23:C23"/>
    <mergeCell ref="B24:C24"/>
    <mergeCell ref="D11:E11"/>
    <mergeCell ref="D12:E12"/>
    <mergeCell ref="D13:E13"/>
    <mergeCell ref="D14:E14"/>
    <mergeCell ref="D16:E16"/>
    <mergeCell ref="D21:E21"/>
    <mergeCell ref="D24:E24"/>
    <mergeCell ref="D17:E17"/>
    <mergeCell ref="D18:E18"/>
    <mergeCell ref="D19:E19"/>
    <mergeCell ref="D22:E22"/>
    <mergeCell ref="D23:E23"/>
    <mergeCell ref="F19:G19"/>
    <mergeCell ref="F21:G21"/>
    <mergeCell ref="F22:G22"/>
    <mergeCell ref="F11:G11"/>
    <mergeCell ref="F12:G12"/>
    <mergeCell ref="F13:G13"/>
    <mergeCell ref="F14:G14"/>
    <mergeCell ref="F16:G16"/>
    <mergeCell ref="F23:G23"/>
    <mergeCell ref="F24:G24"/>
    <mergeCell ref="H11:I11"/>
    <mergeCell ref="H12:I12"/>
    <mergeCell ref="H13:I13"/>
    <mergeCell ref="H14:I14"/>
    <mergeCell ref="H16:I16"/>
    <mergeCell ref="H17:I17"/>
    <mergeCell ref="H18:I18"/>
    <mergeCell ref="H19:I19"/>
    <mergeCell ref="H21:I21"/>
    <mergeCell ref="H22:I22"/>
    <mergeCell ref="H23:I23"/>
    <mergeCell ref="H24:I24"/>
    <mergeCell ref="F17:G17"/>
    <mergeCell ref="F18:G18"/>
    <mergeCell ref="J11:K11"/>
    <mergeCell ref="J12:K12"/>
    <mergeCell ref="J13:K13"/>
    <mergeCell ref="J14:K14"/>
    <mergeCell ref="J17:K17"/>
    <mergeCell ref="J24:K24"/>
    <mergeCell ref="J18:K18"/>
    <mergeCell ref="J19:K19"/>
    <mergeCell ref="J21:K21"/>
    <mergeCell ref="J22:K22"/>
    <mergeCell ref="J23:K2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53985-1699-42E1-85BD-DF72D646FDD3}">
  <dimension ref="A1:L14"/>
  <sheetViews>
    <sheetView topLeftCell="A8" workbookViewId="0">
      <selection activeCell="K12" sqref="K12"/>
    </sheetView>
  </sheetViews>
  <sheetFormatPr defaultColWidth="11" defaultRowHeight="14.25"/>
  <cols>
    <col min="1" max="1" width="30.75" style="81" customWidth="1"/>
    <col min="2" max="2" width="9.25" style="81" customWidth="1"/>
    <col min="3" max="3" width="30.125" style="81" customWidth="1"/>
    <col min="4" max="4" width="10.25" style="81" customWidth="1"/>
    <col min="5" max="5" width="24.125" style="81" customWidth="1"/>
    <col min="6" max="6" width="9.5" style="81" customWidth="1"/>
    <col min="7" max="7" width="23.5" style="81" customWidth="1"/>
    <col min="8" max="8" width="9.375" style="81" customWidth="1"/>
    <col min="9" max="9" width="27.25" style="81" customWidth="1"/>
    <col min="10" max="10" width="9" style="81" customWidth="1"/>
    <col min="11" max="11" width="19.125" style="81" customWidth="1"/>
    <col min="12" max="16384" width="11" style="81"/>
  </cols>
  <sheetData>
    <row r="1" spans="1:12">
      <c r="A1" s="438"/>
      <c r="B1" s="3"/>
      <c r="C1" s="3"/>
      <c r="D1" s="3"/>
      <c r="E1" s="3"/>
      <c r="F1" s="112"/>
      <c r="G1" s="112"/>
      <c r="H1" s="112"/>
      <c r="I1" s="112"/>
      <c r="J1" s="113"/>
      <c r="K1" s="113"/>
    </row>
    <row r="2" spans="1:12" ht="23.25" customHeight="1">
      <c r="A2" s="2"/>
      <c r="B2" s="455" t="s">
        <v>0</v>
      </c>
      <c r="C2" s="455"/>
      <c r="D2" s="455"/>
      <c r="E2" s="455"/>
      <c r="F2" s="455"/>
      <c r="G2" s="455"/>
      <c r="H2" s="455"/>
      <c r="I2" s="455"/>
      <c r="J2" s="455"/>
      <c r="K2" s="455"/>
      <c r="L2" s="455"/>
    </row>
    <row r="3" spans="1:12">
      <c r="A3" s="2"/>
      <c r="B3" s="114"/>
      <c r="C3" s="114"/>
      <c r="D3" s="114"/>
      <c r="E3" s="114"/>
      <c r="F3" s="112"/>
      <c r="G3" s="112"/>
      <c r="H3" s="112"/>
      <c r="I3" s="112"/>
      <c r="J3" s="113"/>
      <c r="K3" s="113"/>
    </row>
    <row r="4" spans="1:12" ht="24" customHeight="1">
      <c r="A4" s="2"/>
      <c r="B4" s="114"/>
      <c r="C4" s="114"/>
      <c r="D4" s="114"/>
      <c r="E4" s="114"/>
      <c r="F4" s="112"/>
      <c r="G4" s="112"/>
      <c r="H4" s="112"/>
      <c r="I4" s="112"/>
      <c r="J4" s="113"/>
      <c r="K4" s="113"/>
    </row>
    <row r="5" spans="1:12">
      <c r="A5" s="439"/>
      <c r="B5" s="114"/>
      <c r="C5" s="114"/>
      <c r="D5" s="114"/>
      <c r="E5" s="114"/>
      <c r="F5" s="112"/>
      <c r="G5" s="112"/>
      <c r="H5" s="112"/>
      <c r="I5" s="112"/>
      <c r="J5" s="113"/>
      <c r="K5" s="113"/>
    </row>
    <row r="6" spans="1:12" ht="15.75" customHeight="1">
      <c r="A6" s="537" t="s">
        <v>95</v>
      </c>
      <c r="B6" s="537"/>
      <c r="C6" s="537"/>
      <c r="D6" s="537"/>
      <c r="E6" s="537"/>
      <c r="F6" s="537"/>
      <c r="G6" s="537"/>
      <c r="H6" s="537"/>
      <c r="I6" s="537"/>
      <c r="J6" s="537"/>
      <c r="K6" s="537"/>
    </row>
    <row r="7" spans="1:12">
      <c r="A7" s="1"/>
      <c r="B7" s="115"/>
      <c r="C7" s="115"/>
      <c r="D7" s="115"/>
      <c r="E7" s="115"/>
      <c r="F7" s="1"/>
      <c r="G7" s="9"/>
    </row>
    <row r="8" spans="1:12" ht="44.25" customHeight="1">
      <c r="A8" s="538" t="s">
        <v>96</v>
      </c>
      <c r="B8" s="459" t="s">
        <v>3</v>
      </c>
      <c r="C8" s="460"/>
      <c r="D8" s="461" t="s">
        <v>4</v>
      </c>
      <c r="E8" s="462"/>
      <c r="F8" s="465" t="s">
        <v>5</v>
      </c>
      <c r="G8" s="466"/>
      <c r="H8" s="463" t="s">
        <v>6</v>
      </c>
      <c r="I8" s="464"/>
      <c r="J8" s="532" t="s">
        <v>7</v>
      </c>
      <c r="K8" s="532"/>
    </row>
    <row r="9" spans="1:12" ht="34.5" customHeight="1">
      <c r="A9" s="539"/>
      <c r="B9" s="116" t="s">
        <v>34</v>
      </c>
      <c r="C9" s="116" t="s">
        <v>9</v>
      </c>
      <c r="D9" s="117" t="s">
        <v>34</v>
      </c>
      <c r="E9" s="117" t="s">
        <v>9</v>
      </c>
      <c r="F9" s="118" t="s">
        <v>34</v>
      </c>
      <c r="G9" s="118" t="s">
        <v>9</v>
      </c>
      <c r="H9" s="119" t="s">
        <v>34</v>
      </c>
      <c r="I9" s="119" t="s">
        <v>9</v>
      </c>
      <c r="J9" s="120" t="s">
        <v>34</v>
      </c>
      <c r="K9" s="120" t="s">
        <v>9</v>
      </c>
    </row>
    <row r="10" spans="1:12" ht="49.5" customHeight="1">
      <c r="A10" s="8" t="s">
        <v>97</v>
      </c>
      <c r="B10" s="101" t="s">
        <v>38</v>
      </c>
      <c r="C10" s="48" t="s">
        <v>18</v>
      </c>
      <c r="D10" s="102" t="s">
        <v>38</v>
      </c>
      <c r="E10" s="5" t="s">
        <v>19</v>
      </c>
      <c r="F10" s="103" t="s">
        <v>38</v>
      </c>
      <c r="G10" s="28" t="s">
        <v>98</v>
      </c>
      <c r="H10" s="104" t="s">
        <v>38</v>
      </c>
      <c r="I10" s="29" t="s">
        <v>21</v>
      </c>
      <c r="J10" s="105" t="s">
        <v>38</v>
      </c>
      <c r="K10" s="7" t="s">
        <v>22</v>
      </c>
    </row>
    <row r="11" spans="1:12" ht="71.25">
      <c r="A11" s="49" t="s">
        <v>99</v>
      </c>
      <c r="B11" s="101" t="s">
        <v>38</v>
      </c>
      <c r="C11" s="48" t="s">
        <v>100</v>
      </c>
      <c r="D11" s="102" t="s">
        <v>38</v>
      </c>
      <c r="E11" s="5" t="s">
        <v>101</v>
      </c>
      <c r="F11" s="103" t="s">
        <v>38</v>
      </c>
      <c r="G11" s="28" t="s">
        <v>102</v>
      </c>
      <c r="H11" s="104" t="s">
        <v>38</v>
      </c>
      <c r="I11" s="29" t="s">
        <v>103</v>
      </c>
      <c r="J11" s="105" t="s">
        <v>38</v>
      </c>
      <c r="K11" s="414" t="s">
        <v>104</v>
      </c>
    </row>
    <row r="12" spans="1:12" ht="71.25">
      <c r="A12" s="49" t="s">
        <v>105</v>
      </c>
      <c r="B12" s="101" t="s">
        <v>38</v>
      </c>
      <c r="C12" s="48" t="s">
        <v>100</v>
      </c>
      <c r="D12" s="102" t="s">
        <v>38</v>
      </c>
      <c r="E12" s="5" t="s">
        <v>101</v>
      </c>
      <c r="F12" s="103" t="s">
        <v>38</v>
      </c>
      <c r="G12" s="28" t="s">
        <v>102</v>
      </c>
      <c r="H12" s="104" t="s">
        <v>38</v>
      </c>
      <c r="I12" s="29" t="s">
        <v>103</v>
      </c>
      <c r="J12" s="105" t="s">
        <v>38</v>
      </c>
      <c r="K12" s="414" t="s">
        <v>104</v>
      </c>
    </row>
    <row r="13" spans="1:12" ht="15.75" customHeight="1"/>
    <row r="14" spans="1:12" ht="15.75" customHeight="1">
      <c r="B14" s="457" t="s">
        <v>34</v>
      </c>
      <c r="C14" s="457"/>
      <c r="D14" s="457" t="s">
        <v>34</v>
      </c>
      <c r="E14" s="457"/>
      <c r="F14" s="457" t="s">
        <v>34</v>
      </c>
      <c r="G14" s="457"/>
      <c r="H14" s="457" t="s">
        <v>34</v>
      </c>
      <c r="I14" s="457"/>
      <c r="J14" s="457" t="s">
        <v>34</v>
      </c>
      <c r="K14" s="457"/>
    </row>
  </sheetData>
  <mergeCells count="13">
    <mergeCell ref="B14:C14"/>
    <mergeCell ref="D14:E14"/>
    <mergeCell ref="F14:G14"/>
    <mergeCell ref="H14:I14"/>
    <mergeCell ref="J14:K14"/>
    <mergeCell ref="B2:L2"/>
    <mergeCell ref="A6:K6"/>
    <mergeCell ref="A8:A9"/>
    <mergeCell ref="B8:C8"/>
    <mergeCell ref="D8:E8"/>
    <mergeCell ref="F8:G8"/>
    <mergeCell ref="H8:I8"/>
    <mergeCell ref="J8:K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990"/>
  <sheetViews>
    <sheetView topLeftCell="A16" zoomScale="80" zoomScaleNormal="80" workbookViewId="0">
      <selection activeCell="P21" sqref="P21"/>
    </sheetView>
  </sheetViews>
  <sheetFormatPr defaultColWidth="12.625" defaultRowHeight="15" customHeight="1"/>
  <cols>
    <col min="1" max="1" width="20.5" style="130" customWidth="1"/>
    <col min="2" max="2" width="21" style="130" customWidth="1"/>
    <col min="3" max="3" width="33.375" style="130" customWidth="1"/>
    <col min="4" max="4" width="18.625" style="130" customWidth="1"/>
    <col min="5" max="5" width="9.5" style="130" customWidth="1"/>
    <col min="6" max="6" width="28.375" style="130" customWidth="1"/>
    <col min="7" max="7" width="16.375" style="130" bestFit="1" customWidth="1"/>
    <col min="8" max="8" width="10.125" style="130" customWidth="1"/>
    <col min="9" max="9" width="32.25" style="130" customWidth="1"/>
    <col min="10" max="10" width="20" style="130" customWidth="1"/>
    <col min="11" max="11" width="13.5" style="130" customWidth="1"/>
    <col min="12" max="12" width="18.625" style="130" customWidth="1"/>
    <col min="13" max="13" width="17.5" style="130" bestFit="1" customWidth="1"/>
    <col min="14" max="14" width="9.375" style="130" customWidth="1"/>
    <col min="15" max="15" width="19" style="130" customWidth="1"/>
    <col min="16" max="16" width="17.5" style="130" bestFit="1" customWidth="1"/>
    <col min="17" max="23" width="9.375" style="130" customWidth="1"/>
    <col min="24" max="16384" width="12.625" style="130"/>
  </cols>
  <sheetData>
    <row r="1" spans="1:18">
      <c r="A1" s="415"/>
      <c r="B1" s="416"/>
      <c r="C1" s="416"/>
      <c r="D1" s="416"/>
      <c r="E1" s="416"/>
      <c r="F1" s="416"/>
      <c r="G1" s="416"/>
      <c r="H1" s="417"/>
      <c r="I1" s="417"/>
      <c r="J1" s="417"/>
      <c r="K1" s="417"/>
      <c r="L1" s="417"/>
      <c r="M1" s="417"/>
      <c r="N1" s="418"/>
      <c r="O1" s="418"/>
      <c r="P1" s="418"/>
      <c r="Q1" s="418"/>
      <c r="R1" s="419"/>
    </row>
    <row r="2" spans="1:18" ht="23.25" customHeight="1">
      <c r="A2" s="420"/>
      <c r="B2" s="129"/>
      <c r="C2" s="546" t="s">
        <v>0</v>
      </c>
      <c r="D2" s="546"/>
      <c r="E2" s="546"/>
      <c r="F2" s="546"/>
      <c r="G2" s="546"/>
      <c r="H2" s="546"/>
      <c r="I2" s="546"/>
      <c r="J2" s="546"/>
      <c r="K2" s="546"/>
      <c r="L2" s="546"/>
      <c r="M2" s="546"/>
      <c r="N2" s="129"/>
      <c r="O2" s="129"/>
      <c r="P2" s="129"/>
      <c r="Q2" s="129"/>
      <c r="R2" s="421"/>
    </row>
    <row r="3" spans="1:18">
      <c r="A3" s="420"/>
      <c r="B3" s="129"/>
      <c r="C3" s="129"/>
      <c r="D3" s="129"/>
      <c r="E3" s="129"/>
      <c r="F3" s="129"/>
      <c r="G3" s="129"/>
      <c r="H3" s="128"/>
      <c r="I3" s="128"/>
      <c r="J3" s="128"/>
      <c r="K3" s="128"/>
      <c r="L3" s="128"/>
      <c r="M3" s="128"/>
      <c r="N3" s="129"/>
      <c r="O3" s="129"/>
      <c r="P3" s="129"/>
      <c r="Q3" s="129"/>
      <c r="R3" s="421"/>
    </row>
    <row r="4" spans="1:18" ht="24" customHeight="1">
      <c r="A4" s="420"/>
      <c r="B4" s="129"/>
      <c r="C4" s="129"/>
      <c r="D4" s="129"/>
      <c r="E4" s="129"/>
      <c r="F4" s="129"/>
      <c r="G4" s="129"/>
      <c r="H4" s="549"/>
      <c r="I4" s="700"/>
      <c r="J4" s="128"/>
      <c r="K4" s="128"/>
      <c r="L4" s="128"/>
      <c r="M4" s="128"/>
      <c r="N4" s="129"/>
      <c r="O4" s="129"/>
      <c r="P4" s="129"/>
      <c r="Q4" s="129"/>
      <c r="R4" s="421"/>
    </row>
    <row r="5" spans="1:18">
      <c r="A5" s="422"/>
      <c r="B5" s="129"/>
      <c r="C5" s="129"/>
      <c r="D5" s="129"/>
      <c r="E5" s="129"/>
      <c r="F5" s="129"/>
      <c r="G5" s="129"/>
      <c r="H5" s="128"/>
      <c r="I5" s="128"/>
      <c r="J5" s="128"/>
      <c r="K5" s="128"/>
      <c r="L5" s="128"/>
      <c r="M5" s="128"/>
      <c r="N5" s="129"/>
      <c r="O5" s="129"/>
      <c r="P5" s="129"/>
      <c r="Q5" s="129"/>
      <c r="R5" s="421"/>
    </row>
    <row r="6" spans="1:18" ht="15.75">
      <c r="A6" s="543" t="s">
        <v>106</v>
      </c>
      <c r="B6" s="544"/>
      <c r="C6" s="544"/>
      <c r="D6" s="544"/>
      <c r="E6" s="544"/>
      <c r="F6" s="544"/>
      <c r="G6" s="544"/>
      <c r="H6" s="544"/>
      <c r="I6" s="544"/>
      <c r="J6" s="544"/>
      <c r="K6" s="544"/>
      <c r="L6" s="544"/>
      <c r="M6" s="544"/>
      <c r="N6" s="544"/>
      <c r="O6" s="544"/>
      <c r="P6" s="544"/>
      <c r="Q6" s="544"/>
      <c r="R6" s="545"/>
    </row>
    <row r="7" spans="1:18">
      <c r="A7" s="422"/>
      <c r="B7" s="129"/>
      <c r="C7" s="129"/>
      <c r="D7" s="129"/>
      <c r="E7" s="129"/>
      <c r="F7" s="129"/>
      <c r="G7" s="129"/>
      <c r="H7" s="129"/>
      <c r="I7" s="129"/>
      <c r="J7" s="129"/>
      <c r="K7" s="129"/>
      <c r="L7" s="129"/>
      <c r="M7" s="129"/>
      <c r="N7" s="129"/>
      <c r="O7" s="129"/>
      <c r="P7" s="129"/>
      <c r="Q7" s="129"/>
      <c r="R7" s="421"/>
    </row>
    <row r="8" spans="1:18" ht="15" customHeight="1">
      <c r="A8" s="422"/>
      <c r="B8" s="129"/>
      <c r="C8" s="399" t="s">
        <v>107</v>
      </c>
      <c r="D8" s="129"/>
      <c r="E8" s="129"/>
      <c r="F8" s="129"/>
      <c r="G8" s="129"/>
      <c r="H8" s="129"/>
      <c r="I8" s="129"/>
      <c r="J8" s="129"/>
      <c r="K8" s="129"/>
      <c r="L8" s="129"/>
      <c r="M8" s="129"/>
      <c r="N8" s="129"/>
      <c r="O8" s="129"/>
      <c r="P8" s="129"/>
      <c r="Q8" s="129"/>
      <c r="R8" s="421"/>
    </row>
    <row r="9" spans="1:18" ht="15.75">
      <c r="A9" s="423"/>
      <c r="B9" s="132" t="s">
        <v>108</v>
      </c>
      <c r="C9" s="133">
        <v>0.2</v>
      </c>
      <c r="D9" s="424"/>
      <c r="E9" s="424"/>
      <c r="F9" s="424"/>
      <c r="G9" s="424"/>
      <c r="H9" s="424"/>
      <c r="I9" s="424"/>
      <c r="J9" s="129"/>
      <c r="K9" s="129"/>
      <c r="L9" s="129"/>
      <c r="M9" s="129"/>
      <c r="N9" s="129"/>
      <c r="O9" s="129"/>
      <c r="P9" s="129"/>
      <c r="Q9" s="129"/>
      <c r="R9" s="421"/>
    </row>
    <row r="10" spans="1:18">
      <c r="A10" s="423"/>
      <c r="B10" s="134">
        <v>17026079231</v>
      </c>
      <c r="C10" s="135">
        <f>B10*C9</f>
        <v>3405215846.2000003</v>
      </c>
      <c r="D10" s="425"/>
      <c r="E10" s="425"/>
      <c r="F10" s="425"/>
      <c r="G10" s="425"/>
      <c r="H10" s="425"/>
      <c r="I10" s="425"/>
      <c r="J10" s="426"/>
      <c r="K10" s="426"/>
      <c r="L10" s="426"/>
      <c r="M10" s="129"/>
      <c r="N10" s="129"/>
      <c r="O10" s="129"/>
      <c r="P10" s="129"/>
      <c r="Q10" s="129"/>
      <c r="R10" s="421"/>
    </row>
    <row r="11" spans="1:18" ht="34.5" customHeight="1">
      <c r="A11" s="423"/>
      <c r="B11" s="427"/>
      <c r="C11" s="427"/>
      <c r="D11" s="550" t="s">
        <v>3</v>
      </c>
      <c r="E11" s="551"/>
      <c r="F11" s="551"/>
      <c r="G11" s="547" t="s">
        <v>4</v>
      </c>
      <c r="H11" s="548"/>
      <c r="I11" s="548"/>
      <c r="J11" s="552" t="s">
        <v>5</v>
      </c>
      <c r="K11" s="552"/>
      <c r="L11" s="552"/>
      <c r="M11" s="553" t="s">
        <v>6</v>
      </c>
      <c r="N11" s="554"/>
      <c r="O11" s="554"/>
      <c r="P11" s="540" t="s">
        <v>7</v>
      </c>
      <c r="Q11" s="541"/>
      <c r="R11" s="542"/>
    </row>
    <row r="12" spans="1:18" ht="31.5" customHeight="1">
      <c r="A12" s="428" t="s">
        <v>2</v>
      </c>
      <c r="B12" s="136" t="s">
        <v>109</v>
      </c>
      <c r="C12" s="137" t="s">
        <v>110</v>
      </c>
      <c r="D12" s="393" t="s">
        <v>111</v>
      </c>
      <c r="E12" s="393" t="s">
        <v>112</v>
      </c>
      <c r="F12" s="393" t="s">
        <v>9</v>
      </c>
      <c r="G12" s="138" t="s">
        <v>111</v>
      </c>
      <c r="H12" s="138" t="s">
        <v>112</v>
      </c>
      <c r="I12" s="138" t="s">
        <v>9</v>
      </c>
      <c r="J12" s="139" t="s">
        <v>111</v>
      </c>
      <c r="K12" s="139" t="s">
        <v>112</v>
      </c>
      <c r="L12" s="139" t="s">
        <v>9</v>
      </c>
      <c r="M12" s="140" t="s">
        <v>111</v>
      </c>
      <c r="N12" s="140" t="s">
        <v>112</v>
      </c>
      <c r="O12" s="140" t="s">
        <v>9</v>
      </c>
      <c r="P12" s="141" t="s">
        <v>111</v>
      </c>
      <c r="Q12" s="141" t="s">
        <v>112</v>
      </c>
      <c r="R12" s="429" t="s">
        <v>9</v>
      </c>
    </row>
    <row r="13" spans="1:18" ht="15" customHeight="1">
      <c r="A13" s="573" t="s">
        <v>113</v>
      </c>
      <c r="B13" s="574" t="s">
        <v>114</v>
      </c>
      <c r="C13" s="569" t="s">
        <v>115</v>
      </c>
      <c r="D13" s="572">
        <v>21.62</v>
      </c>
      <c r="E13" s="570" t="str">
        <f>IF(D13&gt;=1.5,"SI","NO")</f>
        <v>SI</v>
      </c>
      <c r="F13" s="560" t="s">
        <v>116</v>
      </c>
      <c r="G13" s="562">
        <v>2.14</v>
      </c>
      <c r="H13" s="563" t="str">
        <f>IF(G13&gt;=1.5,"SI","NO")</f>
        <v>SI</v>
      </c>
      <c r="I13" s="564" t="s">
        <v>117</v>
      </c>
      <c r="J13" s="565">
        <v>2.16</v>
      </c>
      <c r="K13" s="566" t="str">
        <f>IF($J$13&gt;=1.5,"SI","NO")</f>
        <v>SI</v>
      </c>
      <c r="L13" s="556" t="s">
        <v>118</v>
      </c>
      <c r="M13" s="576">
        <v>2.06</v>
      </c>
      <c r="N13" s="577" t="str">
        <f>IF($J$13&gt;=1.5,"SI","NO")</f>
        <v>SI</v>
      </c>
      <c r="O13" s="579" t="s">
        <v>119</v>
      </c>
      <c r="P13" s="580">
        <v>2.2999999999999998</v>
      </c>
      <c r="Q13" s="581" t="str">
        <f>IF(P13&gt;=1.5,"SI","NO")</f>
        <v>SI</v>
      </c>
      <c r="R13" s="571" t="s">
        <v>120</v>
      </c>
    </row>
    <row r="14" spans="1:18" ht="81.75" customHeight="1">
      <c r="A14" s="701"/>
      <c r="B14" s="702"/>
      <c r="C14" s="703"/>
      <c r="D14" s="572"/>
      <c r="E14" s="575"/>
      <c r="F14" s="561"/>
      <c r="G14" s="704"/>
      <c r="H14" s="705"/>
      <c r="I14" s="704"/>
      <c r="J14" s="706"/>
      <c r="K14" s="707"/>
      <c r="L14" s="706"/>
      <c r="M14" s="708"/>
      <c r="N14" s="709"/>
      <c r="O14" s="708"/>
      <c r="P14" s="710"/>
      <c r="Q14" s="711"/>
      <c r="R14" s="712"/>
    </row>
    <row r="15" spans="1:18" ht="15" customHeight="1">
      <c r="A15" s="567" t="s">
        <v>121</v>
      </c>
      <c r="B15" s="568" t="s">
        <v>122</v>
      </c>
      <c r="C15" s="569" t="s">
        <v>123</v>
      </c>
      <c r="D15" s="572">
        <v>0.04</v>
      </c>
      <c r="E15" s="570" t="str">
        <f>IF(D15&lt;=0.6,"SI","NO")</f>
        <v>SI</v>
      </c>
      <c r="F15" s="560" t="s">
        <v>116</v>
      </c>
      <c r="G15" s="562">
        <v>0.51</v>
      </c>
      <c r="H15" s="563" t="str">
        <f>IF(G15&lt;=0.6,"SI","NO")</f>
        <v>SI</v>
      </c>
      <c r="I15" s="564" t="s">
        <v>117</v>
      </c>
      <c r="J15" s="565">
        <v>0.52</v>
      </c>
      <c r="K15" s="566" t="str">
        <f>IF($J$15&lt;=0.6,"SI","NO")</f>
        <v>SI</v>
      </c>
      <c r="L15" s="556" t="s">
        <v>118</v>
      </c>
      <c r="M15" s="576">
        <v>0.44</v>
      </c>
      <c r="N15" s="577" t="str">
        <f>IF($J$15&lt;=0.6,"SI","NO")</f>
        <v>SI</v>
      </c>
      <c r="O15" s="579" t="s">
        <v>119</v>
      </c>
      <c r="P15" s="580">
        <v>0.45</v>
      </c>
      <c r="Q15" s="581" t="str">
        <f>IF(P15&lt;=0.6,"SI","NO")</f>
        <v>SI</v>
      </c>
      <c r="R15" s="571" t="s">
        <v>120</v>
      </c>
    </row>
    <row r="16" spans="1:18" ht="73.5" customHeight="1">
      <c r="A16" s="701"/>
      <c r="B16" s="702"/>
      <c r="C16" s="703"/>
      <c r="D16" s="572"/>
      <c r="E16" s="570"/>
      <c r="F16" s="561"/>
      <c r="G16" s="704"/>
      <c r="H16" s="563"/>
      <c r="I16" s="704"/>
      <c r="J16" s="706"/>
      <c r="K16" s="566"/>
      <c r="L16" s="706"/>
      <c r="M16" s="708"/>
      <c r="N16" s="577"/>
      <c r="O16" s="708"/>
      <c r="P16" s="710"/>
      <c r="Q16" s="581"/>
      <c r="R16" s="712"/>
    </row>
    <row r="17" spans="1:18" ht="85.5" customHeight="1">
      <c r="A17" s="430" t="s">
        <v>107</v>
      </c>
      <c r="B17" s="142" t="s">
        <v>124</v>
      </c>
      <c r="C17" s="143" t="s">
        <v>125</v>
      </c>
      <c r="D17" s="144">
        <f>13305949815-615197536</f>
        <v>12690752279</v>
      </c>
      <c r="E17" s="393" t="str">
        <f>IF(D17&gt;$C$10,"SI","NO")</f>
        <v>SI</v>
      </c>
      <c r="F17" s="397" t="s">
        <v>116</v>
      </c>
      <c r="G17" s="145">
        <f>18262203141-8507956761</f>
        <v>9754246380</v>
      </c>
      <c r="H17" s="395" t="str">
        <f>IF(G17&gt;$C$10,"SI","NO")</f>
        <v>SI</v>
      </c>
      <c r="I17" s="396" t="s">
        <v>117</v>
      </c>
      <c r="J17" s="146">
        <f>53326654665-24667684433</f>
        <v>28658970232</v>
      </c>
      <c r="K17" s="398" t="str">
        <f>IF($J$17&gt;$C$10,"SI","NO")</f>
        <v>SI</v>
      </c>
      <c r="L17" s="394" t="s">
        <v>118</v>
      </c>
      <c r="M17" s="147">
        <f>43158379042-20867247626</f>
        <v>22291131416</v>
      </c>
      <c r="N17" s="390" t="str">
        <f>IF($J$17&gt;$C$10,"SI","NO")</f>
        <v>SI</v>
      </c>
      <c r="O17" s="391" t="s">
        <v>126</v>
      </c>
      <c r="P17" s="148">
        <f>28791765516-12518011939</f>
        <v>16273753577</v>
      </c>
      <c r="Q17" s="392" t="str">
        <f>IF(P17&gt;$C$10,"SI","NO")</f>
        <v>SI</v>
      </c>
      <c r="R17" s="431" t="s">
        <v>120</v>
      </c>
    </row>
    <row r="18" spans="1:18" ht="57" customHeight="1" thickBot="1">
      <c r="A18" s="423"/>
      <c r="B18" s="426"/>
      <c r="C18" s="426"/>
      <c r="D18" s="557" t="s">
        <v>127</v>
      </c>
      <c r="E18" s="558"/>
      <c r="F18" s="559"/>
      <c r="G18" s="557" t="s">
        <v>127</v>
      </c>
      <c r="H18" s="558"/>
      <c r="I18" s="559"/>
      <c r="J18" s="557" t="s">
        <v>127</v>
      </c>
      <c r="K18" s="558"/>
      <c r="L18" s="559"/>
      <c r="M18" s="557" t="s">
        <v>127</v>
      </c>
      <c r="N18" s="558"/>
      <c r="O18" s="559"/>
      <c r="P18" s="557" t="s">
        <v>127</v>
      </c>
      <c r="Q18" s="558"/>
      <c r="R18" s="578"/>
    </row>
    <row r="19" spans="1:18" ht="15.75" customHeight="1" thickBot="1">
      <c r="A19" s="432"/>
      <c r="B19" s="433"/>
      <c r="C19" s="433"/>
      <c r="D19" s="555" t="s">
        <v>34</v>
      </c>
      <c r="E19" s="713"/>
      <c r="F19" s="714"/>
      <c r="G19" s="555" t="s">
        <v>34</v>
      </c>
      <c r="H19" s="713"/>
      <c r="I19" s="714"/>
      <c r="J19" s="555" t="s">
        <v>34</v>
      </c>
      <c r="K19" s="713"/>
      <c r="L19" s="714"/>
      <c r="M19" s="555" t="s">
        <v>34</v>
      </c>
      <c r="N19" s="713"/>
      <c r="O19" s="714"/>
      <c r="P19" s="555" t="s">
        <v>34</v>
      </c>
      <c r="Q19" s="713"/>
      <c r="R19" s="715"/>
    </row>
    <row r="20" spans="1:18" ht="15.75" customHeight="1">
      <c r="A20" s="131"/>
      <c r="B20" s="131"/>
      <c r="C20" s="131"/>
      <c r="D20" s="131"/>
      <c r="E20" s="131"/>
      <c r="F20" s="131"/>
      <c r="G20" s="131"/>
      <c r="H20" s="131"/>
      <c r="I20" s="131"/>
      <c r="J20" s="131"/>
      <c r="K20" s="131"/>
      <c r="L20" s="131"/>
      <c r="M20" s="131"/>
    </row>
    <row r="21" spans="1:18" ht="15.75" customHeight="1"/>
    <row r="22" spans="1:18" ht="15.75" customHeight="1"/>
    <row r="23" spans="1:18" ht="15.75" customHeight="1"/>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54">
    <mergeCell ref="M13:M14"/>
    <mergeCell ref="N13:N14"/>
    <mergeCell ref="P18:R18"/>
    <mergeCell ref="P19:R19"/>
    <mergeCell ref="O13:O14"/>
    <mergeCell ref="M15:M16"/>
    <mergeCell ref="N15:N16"/>
    <mergeCell ref="O15:O16"/>
    <mergeCell ref="M18:O18"/>
    <mergeCell ref="M19:O19"/>
    <mergeCell ref="P13:P14"/>
    <mergeCell ref="Q13:Q14"/>
    <mergeCell ref="R13:R14"/>
    <mergeCell ref="P15:P16"/>
    <mergeCell ref="Q15:Q16"/>
    <mergeCell ref="A13:A14"/>
    <mergeCell ref="B13:B14"/>
    <mergeCell ref="C13:C14"/>
    <mergeCell ref="E13:E14"/>
    <mergeCell ref="L13:L14"/>
    <mergeCell ref="H13:H14"/>
    <mergeCell ref="I13:I14"/>
    <mergeCell ref="F13:F14"/>
    <mergeCell ref="G13:G14"/>
    <mergeCell ref="J13:J14"/>
    <mergeCell ref="K13:K14"/>
    <mergeCell ref="D13:D14"/>
    <mergeCell ref="A15:A16"/>
    <mergeCell ref="B15:B16"/>
    <mergeCell ref="C15:C16"/>
    <mergeCell ref="E15:E16"/>
    <mergeCell ref="R15:R16"/>
    <mergeCell ref="D15:D16"/>
    <mergeCell ref="D19:F19"/>
    <mergeCell ref="G19:I19"/>
    <mergeCell ref="L15:L16"/>
    <mergeCell ref="D18:F18"/>
    <mergeCell ref="G18:I18"/>
    <mergeCell ref="F15:F16"/>
    <mergeCell ref="G15:G16"/>
    <mergeCell ref="H15:H16"/>
    <mergeCell ref="I15:I16"/>
    <mergeCell ref="J15:J16"/>
    <mergeCell ref="K15:K16"/>
    <mergeCell ref="J18:L18"/>
    <mergeCell ref="J19:L19"/>
    <mergeCell ref="P11:R11"/>
    <mergeCell ref="A6:R6"/>
    <mergeCell ref="C2:M2"/>
    <mergeCell ref="G11:I11"/>
    <mergeCell ref="H4:I4"/>
    <mergeCell ref="D11:F11"/>
    <mergeCell ref="J11:L11"/>
    <mergeCell ref="M11:O11"/>
  </mergeCells>
  <phoneticPr fontId="20" type="noConversion"/>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1"/>
  <sheetViews>
    <sheetView zoomScale="80" zoomScaleNormal="80" workbookViewId="0">
      <selection activeCell="L16" sqref="L16"/>
    </sheetView>
  </sheetViews>
  <sheetFormatPr defaultColWidth="11" defaultRowHeight="14.25"/>
  <cols>
    <col min="1" max="1" width="14.5" style="149" bestFit="1" customWidth="1"/>
    <col min="2" max="2" width="11" style="149"/>
    <col min="3" max="3" width="16.125" style="149" bestFit="1" customWidth="1"/>
    <col min="4" max="4" width="39.25" style="149" bestFit="1" customWidth="1"/>
    <col min="5" max="6" width="11" style="149"/>
    <col min="7" max="7" width="17.625" style="149" bestFit="1" customWidth="1"/>
    <col min="8" max="9" width="11" style="149"/>
    <col min="10" max="10" width="22.375" style="149" bestFit="1" customWidth="1"/>
    <col min="11" max="11" width="14.875" style="149" customWidth="1"/>
    <col min="12" max="12" width="21" style="149" customWidth="1"/>
    <col min="13" max="13" width="20" style="149" customWidth="1"/>
    <col min="14" max="16384" width="11" style="149"/>
  </cols>
  <sheetData>
    <row r="1" spans="1:13">
      <c r="A1" s="161"/>
      <c r="B1" s="110"/>
      <c r="C1" s="110"/>
      <c r="D1" s="110"/>
      <c r="E1" s="110"/>
      <c r="F1" s="110"/>
      <c r="G1" s="110"/>
      <c r="H1" s="162"/>
      <c r="I1" s="162"/>
      <c r="J1" s="162"/>
      <c r="K1" s="162"/>
      <c r="L1" s="162"/>
      <c r="M1" s="164"/>
    </row>
    <row r="2" spans="1:13" ht="23.25" customHeight="1">
      <c r="A2" s="111"/>
      <c r="B2" s="26"/>
      <c r="C2" s="455" t="s">
        <v>0</v>
      </c>
      <c r="D2" s="455"/>
      <c r="E2" s="455"/>
      <c r="F2" s="455"/>
      <c r="G2" s="455"/>
      <c r="H2" s="455"/>
      <c r="I2" s="455"/>
      <c r="J2" s="455"/>
      <c r="K2" s="455"/>
      <c r="L2" s="455"/>
      <c r="M2" s="165"/>
    </row>
    <row r="3" spans="1:13">
      <c r="A3" s="111"/>
      <c r="B3" s="26"/>
      <c r="C3" s="26"/>
      <c r="D3" s="26"/>
      <c r="E3" s="26"/>
      <c r="F3" s="26"/>
      <c r="G3" s="26"/>
      <c r="H3" s="166"/>
      <c r="I3" s="166"/>
      <c r="J3" s="166"/>
      <c r="K3" s="166"/>
      <c r="L3" s="166"/>
      <c r="M3" s="165"/>
    </row>
    <row r="4" spans="1:13" ht="24" customHeight="1">
      <c r="A4" s="111"/>
      <c r="B4" s="26"/>
      <c r="C4" s="26"/>
      <c r="D4" s="26"/>
      <c r="E4" s="26"/>
      <c r="F4" s="26"/>
      <c r="G4" s="26"/>
      <c r="H4" s="549"/>
      <c r="I4" s="716"/>
      <c r="J4" s="166"/>
      <c r="K4" s="166"/>
      <c r="L4" s="166"/>
      <c r="M4" s="165"/>
    </row>
    <row r="5" spans="1:13">
      <c r="A5" s="442"/>
      <c r="B5" s="440"/>
      <c r="C5" s="440"/>
      <c r="D5" s="440"/>
      <c r="E5" s="440"/>
      <c r="F5" s="440"/>
      <c r="G5" s="440"/>
      <c r="H5" s="150"/>
      <c r="I5" s="150"/>
      <c r="J5" s="150"/>
      <c r="K5" s="150"/>
      <c r="L5" s="150"/>
      <c r="M5" s="165"/>
    </row>
    <row r="6" spans="1:13" ht="15">
      <c r="A6" s="588" t="s">
        <v>128</v>
      </c>
      <c r="B6" s="589"/>
      <c r="C6" s="589"/>
      <c r="D6" s="589"/>
      <c r="E6" s="589"/>
      <c r="F6" s="589"/>
      <c r="G6" s="589"/>
      <c r="H6" s="589"/>
      <c r="I6" s="589"/>
      <c r="J6" s="589"/>
      <c r="K6" s="589"/>
      <c r="L6" s="589"/>
      <c r="M6" s="590"/>
    </row>
    <row r="7" spans="1:13">
      <c r="A7" s="176"/>
      <c r="B7" s="26"/>
      <c r="C7" s="26"/>
      <c r="D7" s="26"/>
      <c r="E7" s="26"/>
      <c r="F7" s="26"/>
      <c r="G7" s="26"/>
      <c r="H7" s="26"/>
      <c r="I7" s="26"/>
      <c r="J7" s="26"/>
      <c r="K7" s="26"/>
      <c r="L7" s="26"/>
      <c r="M7" s="165"/>
    </row>
    <row r="8" spans="1:13">
      <c r="A8" s="176"/>
      <c r="B8" s="26"/>
      <c r="C8" s="26"/>
      <c r="D8" s="26"/>
      <c r="E8" s="26"/>
      <c r="F8" s="26"/>
      <c r="G8" s="26"/>
      <c r="H8" s="26"/>
      <c r="I8" s="26"/>
      <c r="J8" s="26"/>
      <c r="K8" s="26"/>
      <c r="L8" s="26"/>
      <c r="M8" s="165"/>
    </row>
    <row r="9" spans="1:13">
      <c r="A9" s="176"/>
      <c r="B9" s="26"/>
      <c r="C9" s="26"/>
      <c r="D9" s="26"/>
      <c r="E9" s="26"/>
      <c r="F9" s="26"/>
      <c r="G9" s="26"/>
      <c r="H9" s="26"/>
      <c r="I9" s="26"/>
      <c r="J9" s="26"/>
      <c r="K9" s="26"/>
      <c r="L9" s="26"/>
      <c r="M9" s="165"/>
    </row>
    <row r="10" spans="1:13">
      <c r="A10" s="176"/>
      <c r="B10" s="26"/>
      <c r="C10" s="26"/>
      <c r="D10" s="26"/>
      <c r="E10" s="26"/>
      <c r="F10" s="26"/>
      <c r="G10" s="26"/>
      <c r="H10" s="26"/>
      <c r="I10" s="26"/>
      <c r="J10" s="26"/>
      <c r="K10" s="18" t="s">
        <v>129</v>
      </c>
      <c r="L10" s="19">
        <v>1300000</v>
      </c>
      <c r="M10" s="165"/>
    </row>
    <row r="11" spans="1:13" ht="26.25">
      <c r="A11" s="176"/>
      <c r="B11" s="26"/>
      <c r="C11" s="26"/>
      <c r="D11" s="26"/>
      <c r="E11" s="26"/>
      <c r="F11" s="26"/>
      <c r="G11" s="26"/>
      <c r="H11" s="26"/>
      <c r="I11" s="26"/>
      <c r="J11" s="26"/>
      <c r="K11" s="18" t="s">
        <v>130</v>
      </c>
      <c r="L11" s="20">
        <f>'4.Financieros'!$B$10</f>
        <v>17026079231</v>
      </c>
      <c r="M11" s="165"/>
    </row>
    <row r="12" spans="1:13" ht="51">
      <c r="A12" s="176"/>
      <c r="B12" s="587" t="str">
        <f>'4.Financieros'!D11</f>
        <v>SEGURIDAD LAS AMÉRICAS LTDA</v>
      </c>
      <c r="C12" s="587"/>
      <c r="D12" s="587"/>
      <c r="E12" s="587"/>
      <c r="F12" s="587"/>
      <c r="G12" s="587"/>
      <c r="H12" s="587"/>
      <c r="I12" s="587"/>
      <c r="J12" s="587"/>
      <c r="K12" s="30" t="s">
        <v>131</v>
      </c>
      <c r="L12" s="151">
        <f>L11/L10</f>
        <v>13096.984023846155</v>
      </c>
      <c r="M12" s="165"/>
    </row>
    <row r="13" spans="1:13" ht="89.25">
      <c r="A13" s="176"/>
      <c r="B13" s="31" t="s">
        <v>132</v>
      </c>
      <c r="C13" s="31" t="s">
        <v>133</v>
      </c>
      <c r="D13" s="31" t="s">
        <v>134</v>
      </c>
      <c r="E13" s="23" t="s">
        <v>135</v>
      </c>
      <c r="F13" s="23" t="s">
        <v>136</v>
      </c>
      <c r="G13" s="23" t="s">
        <v>137</v>
      </c>
      <c r="H13" s="23" t="s">
        <v>138</v>
      </c>
      <c r="I13" s="23" t="s">
        <v>139</v>
      </c>
      <c r="J13" s="23" t="s">
        <v>140</v>
      </c>
      <c r="K13" s="23" t="s">
        <v>141</v>
      </c>
      <c r="L13" s="32" t="s">
        <v>142</v>
      </c>
      <c r="M13" s="443" t="s">
        <v>143</v>
      </c>
    </row>
    <row r="14" spans="1:13" ht="28.5">
      <c r="A14" s="176"/>
      <c r="B14" s="152">
        <v>1</v>
      </c>
      <c r="C14" s="36">
        <v>201500586</v>
      </c>
      <c r="D14" s="108" t="s">
        <v>144</v>
      </c>
      <c r="E14" s="34">
        <v>42339</v>
      </c>
      <c r="F14" s="34">
        <v>42906</v>
      </c>
      <c r="G14" s="53">
        <v>737717</v>
      </c>
      <c r="H14" s="51" t="s">
        <v>145</v>
      </c>
      <c r="I14" s="55">
        <v>1</v>
      </c>
      <c r="J14" s="153">
        <v>17774261277</v>
      </c>
      <c r="K14" s="153">
        <f t="shared" ref="K14:K19" si="0">I14*J14</f>
        <v>17774261277</v>
      </c>
      <c r="L14" s="56">
        <f t="shared" ref="L14:L19" si="1">K14/G14</f>
        <v>24093.604020240826</v>
      </c>
      <c r="M14" s="444">
        <v>163</v>
      </c>
    </row>
    <row r="15" spans="1:13">
      <c r="A15" s="445" t="s">
        <v>146</v>
      </c>
      <c r="B15" s="152">
        <v>2</v>
      </c>
      <c r="C15" s="52" t="s">
        <v>147</v>
      </c>
      <c r="D15" s="109" t="s">
        <v>148</v>
      </c>
      <c r="E15" s="34">
        <v>43556</v>
      </c>
      <c r="F15" s="34">
        <v>44135</v>
      </c>
      <c r="G15" s="53">
        <v>877803</v>
      </c>
      <c r="H15" s="51" t="s">
        <v>145</v>
      </c>
      <c r="I15" s="55">
        <v>1</v>
      </c>
      <c r="J15" s="50">
        <v>12363543000</v>
      </c>
      <c r="K15" s="153">
        <f t="shared" si="0"/>
        <v>12363543000</v>
      </c>
      <c r="L15" s="56">
        <f t="shared" si="1"/>
        <v>14084.644276677112</v>
      </c>
      <c r="M15" s="444">
        <v>22</v>
      </c>
    </row>
    <row r="16" spans="1:13" ht="28.5">
      <c r="A16" s="176"/>
      <c r="B16" s="152">
        <v>3</v>
      </c>
      <c r="C16" s="36">
        <v>201700178</v>
      </c>
      <c r="D16" s="108" t="s">
        <v>149</v>
      </c>
      <c r="E16" s="34">
        <v>42907</v>
      </c>
      <c r="F16" s="34">
        <v>43637</v>
      </c>
      <c r="G16" s="53">
        <v>828116</v>
      </c>
      <c r="H16" s="51" t="s">
        <v>145</v>
      </c>
      <c r="I16" s="55">
        <v>1</v>
      </c>
      <c r="J16" s="50">
        <v>22406085629</v>
      </c>
      <c r="K16" s="153">
        <f t="shared" si="0"/>
        <v>22406085629</v>
      </c>
      <c r="L16" s="37">
        <v>27056.69</v>
      </c>
      <c r="M16" s="444">
        <v>4</v>
      </c>
    </row>
    <row r="17" spans="1:13">
      <c r="A17" s="176"/>
      <c r="B17" s="152">
        <v>4</v>
      </c>
      <c r="C17" s="36">
        <v>5214677</v>
      </c>
      <c r="D17" s="108" t="s">
        <v>150</v>
      </c>
      <c r="E17" s="34">
        <v>41791</v>
      </c>
      <c r="F17" s="34">
        <v>42978</v>
      </c>
      <c r="G17" s="53">
        <v>737717</v>
      </c>
      <c r="H17" s="36" t="s">
        <v>151</v>
      </c>
      <c r="I17" s="35">
        <v>0.5</v>
      </c>
      <c r="J17" s="50">
        <v>43595645975</v>
      </c>
      <c r="K17" s="153">
        <f t="shared" si="0"/>
        <v>21797822987.5</v>
      </c>
      <c r="L17" s="56">
        <f>59095.35*50%</f>
        <v>29547.674999999999</v>
      </c>
      <c r="M17" s="444">
        <v>164</v>
      </c>
    </row>
    <row r="18" spans="1:13">
      <c r="A18" s="176"/>
      <c r="B18" s="152">
        <v>5</v>
      </c>
      <c r="C18" s="36">
        <v>4600005444</v>
      </c>
      <c r="D18" s="108" t="s">
        <v>152</v>
      </c>
      <c r="E18" s="34">
        <v>42552</v>
      </c>
      <c r="F18" s="34">
        <v>42811</v>
      </c>
      <c r="G18" s="53">
        <v>737717</v>
      </c>
      <c r="H18" s="36" t="s">
        <v>151</v>
      </c>
      <c r="I18" s="35">
        <v>0.6</v>
      </c>
      <c r="J18" s="50">
        <v>2708881926</v>
      </c>
      <c r="K18" s="153">
        <f t="shared" si="0"/>
        <v>1625329155.5999999</v>
      </c>
      <c r="L18" s="37">
        <f>3671.97*60%</f>
        <v>2203.1819999999998</v>
      </c>
      <c r="M18" s="444">
        <v>161</v>
      </c>
    </row>
    <row r="19" spans="1:13" ht="28.5">
      <c r="A19" s="176"/>
      <c r="B19" s="152">
        <v>6</v>
      </c>
      <c r="C19" s="36" t="s">
        <v>153</v>
      </c>
      <c r="D19" s="108" t="s">
        <v>154</v>
      </c>
      <c r="E19" s="34">
        <v>42593</v>
      </c>
      <c r="F19" s="34">
        <v>43312</v>
      </c>
      <c r="G19" s="53">
        <v>828116</v>
      </c>
      <c r="H19" s="51" t="s">
        <v>145</v>
      </c>
      <c r="I19" s="35">
        <v>1</v>
      </c>
      <c r="J19" s="50">
        <v>15469116018</v>
      </c>
      <c r="K19" s="153">
        <f t="shared" si="0"/>
        <v>15469116018</v>
      </c>
      <c r="L19" s="56">
        <f t="shared" si="1"/>
        <v>18679.890278656614</v>
      </c>
      <c r="M19" s="446">
        <v>3</v>
      </c>
    </row>
    <row r="20" spans="1:13">
      <c r="A20" s="176"/>
      <c r="B20" s="586" t="s">
        <v>155</v>
      </c>
      <c r="C20" s="717"/>
      <c r="D20" s="717"/>
      <c r="E20" s="717"/>
      <c r="F20" s="717"/>
      <c r="G20" s="717"/>
      <c r="H20" s="717"/>
      <c r="I20" s="717"/>
      <c r="J20" s="717"/>
      <c r="K20" s="717"/>
      <c r="L20" s="56">
        <f>SUM(L14:L19)</f>
        <v>115665.68557557456</v>
      </c>
      <c r="M20" s="165"/>
    </row>
    <row r="21" spans="1:13">
      <c r="A21" s="176"/>
      <c r="B21" s="24"/>
      <c r="C21" s="25"/>
      <c r="D21" s="25"/>
      <c r="E21" s="25"/>
      <c r="F21" s="25"/>
      <c r="G21" s="25"/>
      <c r="H21" s="25"/>
      <c r="I21" s="25"/>
      <c r="J21" s="25"/>
      <c r="K21" s="25"/>
      <c r="L21" s="154"/>
      <c r="M21" s="165"/>
    </row>
    <row r="22" spans="1:13" ht="15">
      <c r="A22" s="176"/>
      <c r="B22" s="582" t="s">
        <v>156</v>
      </c>
      <c r="C22" s="718"/>
      <c r="D22" s="718"/>
      <c r="E22" s="718"/>
      <c r="F22" s="718"/>
      <c r="G22" s="718"/>
      <c r="H22" s="718"/>
      <c r="I22" s="718"/>
      <c r="J22" s="718"/>
      <c r="K22" s="719"/>
      <c r="L22" s="155">
        <f>L20/L12</f>
        <v>8.831474892614807</v>
      </c>
      <c r="M22" s="165"/>
    </row>
    <row r="23" spans="1:13" ht="15">
      <c r="A23" s="176"/>
      <c r="B23" s="26"/>
      <c r="C23" s="26"/>
      <c r="D23" s="26"/>
      <c r="E23" s="26"/>
      <c r="F23" s="26"/>
      <c r="G23" s="26"/>
      <c r="H23" s="26"/>
      <c r="I23" s="26"/>
      <c r="J23" s="26"/>
      <c r="K23" s="26"/>
      <c r="L23" s="156" t="str">
        <f>IF(L22&gt;2.5,"CUMPLE", "NO CUMPLE")</f>
        <v>CUMPLE</v>
      </c>
      <c r="M23" s="165"/>
    </row>
    <row r="24" spans="1:13">
      <c r="A24" s="176"/>
      <c r="B24" s="26"/>
      <c r="C24" s="26"/>
      <c r="D24" s="447"/>
      <c r="E24" s="26"/>
      <c r="F24" s="26"/>
      <c r="G24" s="26"/>
      <c r="H24" s="26"/>
      <c r="I24" s="26"/>
      <c r="J24" s="26"/>
      <c r="K24" s="26"/>
      <c r="L24" s="26"/>
      <c r="M24" s="165"/>
    </row>
    <row r="25" spans="1:13">
      <c r="A25" s="176"/>
      <c r="B25" s="26"/>
      <c r="C25" s="26"/>
      <c r="D25" s="26"/>
      <c r="E25" s="26"/>
      <c r="F25" s="26"/>
      <c r="G25" s="26"/>
      <c r="H25" s="26"/>
      <c r="I25" s="26"/>
      <c r="J25" s="26"/>
      <c r="K25" s="26"/>
      <c r="L25" s="26"/>
      <c r="M25" s="165"/>
    </row>
    <row r="26" spans="1:13">
      <c r="A26" s="176"/>
      <c r="B26" s="26"/>
      <c r="C26" s="26"/>
      <c r="D26" s="26"/>
      <c r="E26" s="26"/>
      <c r="F26" s="26"/>
      <c r="G26" s="26"/>
      <c r="H26" s="26"/>
      <c r="I26" s="26"/>
      <c r="J26" s="26"/>
      <c r="K26" s="26"/>
      <c r="L26" s="26"/>
      <c r="M26" s="165"/>
    </row>
    <row r="27" spans="1:13">
      <c r="A27" s="176"/>
      <c r="B27" s="26"/>
      <c r="C27" s="26"/>
      <c r="D27" s="26"/>
      <c r="E27" s="26"/>
      <c r="F27" s="26"/>
      <c r="G27" s="26"/>
      <c r="H27" s="26"/>
      <c r="I27" s="26"/>
      <c r="J27" s="26"/>
      <c r="K27" s="26"/>
      <c r="L27" s="26"/>
      <c r="M27" s="165"/>
    </row>
    <row r="28" spans="1:13">
      <c r="A28" s="176"/>
      <c r="B28" s="26"/>
      <c r="C28" s="26"/>
      <c r="D28" s="26"/>
      <c r="E28" s="26"/>
      <c r="F28" s="26"/>
      <c r="G28" s="26"/>
      <c r="H28" s="26"/>
      <c r="I28" s="26"/>
      <c r="J28" s="26"/>
      <c r="K28" s="18" t="str">
        <f>K10</f>
        <v>SMMLV 2024</v>
      </c>
      <c r="L28" s="19">
        <f>L10</f>
        <v>1300000</v>
      </c>
      <c r="M28" s="165"/>
    </row>
    <row r="29" spans="1:13" ht="26.25">
      <c r="A29" s="176"/>
      <c r="B29" s="26"/>
      <c r="C29" s="26"/>
      <c r="D29" s="26"/>
      <c r="E29" s="26"/>
      <c r="F29" s="26"/>
      <c r="G29" s="26"/>
      <c r="H29" s="26"/>
      <c r="I29" s="26"/>
      <c r="J29" s="26"/>
      <c r="K29" s="18" t="s">
        <v>130</v>
      </c>
      <c r="L29" s="20">
        <f>'4.Financieros'!$B$10</f>
        <v>17026079231</v>
      </c>
      <c r="M29" s="165"/>
    </row>
    <row r="30" spans="1:13" ht="51">
      <c r="A30" s="176"/>
      <c r="B30" s="585" t="str">
        <f>'4.Financieros'!G11</f>
        <v>SEGURIDAD RECORD DE COLOMBIA LTDA</v>
      </c>
      <c r="C30" s="585"/>
      <c r="D30" s="585"/>
      <c r="E30" s="585"/>
      <c r="F30" s="585"/>
      <c r="G30" s="585"/>
      <c r="H30" s="585"/>
      <c r="I30" s="585"/>
      <c r="J30" s="585"/>
      <c r="K30" s="30" t="s">
        <v>131</v>
      </c>
      <c r="L30" s="151">
        <f>L29/L28</f>
        <v>13096.984023846155</v>
      </c>
      <c r="M30" s="165"/>
    </row>
    <row r="31" spans="1:13" ht="89.25">
      <c r="A31" s="176"/>
      <c r="B31" s="31" t="s">
        <v>132</v>
      </c>
      <c r="C31" s="31" t="s">
        <v>133</v>
      </c>
      <c r="D31" s="31" t="s">
        <v>134</v>
      </c>
      <c r="E31" s="23" t="s">
        <v>135</v>
      </c>
      <c r="F31" s="23" t="s">
        <v>136</v>
      </c>
      <c r="G31" s="23" t="s">
        <v>137</v>
      </c>
      <c r="H31" s="23" t="s">
        <v>138</v>
      </c>
      <c r="I31" s="23" t="s">
        <v>139</v>
      </c>
      <c r="J31" s="23" t="s">
        <v>140</v>
      </c>
      <c r="K31" s="23" t="s">
        <v>141</v>
      </c>
      <c r="L31" s="32" t="s">
        <v>142</v>
      </c>
      <c r="M31" s="448" t="s">
        <v>143</v>
      </c>
    </row>
    <row r="32" spans="1:13" ht="28.5">
      <c r="A32" s="445" t="s">
        <v>146</v>
      </c>
      <c r="B32" s="52">
        <v>1</v>
      </c>
      <c r="C32" s="33" t="s">
        <v>157</v>
      </c>
      <c r="D32" s="107" t="s">
        <v>158</v>
      </c>
      <c r="E32" s="34">
        <v>42003</v>
      </c>
      <c r="F32" s="34">
        <v>42947</v>
      </c>
      <c r="G32" s="54">
        <v>737717</v>
      </c>
      <c r="H32" s="33" t="s">
        <v>159</v>
      </c>
      <c r="I32" s="35">
        <v>0.33329999999999999</v>
      </c>
      <c r="J32" s="38">
        <v>60212084569</v>
      </c>
      <c r="K32" s="153">
        <f t="shared" ref="K32:K36" si="2">I32*J32</f>
        <v>20068687786.847698</v>
      </c>
      <c r="L32" s="56">
        <f t="shared" ref="L32:L36" si="3">K32/G32</f>
        <v>27203.775684778444</v>
      </c>
      <c r="M32" s="449">
        <v>20</v>
      </c>
    </row>
    <row r="33" spans="1:13" ht="28.5">
      <c r="A33" s="176"/>
      <c r="B33" s="52">
        <v>2</v>
      </c>
      <c r="C33" s="33" t="s">
        <v>160</v>
      </c>
      <c r="D33" s="107" t="s">
        <v>161</v>
      </c>
      <c r="E33" s="34">
        <v>43449</v>
      </c>
      <c r="F33" s="34">
        <v>44188</v>
      </c>
      <c r="G33" s="54">
        <v>877803</v>
      </c>
      <c r="H33" s="33" t="s">
        <v>162</v>
      </c>
      <c r="I33" s="35">
        <v>1</v>
      </c>
      <c r="J33" s="38">
        <v>28432016854</v>
      </c>
      <c r="K33" s="153">
        <f t="shared" si="2"/>
        <v>28432016854</v>
      </c>
      <c r="L33" s="56">
        <f t="shared" si="3"/>
        <v>32389.974577439356</v>
      </c>
      <c r="M33" s="449">
        <v>93</v>
      </c>
    </row>
    <row r="34" spans="1:13" ht="28.5">
      <c r="A34" s="176"/>
      <c r="B34" s="52">
        <v>3</v>
      </c>
      <c r="C34" s="33" t="s">
        <v>163</v>
      </c>
      <c r="D34" s="107" t="s">
        <v>161</v>
      </c>
      <c r="E34" s="34">
        <v>41579</v>
      </c>
      <c r="F34" s="34">
        <v>42705</v>
      </c>
      <c r="G34" s="54">
        <v>689455</v>
      </c>
      <c r="H34" s="33" t="s">
        <v>162</v>
      </c>
      <c r="I34" s="35">
        <v>1</v>
      </c>
      <c r="J34" s="38">
        <v>20442500363</v>
      </c>
      <c r="K34" s="153">
        <f t="shared" si="2"/>
        <v>20442500363</v>
      </c>
      <c r="L34" s="56">
        <f t="shared" si="3"/>
        <v>29650.231506044631</v>
      </c>
      <c r="M34" s="449">
        <v>44</v>
      </c>
    </row>
    <row r="35" spans="1:13">
      <c r="A35" s="176"/>
      <c r="B35" s="52">
        <v>4</v>
      </c>
      <c r="C35" s="33" t="s">
        <v>164</v>
      </c>
      <c r="D35" s="107" t="s">
        <v>165</v>
      </c>
      <c r="E35" s="34">
        <v>41821</v>
      </c>
      <c r="F35" s="34">
        <v>42429</v>
      </c>
      <c r="G35" s="54">
        <v>689455</v>
      </c>
      <c r="H35" s="33" t="s">
        <v>162</v>
      </c>
      <c r="I35" s="35">
        <v>1</v>
      </c>
      <c r="J35" s="38">
        <v>28380556098</v>
      </c>
      <c r="K35" s="153">
        <f t="shared" si="2"/>
        <v>28380556098</v>
      </c>
      <c r="L35" s="56">
        <f t="shared" si="3"/>
        <v>41163.754121733837</v>
      </c>
      <c r="M35" s="449">
        <v>43</v>
      </c>
    </row>
    <row r="36" spans="1:13">
      <c r="A36" s="176"/>
      <c r="B36" s="52">
        <v>5</v>
      </c>
      <c r="C36" s="33" t="s">
        <v>166</v>
      </c>
      <c r="D36" s="107" t="s">
        <v>148</v>
      </c>
      <c r="E36" s="34">
        <v>42917</v>
      </c>
      <c r="F36" s="34">
        <v>43555</v>
      </c>
      <c r="G36" s="54">
        <v>828116</v>
      </c>
      <c r="H36" s="33" t="s">
        <v>162</v>
      </c>
      <c r="I36" s="35">
        <v>1</v>
      </c>
      <c r="J36" s="38">
        <v>13627878298</v>
      </c>
      <c r="K36" s="153">
        <f t="shared" si="2"/>
        <v>13627878298</v>
      </c>
      <c r="L36" s="56">
        <f t="shared" si="3"/>
        <v>16456.484717116924</v>
      </c>
      <c r="M36" s="449">
        <v>82</v>
      </c>
    </row>
    <row r="37" spans="1:13">
      <c r="A37" s="176"/>
      <c r="B37" s="586" t="s">
        <v>155</v>
      </c>
      <c r="C37" s="717"/>
      <c r="D37" s="717"/>
      <c r="E37" s="717"/>
      <c r="F37" s="717"/>
      <c r="G37" s="717"/>
      <c r="H37" s="717"/>
      <c r="I37" s="717"/>
      <c r="J37" s="717"/>
      <c r="K37" s="717"/>
      <c r="L37" s="56">
        <f>SUM(L32:L36)</f>
        <v>146864.22060711318</v>
      </c>
      <c r="M37" s="165"/>
    </row>
    <row r="38" spans="1:13">
      <c r="A38" s="176"/>
      <c r="B38" s="24"/>
      <c r="C38" s="25"/>
      <c r="D38" s="25"/>
      <c r="E38" s="25"/>
      <c r="F38" s="25"/>
      <c r="G38" s="25"/>
      <c r="H38" s="25"/>
      <c r="I38" s="25"/>
      <c r="J38" s="25"/>
      <c r="K38" s="25"/>
      <c r="L38" s="154"/>
      <c r="M38" s="165"/>
    </row>
    <row r="39" spans="1:13" ht="15">
      <c r="A39" s="176"/>
      <c r="B39" s="582" t="str">
        <f>B22</f>
        <v>Sumatoria (Del valor total hasta seis contratos ejecutados) / Valor del presupuesto oficial en SMMLV del año 2024</v>
      </c>
      <c r="C39" s="718"/>
      <c r="D39" s="718"/>
      <c r="E39" s="718"/>
      <c r="F39" s="718"/>
      <c r="G39" s="718"/>
      <c r="H39" s="718"/>
      <c r="I39" s="718"/>
      <c r="J39" s="718"/>
      <c r="K39" s="719"/>
      <c r="L39" s="155">
        <f>L37/L30</f>
        <v>11.213590880137913</v>
      </c>
      <c r="M39" s="165"/>
    </row>
    <row r="40" spans="1:13" ht="15">
      <c r="A40" s="176"/>
      <c r="B40" s="26"/>
      <c r="C40" s="26"/>
      <c r="D40" s="26"/>
      <c r="E40" s="26"/>
      <c r="F40" s="26"/>
      <c r="G40" s="26"/>
      <c r="H40" s="26"/>
      <c r="I40" s="26"/>
      <c r="J40" s="26"/>
      <c r="K40" s="26"/>
      <c r="L40" s="156" t="str">
        <f>IF(L39&gt;2.5,"CUMPLE", "NO CUMPLE")</f>
        <v>CUMPLE</v>
      </c>
      <c r="M40" s="165"/>
    </row>
    <row r="41" spans="1:13">
      <c r="A41" s="176"/>
      <c r="B41" s="26"/>
      <c r="C41" s="26"/>
      <c r="D41" s="447"/>
      <c r="E41" s="26"/>
      <c r="F41" s="26"/>
      <c r="G41" s="26"/>
      <c r="H41" s="26"/>
      <c r="I41" s="26"/>
      <c r="J41" s="190"/>
      <c r="K41" s="26"/>
      <c r="L41" s="26"/>
      <c r="M41" s="165"/>
    </row>
    <row r="42" spans="1:13">
      <c r="A42" s="176"/>
      <c r="B42" s="26"/>
      <c r="C42" s="26"/>
      <c r="D42" s="26"/>
      <c r="E42" s="26"/>
      <c r="F42" s="26"/>
      <c r="G42" s="26"/>
      <c r="H42" s="26"/>
      <c r="I42" s="26"/>
      <c r="J42" s="306"/>
      <c r="K42" s="26"/>
      <c r="L42" s="26"/>
      <c r="M42" s="165"/>
    </row>
    <row r="43" spans="1:13">
      <c r="A43" s="176"/>
      <c r="B43" s="26"/>
      <c r="C43" s="26"/>
      <c r="D43" s="26"/>
      <c r="E43" s="26"/>
      <c r="F43" s="26"/>
      <c r="G43" s="26"/>
      <c r="H43" s="26"/>
      <c r="I43" s="26"/>
      <c r="J43" s="26"/>
      <c r="K43" s="26"/>
      <c r="L43" s="26"/>
      <c r="M43" s="165"/>
    </row>
    <row r="44" spans="1:13">
      <c r="A44" s="176"/>
      <c r="B44" s="26"/>
      <c r="C44" s="26"/>
      <c r="D44" s="26"/>
      <c r="E44" s="26"/>
      <c r="F44" s="26"/>
      <c r="G44" s="26"/>
      <c r="H44" s="26"/>
      <c r="I44" s="26"/>
      <c r="J44" s="26"/>
      <c r="K44" s="26"/>
      <c r="L44" s="26"/>
      <c r="M44" s="165"/>
    </row>
    <row r="45" spans="1:13">
      <c r="A45" s="176"/>
      <c r="B45" s="26"/>
      <c r="C45" s="26"/>
      <c r="D45" s="26"/>
      <c r="E45" s="26"/>
      <c r="F45" s="26"/>
      <c r="G45" s="26"/>
      <c r="H45" s="26"/>
      <c r="I45" s="26"/>
      <c r="J45" s="26"/>
      <c r="K45" s="18" t="str">
        <f>K28</f>
        <v>SMMLV 2024</v>
      </c>
      <c r="L45" s="19">
        <f>L28</f>
        <v>1300000</v>
      </c>
      <c r="M45" s="165"/>
    </row>
    <row r="46" spans="1:13" ht="26.25">
      <c r="A46" s="176"/>
      <c r="B46" s="26"/>
      <c r="C46" s="26"/>
      <c r="D46" s="26"/>
      <c r="E46" s="26"/>
      <c r="F46" s="26"/>
      <c r="G46" s="26"/>
      <c r="H46" s="26"/>
      <c r="I46" s="26"/>
      <c r="J46" s="26"/>
      <c r="K46" s="18" t="s">
        <v>130</v>
      </c>
      <c r="L46" s="20">
        <f>'4.Financieros'!$B$10</f>
        <v>17026079231</v>
      </c>
      <c r="M46" s="165"/>
    </row>
    <row r="47" spans="1:13" ht="51">
      <c r="A47" s="176"/>
      <c r="B47" s="583" t="str">
        <f>'4.Financieros'!J11</f>
        <v>EXPERTOS SEGURIDAD LTDA</v>
      </c>
      <c r="C47" s="583"/>
      <c r="D47" s="583"/>
      <c r="E47" s="583"/>
      <c r="F47" s="583"/>
      <c r="G47" s="583"/>
      <c r="H47" s="583"/>
      <c r="I47" s="583"/>
      <c r="J47" s="583"/>
      <c r="K47" s="30" t="s">
        <v>131</v>
      </c>
      <c r="L47" s="151">
        <f>L46/L45</f>
        <v>13096.984023846155</v>
      </c>
      <c r="M47" s="165"/>
    </row>
    <row r="48" spans="1:13" ht="89.25">
      <c r="A48" s="176"/>
      <c r="B48" s="31" t="s">
        <v>132</v>
      </c>
      <c r="C48" s="31" t="s">
        <v>133</v>
      </c>
      <c r="D48" s="31" t="s">
        <v>134</v>
      </c>
      <c r="E48" s="23" t="s">
        <v>135</v>
      </c>
      <c r="F48" s="23" t="s">
        <v>136</v>
      </c>
      <c r="G48" s="23" t="s">
        <v>137</v>
      </c>
      <c r="H48" s="23" t="s">
        <v>138</v>
      </c>
      <c r="I48" s="23" t="s">
        <v>139</v>
      </c>
      <c r="J48" s="23" t="s">
        <v>140</v>
      </c>
      <c r="K48" s="23" t="s">
        <v>141</v>
      </c>
      <c r="L48" s="32" t="s">
        <v>142</v>
      </c>
      <c r="M48" s="443" t="s">
        <v>143</v>
      </c>
    </row>
    <row r="49" spans="1:13">
      <c r="A49" s="445" t="s">
        <v>146</v>
      </c>
      <c r="B49" s="152">
        <v>1</v>
      </c>
      <c r="C49" s="36" t="s">
        <v>167</v>
      </c>
      <c r="D49" s="107" t="s">
        <v>168</v>
      </c>
      <c r="E49" s="34">
        <v>43464</v>
      </c>
      <c r="F49" s="34">
        <v>44043</v>
      </c>
      <c r="G49" s="53">
        <v>877802</v>
      </c>
      <c r="H49" s="52" t="s">
        <v>151</v>
      </c>
      <c r="I49" s="55">
        <v>0.33</v>
      </c>
      <c r="J49" s="50">
        <v>31496356764</v>
      </c>
      <c r="K49" s="153">
        <f>I49*J49</f>
        <v>10393797732.120001</v>
      </c>
      <c r="L49" s="37">
        <f>35874.62*33%</f>
        <v>11838.624600000001</v>
      </c>
      <c r="M49" s="450">
        <v>102</v>
      </c>
    </row>
    <row r="50" spans="1:13">
      <c r="A50" s="176"/>
      <c r="B50" s="152">
        <v>2</v>
      </c>
      <c r="C50" s="36">
        <v>201900134</v>
      </c>
      <c r="D50" s="107" t="s">
        <v>169</v>
      </c>
      <c r="E50" s="34">
        <v>43638</v>
      </c>
      <c r="F50" s="34">
        <v>44187</v>
      </c>
      <c r="G50" s="53">
        <v>877802</v>
      </c>
      <c r="H50" s="52" t="s">
        <v>145</v>
      </c>
      <c r="I50" s="55">
        <v>1</v>
      </c>
      <c r="J50" s="50">
        <v>15692664849</v>
      </c>
      <c r="K50" s="153">
        <f t="shared" ref="K50:K54" si="4">I50*J50</f>
        <v>15692664849</v>
      </c>
      <c r="L50" s="37">
        <f>17877.2</f>
        <v>17877.2</v>
      </c>
      <c r="M50" s="444">
        <v>100</v>
      </c>
    </row>
    <row r="51" spans="1:13">
      <c r="A51" s="176"/>
      <c r="B51" s="152">
        <v>3</v>
      </c>
      <c r="C51" s="36">
        <v>201700179</v>
      </c>
      <c r="D51" s="107" t="s">
        <v>169</v>
      </c>
      <c r="E51" s="34">
        <v>42907</v>
      </c>
      <c r="F51" s="34">
        <v>43637</v>
      </c>
      <c r="G51" s="53">
        <v>828116</v>
      </c>
      <c r="H51" s="52" t="s">
        <v>145</v>
      </c>
      <c r="I51" s="55">
        <v>1</v>
      </c>
      <c r="J51" s="50">
        <v>23024564475</v>
      </c>
      <c r="K51" s="153">
        <f t="shared" si="4"/>
        <v>23024564475</v>
      </c>
      <c r="L51" s="37">
        <v>27803.54</v>
      </c>
      <c r="M51" s="444">
        <v>99</v>
      </c>
    </row>
    <row r="52" spans="1:13">
      <c r="A52" s="176"/>
      <c r="B52" s="152">
        <v>4</v>
      </c>
      <c r="C52" s="36" t="s">
        <v>170</v>
      </c>
      <c r="D52" s="107" t="s">
        <v>171</v>
      </c>
      <c r="E52" s="34">
        <v>43086</v>
      </c>
      <c r="F52" s="34">
        <v>44547</v>
      </c>
      <c r="G52" s="53">
        <v>908526</v>
      </c>
      <c r="H52" s="52" t="s">
        <v>145</v>
      </c>
      <c r="I52" s="55">
        <v>1</v>
      </c>
      <c r="J52" s="50">
        <v>8400000000</v>
      </c>
      <c r="K52" s="153">
        <f t="shared" si="4"/>
        <v>8400000000</v>
      </c>
      <c r="L52" s="37">
        <v>9245.74</v>
      </c>
      <c r="M52" s="444">
        <v>128</v>
      </c>
    </row>
    <row r="53" spans="1:13" ht="42.75">
      <c r="A53" s="176"/>
      <c r="B53" s="152">
        <v>5</v>
      </c>
      <c r="C53" s="36" t="s">
        <v>172</v>
      </c>
      <c r="D53" s="107" t="s">
        <v>173</v>
      </c>
      <c r="E53" s="34">
        <v>44896</v>
      </c>
      <c r="F53" s="34">
        <v>45277</v>
      </c>
      <c r="G53" s="53">
        <v>1160000</v>
      </c>
      <c r="H53" s="52" t="s">
        <v>151</v>
      </c>
      <c r="I53" s="55">
        <v>0.4</v>
      </c>
      <c r="J53" s="50">
        <v>1302822728</v>
      </c>
      <c r="K53" s="153">
        <f t="shared" si="4"/>
        <v>521129091.20000005</v>
      </c>
      <c r="L53" s="56">
        <f>1123.12*40%</f>
        <v>449.24799999999999</v>
      </c>
      <c r="M53" s="444">
        <v>127</v>
      </c>
    </row>
    <row r="54" spans="1:13">
      <c r="A54" s="176"/>
      <c r="B54" s="152">
        <v>6</v>
      </c>
      <c r="C54" s="36">
        <v>201500582</v>
      </c>
      <c r="D54" s="107" t="s">
        <v>169</v>
      </c>
      <c r="E54" s="34">
        <v>42339</v>
      </c>
      <c r="F54" s="34">
        <v>42906</v>
      </c>
      <c r="G54" s="53">
        <v>737717</v>
      </c>
      <c r="H54" s="51" t="s">
        <v>145</v>
      </c>
      <c r="I54" s="55">
        <v>1</v>
      </c>
      <c r="J54" s="50">
        <v>18967458632</v>
      </c>
      <c r="K54" s="153">
        <f t="shared" si="4"/>
        <v>18967458632</v>
      </c>
      <c r="L54" s="56">
        <v>25711.02</v>
      </c>
      <c r="M54" s="451">
        <v>78</v>
      </c>
    </row>
    <row r="55" spans="1:13">
      <c r="A55" s="176"/>
      <c r="B55" s="584" t="s">
        <v>155</v>
      </c>
      <c r="C55" s="720"/>
      <c r="D55" s="720"/>
      <c r="E55" s="720"/>
      <c r="F55" s="720"/>
      <c r="G55" s="720"/>
      <c r="H55" s="720"/>
      <c r="I55" s="720"/>
      <c r="J55" s="720"/>
      <c r="K55" s="720"/>
      <c r="L55" s="157">
        <f>SUM(L49:L54)</f>
        <v>92925.372600000017</v>
      </c>
      <c r="M55" s="165"/>
    </row>
    <row r="56" spans="1:13">
      <c r="A56" s="176"/>
      <c r="B56" s="21"/>
      <c r="C56" s="22"/>
      <c r="D56" s="22"/>
      <c r="E56" s="22"/>
      <c r="F56" s="22"/>
      <c r="G56" s="22"/>
      <c r="H56" s="22"/>
      <c r="I56" s="22"/>
      <c r="J56" s="22"/>
      <c r="K56" s="22"/>
      <c r="L56" s="154"/>
      <c r="M56" s="165"/>
    </row>
    <row r="57" spans="1:13" ht="15">
      <c r="A57" s="176"/>
      <c r="B57" s="582" t="str">
        <f>B39</f>
        <v>Sumatoria (Del valor total hasta seis contratos ejecutados) / Valor del presupuesto oficial en SMMLV del año 2024</v>
      </c>
      <c r="C57" s="718"/>
      <c r="D57" s="718"/>
      <c r="E57" s="718"/>
      <c r="F57" s="718"/>
      <c r="G57" s="718"/>
      <c r="H57" s="718"/>
      <c r="I57" s="718"/>
      <c r="J57" s="718"/>
      <c r="K57" s="719"/>
      <c r="L57" s="155">
        <f>L55/L47</f>
        <v>7.0951733949440126</v>
      </c>
      <c r="M57" s="165"/>
    </row>
    <row r="58" spans="1:13" ht="15">
      <c r="A58" s="176"/>
      <c r="B58" s="26"/>
      <c r="C58" s="26"/>
      <c r="D58" s="26"/>
      <c r="E58" s="26"/>
      <c r="F58" s="26"/>
      <c r="G58" s="26"/>
      <c r="H58" s="26"/>
      <c r="I58" s="26"/>
      <c r="J58" s="26"/>
      <c r="K58" s="26"/>
      <c r="L58" s="156" t="str">
        <f>IF(L57&gt;2.5,"CUMPLE", "NO CUMPLE")</f>
        <v>CUMPLE</v>
      </c>
      <c r="M58" s="165"/>
    </row>
    <row r="59" spans="1:13">
      <c r="A59" s="176"/>
      <c r="B59" s="26"/>
      <c r="C59" s="26"/>
      <c r="D59" s="26"/>
      <c r="E59" s="26"/>
      <c r="F59" s="26"/>
      <c r="G59" s="26"/>
      <c r="H59" s="26"/>
      <c r="I59" s="26"/>
      <c r="J59" s="26"/>
      <c r="K59" s="26"/>
      <c r="L59" s="26"/>
      <c r="M59" s="165"/>
    </row>
    <row r="60" spans="1:13">
      <c r="A60" s="176"/>
      <c r="B60" s="26"/>
      <c r="C60" s="26"/>
      <c r="D60" s="26"/>
      <c r="E60" s="26"/>
      <c r="F60" s="26"/>
      <c r="G60" s="26"/>
      <c r="H60" s="26"/>
      <c r="I60" s="26"/>
      <c r="J60" s="26"/>
      <c r="K60" s="26"/>
      <c r="L60" s="26"/>
      <c r="M60" s="165"/>
    </row>
    <row r="61" spans="1:13">
      <c r="A61" s="176"/>
      <c r="B61" s="26"/>
      <c r="C61" s="26"/>
      <c r="D61" s="26"/>
      <c r="E61" s="26"/>
      <c r="F61" s="26"/>
      <c r="G61" s="26"/>
      <c r="H61" s="26"/>
      <c r="I61" s="26"/>
      <c r="J61" s="26"/>
      <c r="K61" s="26"/>
      <c r="L61" s="26"/>
      <c r="M61" s="165"/>
    </row>
    <row r="62" spans="1:13">
      <c r="A62" s="176"/>
      <c r="B62" s="26"/>
      <c r="C62" s="26"/>
      <c r="D62" s="26"/>
      <c r="E62" s="26"/>
      <c r="F62" s="26"/>
      <c r="G62" s="26"/>
      <c r="H62" s="26"/>
      <c r="I62" s="26"/>
      <c r="J62" s="26"/>
      <c r="K62" s="26"/>
      <c r="L62" s="26"/>
      <c r="M62" s="165"/>
    </row>
    <row r="63" spans="1:13">
      <c r="A63" s="176"/>
      <c r="B63" s="26"/>
      <c r="C63" s="26"/>
      <c r="D63" s="26"/>
      <c r="E63" s="26"/>
      <c r="F63" s="26"/>
      <c r="G63" s="26"/>
      <c r="H63" s="26"/>
      <c r="I63" s="26"/>
      <c r="J63" s="26"/>
      <c r="K63" s="26"/>
      <c r="L63" s="26"/>
      <c r="M63" s="165"/>
    </row>
    <row r="64" spans="1:13">
      <c r="A64" s="176"/>
      <c r="B64" s="26"/>
      <c r="C64" s="26"/>
      <c r="D64" s="26"/>
      <c r="E64" s="26"/>
      <c r="F64" s="26"/>
      <c r="G64" s="26"/>
      <c r="H64" s="26"/>
      <c r="I64" s="26"/>
      <c r="J64" s="26"/>
      <c r="K64" s="18" t="str">
        <f>K45</f>
        <v>SMMLV 2024</v>
      </c>
      <c r="L64" s="19">
        <f>L45</f>
        <v>1300000</v>
      </c>
      <c r="M64" s="165"/>
    </row>
    <row r="65" spans="1:13" ht="26.25">
      <c r="A65" s="176"/>
      <c r="B65" s="26"/>
      <c r="C65" s="26"/>
      <c r="D65" s="26"/>
      <c r="E65" s="26"/>
      <c r="F65" s="26"/>
      <c r="G65" s="26"/>
      <c r="H65" s="26"/>
      <c r="I65" s="26"/>
      <c r="J65" s="26"/>
      <c r="K65" s="18" t="s">
        <v>130</v>
      </c>
      <c r="L65" s="20">
        <f>'4.Financieros'!$B$10</f>
        <v>17026079231</v>
      </c>
      <c r="M65" s="165"/>
    </row>
    <row r="66" spans="1:13" ht="51">
      <c r="A66" s="176"/>
      <c r="B66" s="591" t="str">
        <f>'4.Financieros'!M11</f>
        <v>MIRO SEGURIDAD LTDA</v>
      </c>
      <c r="C66" s="592"/>
      <c r="D66" s="592"/>
      <c r="E66" s="592"/>
      <c r="F66" s="592"/>
      <c r="G66" s="592"/>
      <c r="H66" s="592"/>
      <c r="I66" s="592"/>
      <c r="J66" s="592"/>
      <c r="K66" s="30" t="s">
        <v>131</v>
      </c>
      <c r="L66" s="151">
        <f>L65/L64</f>
        <v>13096.984023846155</v>
      </c>
      <c r="M66" s="165"/>
    </row>
    <row r="67" spans="1:13" ht="89.25">
      <c r="A67" s="176"/>
      <c r="B67" s="39" t="s">
        <v>132</v>
      </c>
      <c r="C67" s="31" t="s">
        <v>133</v>
      </c>
      <c r="D67" s="31" t="s">
        <v>134</v>
      </c>
      <c r="E67" s="23" t="s">
        <v>135</v>
      </c>
      <c r="F67" s="23" t="s">
        <v>136</v>
      </c>
      <c r="G67" s="23" t="s">
        <v>137</v>
      </c>
      <c r="H67" s="23" t="s">
        <v>138</v>
      </c>
      <c r="I67" s="23" t="s">
        <v>139</v>
      </c>
      <c r="J67" s="23" t="s">
        <v>140</v>
      </c>
      <c r="K67" s="23" t="s">
        <v>141</v>
      </c>
      <c r="L67" s="32" t="s">
        <v>142</v>
      </c>
      <c r="M67" s="452" t="s">
        <v>143</v>
      </c>
    </row>
    <row r="68" spans="1:13" ht="28.5">
      <c r="A68" s="176"/>
      <c r="B68" s="158">
        <v>1</v>
      </c>
      <c r="C68" s="33" t="s">
        <v>174</v>
      </c>
      <c r="D68" s="108" t="s">
        <v>175</v>
      </c>
      <c r="E68" s="34">
        <v>43070</v>
      </c>
      <c r="F68" s="34">
        <v>43356</v>
      </c>
      <c r="G68" s="53">
        <v>781242</v>
      </c>
      <c r="H68" s="51" t="s">
        <v>145</v>
      </c>
      <c r="I68" s="55">
        <v>1</v>
      </c>
      <c r="J68" s="33">
        <v>3495457121</v>
      </c>
      <c r="K68" s="153">
        <f>I68*J68</f>
        <v>3495457121</v>
      </c>
      <c r="L68" s="56">
        <f t="shared" ref="L68" si="5">K68/G68</f>
        <v>4474.2309310047331</v>
      </c>
      <c r="M68" s="453">
        <v>73</v>
      </c>
    </row>
    <row r="69" spans="1:13">
      <c r="A69" s="176"/>
      <c r="B69" s="158">
        <v>2</v>
      </c>
      <c r="C69" s="33">
        <v>201500585</v>
      </c>
      <c r="D69" s="108" t="s">
        <v>169</v>
      </c>
      <c r="E69" s="34">
        <v>42339</v>
      </c>
      <c r="F69" s="34">
        <v>42906</v>
      </c>
      <c r="G69" s="53">
        <v>737717</v>
      </c>
      <c r="H69" s="51" t="s">
        <v>145</v>
      </c>
      <c r="I69" s="55">
        <v>1</v>
      </c>
      <c r="J69" s="33">
        <v>19706572244</v>
      </c>
      <c r="K69" s="153">
        <f t="shared" ref="K69:K73" si="6">I69*J69</f>
        <v>19706572244</v>
      </c>
      <c r="L69" s="37">
        <v>26712.91</v>
      </c>
      <c r="M69" s="453">
        <v>77</v>
      </c>
    </row>
    <row r="70" spans="1:13">
      <c r="A70" s="176"/>
      <c r="B70" s="158">
        <v>3</v>
      </c>
      <c r="C70" s="33" t="s">
        <v>176</v>
      </c>
      <c r="D70" s="109" t="s">
        <v>177</v>
      </c>
      <c r="E70" s="34">
        <v>42593</v>
      </c>
      <c r="F70" s="34">
        <v>43661</v>
      </c>
      <c r="G70" s="53">
        <v>828116</v>
      </c>
      <c r="H70" s="33" t="s">
        <v>159</v>
      </c>
      <c r="I70" s="55">
        <v>0.4</v>
      </c>
      <c r="J70" s="33">
        <v>23089323976</v>
      </c>
      <c r="K70" s="153">
        <f t="shared" si="6"/>
        <v>9235729590.3999996</v>
      </c>
      <c r="L70" s="37">
        <f>27899.73*40%</f>
        <v>11159.892</v>
      </c>
      <c r="M70" s="453">
        <v>78</v>
      </c>
    </row>
    <row r="71" spans="1:13">
      <c r="A71" s="176"/>
      <c r="B71" s="159">
        <v>4</v>
      </c>
      <c r="C71" s="33" t="s">
        <v>178</v>
      </c>
      <c r="D71" s="108" t="s">
        <v>179</v>
      </c>
      <c r="E71" s="34">
        <v>41991</v>
      </c>
      <c r="F71" s="34">
        <v>42765</v>
      </c>
      <c r="G71" s="53">
        <v>737717</v>
      </c>
      <c r="H71" s="51" t="s">
        <v>145</v>
      </c>
      <c r="I71" s="55">
        <v>1</v>
      </c>
      <c r="J71" s="33">
        <v>16197068862</v>
      </c>
      <c r="K71" s="153">
        <f t="shared" si="6"/>
        <v>16197068862</v>
      </c>
      <c r="L71" s="37">
        <v>21955.66</v>
      </c>
      <c r="M71" s="453">
        <v>79</v>
      </c>
    </row>
    <row r="72" spans="1:13">
      <c r="A72" s="176"/>
      <c r="B72" s="160">
        <v>5</v>
      </c>
      <c r="C72" s="33" t="s">
        <v>180</v>
      </c>
      <c r="D72" s="108" t="s">
        <v>181</v>
      </c>
      <c r="E72" s="34">
        <v>43956</v>
      </c>
      <c r="F72" s="34">
        <v>44319</v>
      </c>
      <c r="G72" s="53">
        <v>908526</v>
      </c>
      <c r="H72" s="51" t="s">
        <v>159</v>
      </c>
      <c r="I72" s="55">
        <v>0.45</v>
      </c>
      <c r="J72" s="33">
        <v>10323619940</v>
      </c>
      <c r="K72" s="153">
        <f t="shared" si="6"/>
        <v>4645628973</v>
      </c>
      <c r="L72" s="56">
        <f>11363.04*45%</f>
        <v>5113.3680000000004</v>
      </c>
      <c r="M72" s="453">
        <v>84</v>
      </c>
    </row>
    <row r="73" spans="1:13">
      <c r="A73" s="445" t="s">
        <v>146</v>
      </c>
      <c r="B73" s="160">
        <v>6</v>
      </c>
      <c r="C73" s="33" t="s">
        <v>182</v>
      </c>
      <c r="D73" s="108" t="s">
        <v>183</v>
      </c>
      <c r="E73" s="34">
        <v>44136</v>
      </c>
      <c r="F73" s="34">
        <v>44687</v>
      </c>
      <c r="G73" s="53">
        <v>1000000</v>
      </c>
      <c r="H73" s="51" t="s">
        <v>145</v>
      </c>
      <c r="I73" s="55">
        <v>1</v>
      </c>
      <c r="J73" s="33">
        <v>13249641585</v>
      </c>
      <c r="K73" s="153">
        <f t="shared" si="6"/>
        <v>13249641585</v>
      </c>
      <c r="L73" s="56">
        <f>K73/G73</f>
        <v>13249.641584999999</v>
      </c>
      <c r="M73" s="453">
        <v>85</v>
      </c>
    </row>
    <row r="74" spans="1:13">
      <c r="A74" s="176"/>
      <c r="B74" s="584" t="s">
        <v>155</v>
      </c>
      <c r="C74" s="720"/>
      <c r="D74" s="720"/>
      <c r="E74" s="720"/>
      <c r="F74" s="720"/>
      <c r="G74" s="720"/>
      <c r="H74" s="720"/>
      <c r="I74" s="720"/>
      <c r="J74" s="720"/>
      <c r="K74" s="720"/>
      <c r="L74" s="157">
        <f>SUM(L68:L73)</f>
        <v>82665.702516004734</v>
      </c>
      <c r="M74" s="165"/>
    </row>
    <row r="75" spans="1:13">
      <c r="A75" s="176"/>
      <c r="B75" s="21"/>
      <c r="C75" s="22"/>
      <c r="D75" s="22"/>
      <c r="E75" s="22"/>
      <c r="F75" s="22"/>
      <c r="G75" s="22"/>
      <c r="H75" s="22"/>
      <c r="I75" s="22"/>
      <c r="J75" s="22"/>
      <c r="K75" s="22"/>
      <c r="L75" s="154"/>
      <c r="M75" s="165"/>
    </row>
    <row r="76" spans="1:13" ht="15">
      <c r="A76" s="176"/>
      <c r="B76" s="582" t="str">
        <f>B57</f>
        <v>Sumatoria (Del valor total hasta seis contratos ejecutados) / Valor del presupuesto oficial en SMMLV del año 2024</v>
      </c>
      <c r="C76" s="718"/>
      <c r="D76" s="718"/>
      <c r="E76" s="718"/>
      <c r="F76" s="718"/>
      <c r="G76" s="718"/>
      <c r="H76" s="718"/>
      <c r="I76" s="718"/>
      <c r="J76" s="718"/>
      <c r="K76" s="719"/>
      <c r="L76" s="155">
        <f>L74/L66</f>
        <v>6.3118121214389733</v>
      </c>
      <c r="M76" s="165"/>
    </row>
    <row r="77" spans="1:13" ht="15">
      <c r="A77" s="176"/>
      <c r="B77" s="26"/>
      <c r="C77" s="26"/>
      <c r="D77" s="26"/>
      <c r="E77" s="26"/>
      <c r="F77" s="26"/>
      <c r="G77" s="26"/>
      <c r="H77" s="26"/>
      <c r="I77" s="26"/>
      <c r="J77" s="26"/>
      <c r="K77" s="26"/>
      <c r="L77" s="156" t="str">
        <f>IF(L76&gt;2.5,"CUMPLE", "NO CUMPLE")</f>
        <v>CUMPLE</v>
      </c>
      <c r="M77" s="165"/>
    </row>
    <row r="78" spans="1:13">
      <c r="A78" s="176"/>
      <c r="B78" s="26"/>
      <c r="C78" s="26"/>
      <c r="D78" s="26"/>
      <c r="E78" s="26"/>
      <c r="F78" s="26"/>
      <c r="G78" s="26"/>
      <c r="H78" s="26"/>
      <c r="I78" s="26"/>
      <c r="J78" s="26"/>
      <c r="K78" s="26"/>
      <c r="L78" s="26"/>
      <c r="M78" s="165"/>
    </row>
    <row r="79" spans="1:13">
      <c r="A79" s="176"/>
      <c r="B79" s="26"/>
      <c r="C79" s="26"/>
      <c r="D79" s="26"/>
      <c r="E79" s="26"/>
      <c r="F79" s="26"/>
      <c r="G79" s="26"/>
      <c r="H79" s="26"/>
      <c r="I79" s="26"/>
      <c r="J79" s="26"/>
      <c r="K79" s="26"/>
      <c r="L79" s="26"/>
      <c r="M79" s="165"/>
    </row>
    <row r="80" spans="1:13">
      <c r="A80" s="176"/>
      <c r="B80" s="447"/>
      <c r="C80" s="447"/>
      <c r="D80" s="447"/>
      <c r="E80" s="447"/>
      <c r="F80" s="447"/>
      <c r="G80" s="447"/>
      <c r="H80" s="447"/>
      <c r="I80" s="447"/>
      <c r="J80" s="447"/>
      <c r="K80" s="447"/>
      <c r="L80" s="447"/>
      <c r="M80" s="165"/>
    </row>
    <row r="81" spans="1:13">
      <c r="A81" s="176"/>
      <c r="B81" s="447"/>
      <c r="C81" s="447"/>
      <c r="D81" s="447"/>
      <c r="E81" s="447"/>
      <c r="F81" s="447"/>
      <c r="G81" s="447"/>
      <c r="H81" s="447"/>
      <c r="I81" s="447"/>
      <c r="J81" s="447"/>
      <c r="K81" s="447"/>
      <c r="L81" s="447"/>
      <c r="M81" s="165"/>
    </row>
    <row r="82" spans="1:13">
      <c r="A82" s="176"/>
      <c r="B82" s="26"/>
      <c r="C82" s="26"/>
      <c r="D82" s="26"/>
      <c r="E82" s="26"/>
      <c r="F82" s="26"/>
      <c r="G82" s="26"/>
      <c r="H82" s="26"/>
      <c r="I82" s="26"/>
      <c r="J82" s="26"/>
      <c r="K82" s="18" t="str">
        <f>K64</f>
        <v>SMMLV 2024</v>
      </c>
      <c r="L82" s="19">
        <f>L64</f>
        <v>1300000</v>
      </c>
      <c r="M82" s="165"/>
    </row>
    <row r="83" spans="1:13" ht="26.25">
      <c r="A83" s="176"/>
      <c r="B83" s="26"/>
      <c r="C83" s="26"/>
      <c r="D83" s="26"/>
      <c r="E83" s="26"/>
      <c r="F83" s="26"/>
      <c r="G83" s="26"/>
      <c r="H83" s="26"/>
      <c r="I83" s="26"/>
      <c r="J83" s="26"/>
      <c r="K83" s="18" t="s">
        <v>130</v>
      </c>
      <c r="L83" s="20">
        <f>'4.Financieros'!$B$10</f>
        <v>17026079231</v>
      </c>
      <c r="M83" s="165"/>
    </row>
    <row r="84" spans="1:13" ht="51">
      <c r="A84" s="176"/>
      <c r="B84" s="593" t="str">
        <f>'4.Financieros'!P11</f>
        <v>SERACIS LTDA</v>
      </c>
      <c r="C84" s="593"/>
      <c r="D84" s="593"/>
      <c r="E84" s="593"/>
      <c r="F84" s="593"/>
      <c r="G84" s="593"/>
      <c r="H84" s="593"/>
      <c r="I84" s="593"/>
      <c r="J84" s="593"/>
      <c r="K84" s="30" t="s">
        <v>131</v>
      </c>
      <c r="L84" s="151">
        <f>L83/L82</f>
        <v>13096.984023846155</v>
      </c>
      <c r="M84" s="165"/>
    </row>
    <row r="85" spans="1:13" ht="89.25">
      <c r="A85" s="176"/>
      <c r="B85" s="31" t="s">
        <v>132</v>
      </c>
      <c r="C85" s="31" t="s">
        <v>133</v>
      </c>
      <c r="D85" s="31" t="s">
        <v>134</v>
      </c>
      <c r="E85" s="23" t="s">
        <v>135</v>
      </c>
      <c r="F85" s="23" t="s">
        <v>136</v>
      </c>
      <c r="G85" s="23" t="s">
        <v>137</v>
      </c>
      <c r="H85" s="23" t="s">
        <v>138</v>
      </c>
      <c r="I85" s="23" t="s">
        <v>139</v>
      </c>
      <c r="J85" s="23" t="s">
        <v>140</v>
      </c>
      <c r="K85" s="23" t="s">
        <v>141</v>
      </c>
      <c r="L85" s="32" t="s">
        <v>142</v>
      </c>
      <c r="M85" s="452" t="s">
        <v>143</v>
      </c>
    </row>
    <row r="86" spans="1:13" ht="28.5">
      <c r="A86" s="176"/>
      <c r="B86" s="152">
        <v>1</v>
      </c>
      <c r="C86" s="36">
        <v>201700180</v>
      </c>
      <c r="D86" s="107" t="s">
        <v>184</v>
      </c>
      <c r="E86" s="57">
        <v>42907</v>
      </c>
      <c r="F86" s="57">
        <v>43637</v>
      </c>
      <c r="G86" s="53">
        <v>828116</v>
      </c>
      <c r="H86" s="51" t="s">
        <v>145</v>
      </c>
      <c r="I86" s="55">
        <v>1</v>
      </c>
      <c r="J86" s="50">
        <v>22373856595</v>
      </c>
      <c r="K86" s="153">
        <f t="shared" ref="K86:K91" si="7">I86*J86</f>
        <v>22373856595</v>
      </c>
      <c r="L86" s="56">
        <f t="shared" ref="L86:L91" si="8">K86/G86</f>
        <v>27017.780836259655</v>
      </c>
      <c r="M86" s="453">
        <v>45</v>
      </c>
    </row>
    <row r="87" spans="1:13" ht="28.5">
      <c r="A87" s="445" t="s">
        <v>146</v>
      </c>
      <c r="B87" s="152">
        <v>2</v>
      </c>
      <c r="C87" s="36" t="s">
        <v>185</v>
      </c>
      <c r="D87" s="107" t="s">
        <v>186</v>
      </c>
      <c r="E87" s="57">
        <v>43070</v>
      </c>
      <c r="F87" s="57">
        <v>43585</v>
      </c>
      <c r="G87" s="53">
        <v>828116</v>
      </c>
      <c r="H87" s="51" t="s">
        <v>145</v>
      </c>
      <c r="I87" s="55">
        <v>1</v>
      </c>
      <c r="J87" s="50">
        <v>7304566180</v>
      </c>
      <c r="K87" s="153">
        <f t="shared" si="7"/>
        <v>7304566180</v>
      </c>
      <c r="L87" s="56">
        <f t="shared" si="8"/>
        <v>8820.7040801047187</v>
      </c>
      <c r="M87" s="453">
        <v>46</v>
      </c>
    </row>
    <row r="88" spans="1:13" ht="28.5">
      <c r="A88" s="176"/>
      <c r="B88" s="152">
        <v>3</v>
      </c>
      <c r="C88" s="36">
        <v>201700180</v>
      </c>
      <c r="D88" s="107" t="s">
        <v>184</v>
      </c>
      <c r="E88" s="57">
        <v>43637</v>
      </c>
      <c r="F88" s="57">
        <v>44187</v>
      </c>
      <c r="G88" s="53">
        <v>877802</v>
      </c>
      <c r="H88" s="51" t="s">
        <v>145</v>
      </c>
      <c r="I88" s="55">
        <v>1</v>
      </c>
      <c r="J88" s="50">
        <v>15325229232</v>
      </c>
      <c r="K88" s="153">
        <f t="shared" si="7"/>
        <v>15325229232</v>
      </c>
      <c r="L88" s="56">
        <f t="shared" si="8"/>
        <v>17458.640139803738</v>
      </c>
      <c r="M88" s="453">
        <v>56</v>
      </c>
    </row>
    <row r="89" spans="1:13" ht="28.5">
      <c r="A89" s="176"/>
      <c r="B89" s="152">
        <v>4</v>
      </c>
      <c r="C89" s="36" t="s">
        <v>187</v>
      </c>
      <c r="D89" s="107" t="s">
        <v>188</v>
      </c>
      <c r="E89" s="57">
        <v>44652</v>
      </c>
      <c r="F89" s="57">
        <v>43951</v>
      </c>
      <c r="G89" s="53">
        <v>877802</v>
      </c>
      <c r="H89" s="51" t="s">
        <v>145</v>
      </c>
      <c r="I89" s="55">
        <v>1</v>
      </c>
      <c r="J89" s="50">
        <v>1209891888</v>
      </c>
      <c r="K89" s="153">
        <f t="shared" si="7"/>
        <v>1209891888</v>
      </c>
      <c r="L89" s="56">
        <f t="shared" si="8"/>
        <v>1378.3198124406188</v>
      </c>
      <c r="M89" s="454">
        <v>79</v>
      </c>
    </row>
    <row r="90" spans="1:13">
      <c r="A90" s="176"/>
      <c r="B90" s="152">
        <v>5</v>
      </c>
      <c r="C90" s="36" t="s">
        <v>189</v>
      </c>
      <c r="D90" s="107" t="s">
        <v>190</v>
      </c>
      <c r="E90" s="57">
        <v>44197</v>
      </c>
      <c r="F90" s="57">
        <v>44926</v>
      </c>
      <c r="G90" s="53">
        <v>1000000</v>
      </c>
      <c r="H90" s="51" t="s">
        <v>145</v>
      </c>
      <c r="I90" s="55">
        <v>1</v>
      </c>
      <c r="J90" s="50">
        <v>11365463484</v>
      </c>
      <c r="K90" s="153">
        <f t="shared" si="7"/>
        <v>11365463484</v>
      </c>
      <c r="L90" s="56">
        <f t="shared" si="8"/>
        <v>11365.463484</v>
      </c>
      <c r="M90" s="454">
        <v>75</v>
      </c>
    </row>
    <row r="91" spans="1:13">
      <c r="A91" s="176"/>
      <c r="B91" s="152">
        <v>6</v>
      </c>
      <c r="C91" s="36" t="s">
        <v>189</v>
      </c>
      <c r="D91" s="107" t="s">
        <v>191</v>
      </c>
      <c r="E91" s="57">
        <v>44197</v>
      </c>
      <c r="F91" s="57">
        <v>44926</v>
      </c>
      <c r="G91" s="53">
        <v>1000000</v>
      </c>
      <c r="H91" s="51" t="s">
        <v>145</v>
      </c>
      <c r="I91" s="55">
        <v>1</v>
      </c>
      <c r="J91" s="50">
        <v>14236504026</v>
      </c>
      <c r="K91" s="153">
        <f t="shared" si="7"/>
        <v>14236504026</v>
      </c>
      <c r="L91" s="56">
        <f t="shared" si="8"/>
        <v>14236.504026000001</v>
      </c>
      <c r="M91" s="454">
        <v>73</v>
      </c>
    </row>
    <row r="92" spans="1:13">
      <c r="A92" s="176"/>
      <c r="B92" s="586" t="s">
        <v>155</v>
      </c>
      <c r="C92" s="717"/>
      <c r="D92" s="717"/>
      <c r="E92" s="717"/>
      <c r="F92" s="717"/>
      <c r="G92" s="717"/>
      <c r="H92" s="717"/>
      <c r="I92" s="717"/>
      <c r="J92" s="717"/>
      <c r="K92" s="721"/>
      <c r="L92" s="56">
        <f>SUM(L86:L89)</f>
        <v>54675.444868608727</v>
      </c>
      <c r="M92" s="165"/>
    </row>
    <row r="93" spans="1:13">
      <c r="A93" s="176"/>
      <c r="B93" s="24"/>
      <c r="C93" s="25"/>
      <c r="D93" s="25"/>
      <c r="E93" s="25"/>
      <c r="F93" s="25"/>
      <c r="G93" s="25"/>
      <c r="H93" s="25"/>
      <c r="I93" s="25"/>
      <c r="J93" s="25"/>
      <c r="K93" s="25"/>
      <c r="L93" s="154"/>
      <c r="M93" s="165"/>
    </row>
    <row r="94" spans="1:13" ht="15">
      <c r="A94" s="176"/>
      <c r="B94" s="582" t="str">
        <f>B76</f>
        <v>Sumatoria (Del valor total hasta seis contratos ejecutados) / Valor del presupuesto oficial en SMMLV del año 2024</v>
      </c>
      <c r="C94" s="718"/>
      <c r="D94" s="718"/>
      <c r="E94" s="718"/>
      <c r="F94" s="718"/>
      <c r="G94" s="718"/>
      <c r="H94" s="718"/>
      <c r="I94" s="718"/>
      <c r="J94" s="718"/>
      <c r="K94" s="719"/>
      <c r="L94" s="155">
        <f>L92/L84</f>
        <v>4.1746592016191784</v>
      </c>
      <c r="M94" s="165"/>
    </row>
    <row r="95" spans="1:13" ht="15">
      <c r="A95" s="176"/>
      <c r="B95" s="26"/>
      <c r="C95" s="26"/>
      <c r="D95" s="26"/>
      <c r="E95" s="26"/>
      <c r="F95" s="26"/>
      <c r="G95" s="26"/>
      <c r="H95" s="26"/>
      <c r="I95" s="26"/>
      <c r="J95" s="26"/>
      <c r="K95" s="26"/>
      <c r="L95" s="156" t="str">
        <f>IF(L94&gt;2.5,"CUMPLE", "NO CUMPLE")</f>
        <v>CUMPLE</v>
      </c>
      <c r="M95" s="165"/>
    </row>
    <row r="96" spans="1:13">
      <c r="A96" s="176"/>
      <c r="B96" s="26"/>
      <c r="C96" s="26"/>
      <c r="D96" s="26"/>
      <c r="E96" s="26"/>
      <c r="F96" s="26"/>
      <c r="G96" s="26"/>
      <c r="H96" s="26"/>
      <c r="I96" s="26"/>
      <c r="J96" s="26"/>
      <c r="K96" s="26"/>
      <c r="L96" s="26"/>
      <c r="M96" s="165"/>
    </row>
    <row r="97" spans="1:13">
      <c r="A97" s="176"/>
      <c r="B97" s="26"/>
      <c r="C97" s="26"/>
      <c r="D97" s="26"/>
      <c r="E97" s="26"/>
      <c r="F97" s="26"/>
      <c r="G97" s="26"/>
      <c r="H97" s="26"/>
      <c r="I97" s="26"/>
      <c r="J97" s="26"/>
      <c r="K97" s="26"/>
      <c r="L97" s="26"/>
      <c r="M97" s="165"/>
    </row>
    <row r="98" spans="1:13">
      <c r="A98" s="176"/>
      <c r="B98" s="26"/>
      <c r="C98" s="26"/>
      <c r="D98" s="26"/>
      <c r="E98" s="26"/>
      <c r="F98" s="26"/>
      <c r="G98" s="26"/>
      <c r="H98" s="26"/>
      <c r="I98" s="26"/>
      <c r="J98" s="26"/>
      <c r="K98" s="26"/>
      <c r="L98" s="26"/>
      <c r="M98" s="165"/>
    </row>
    <row r="99" spans="1:13">
      <c r="A99" s="176"/>
      <c r="B99" s="26"/>
      <c r="C99" s="26"/>
      <c r="D99" s="26"/>
      <c r="E99" s="26"/>
      <c r="F99" s="26"/>
      <c r="G99" s="26"/>
      <c r="H99" s="26"/>
      <c r="I99" s="26"/>
      <c r="J99" s="26"/>
      <c r="K99" s="26"/>
      <c r="L99" s="26"/>
      <c r="M99" s="165"/>
    </row>
    <row r="100" spans="1:13" ht="15" thickBot="1">
      <c r="A100" s="167"/>
      <c r="B100" s="168"/>
      <c r="C100" s="168"/>
      <c r="D100" s="168"/>
      <c r="E100" s="168"/>
      <c r="F100" s="168"/>
      <c r="G100" s="168"/>
      <c r="H100" s="168"/>
      <c r="I100" s="168"/>
      <c r="J100" s="168"/>
      <c r="K100" s="168"/>
      <c r="L100" s="168"/>
      <c r="M100" s="170"/>
    </row>
    <row r="101" spans="1:13">
      <c r="M101" s="106"/>
    </row>
  </sheetData>
  <mergeCells count="18">
    <mergeCell ref="B94:K94"/>
    <mergeCell ref="B66:J66"/>
    <mergeCell ref="B74:K74"/>
    <mergeCell ref="B76:K76"/>
    <mergeCell ref="B84:J84"/>
    <mergeCell ref="B92:K92"/>
    <mergeCell ref="B39:K39"/>
    <mergeCell ref="B47:J47"/>
    <mergeCell ref="B55:K55"/>
    <mergeCell ref="B57:K57"/>
    <mergeCell ref="C2:L2"/>
    <mergeCell ref="H4:I4"/>
    <mergeCell ref="B30:J30"/>
    <mergeCell ref="B20:K20"/>
    <mergeCell ref="B22:K22"/>
    <mergeCell ref="B12:J12"/>
    <mergeCell ref="B37:K37"/>
    <mergeCell ref="A6:M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E73B9-1003-4270-8683-EED3F1A3F6F0}">
  <dimension ref="A1:G88"/>
  <sheetViews>
    <sheetView topLeftCell="B1" zoomScale="70" zoomScaleNormal="70" workbookViewId="0">
      <selection activeCell="D10" sqref="D10"/>
    </sheetView>
  </sheetViews>
  <sheetFormatPr defaultColWidth="11" defaultRowHeight="12.75"/>
  <cols>
    <col min="1" max="1" width="27.375" style="368" customWidth="1"/>
    <col min="2" max="2" width="22.125" style="368" customWidth="1"/>
    <col min="3" max="3" width="47.5" style="368" customWidth="1"/>
    <col min="4" max="4" width="56.625" style="368" customWidth="1"/>
    <col min="5" max="5" width="57.375" style="368" customWidth="1"/>
    <col min="6" max="6" width="56.25" style="368" customWidth="1"/>
    <col min="7" max="7" width="56.5" style="368" customWidth="1"/>
    <col min="8" max="8" width="19" style="368" bestFit="1" customWidth="1"/>
    <col min="9" max="16384" width="11" style="368"/>
  </cols>
  <sheetData>
    <row r="1" spans="1:7">
      <c r="A1" s="365"/>
      <c r="B1" s="366"/>
      <c r="C1" s="366"/>
      <c r="D1" s="367"/>
      <c r="E1" s="366"/>
      <c r="F1" s="366"/>
    </row>
    <row r="2" spans="1:7" ht="23.25" customHeight="1">
      <c r="A2" s="369"/>
      <c r="B2" s="370"/>
      <c r="C2" s="370"/>
      <c r="D2" s="370"/>
      <c r="E2" s="594" t="s">
        <v>0</v>
      </c>
      <c r="F2" s="594"/>
      <c r="G2" s="594"/>
    </row>
    <row r="3" spans="1:7">
      <c r="A3" s="369"/>
      <c r="B3" s="370"/>
      <c r="C3" s="370"/>
      <c r="D3" s="371"/>
      <c r="E3" s="370"/>
      <c r="F3" s="370"/>
      <c r="G3" s="370"/>
    </row>
    <row r="4" spans="1:7" ht="24" customHeight="1">
      <c r="A4" s="369"/>
      <c r="B4" s="370"/>
      <c r="C4" s="370"/>
      <c r="D4" s="370"/>
      <c r="E4" s="370"/>
      <c r="F4" s="370"/>
      <c r="G4" s="370"/>
    </row>
    <row r="5" spans="1:7">
      <c r="A5" s="372"/>
      <c r="B5" s="370"/>
      <c r="C5" s="370"/>
      <c r="D5" s="371"/>
      <c r="E5" s="370"/>
      <c r="F5" s="370"/>
      <c r="G5" s="370"/>
    </row>
    <row r="6" spans="1:7" ht="14.25" customHeight="1">
      <c r="A6" s="595" t="s">
        <v>192</v>
      </c>
      <c r="B6" s="595"/>
      <c r="C6" s="595"/>
      <c r="D6" s="595"/>
      <c r="E6" s="595"/>
      <c r="F6" s="595"/>
      <c r="G6" s="596"/>
    </row>
    <row r="7" spans="1:7" s="370" customFormat="1">
      <c r="B7" s="373"/>
      <c r="C7" s="373"/>
      <c r="D7" s="373"/>
      <c r="E7" s="373"/>
      <c r="F7" s="373"/>
    </row>
    <row r="8" spans="1:7" ht="18.75" customHeight="1">
      <c r="A8" s="597" t="s">
        <v>193</v>
      </c>
      <c r="B8" s="597"/>
      <c r="C8" s="374" t="s">
        <v>3</v>
      </c>
      <c r="D8" s="375" t="s">
        <v>4</v>
      </c>
      <c r="E8" s="376" t="s">
        <v>5</v>
      </c>
      <c r="F8" s="377" t="s">
        <v>6</v>
      </c>
      <c r="G8" s="378" t="s">
        <v>7</v>
      </c>
    </row>
    <row r="9" spans="1:7" ht="45" customHeight="1">
      <c r="A9" s="597"/>
      <c r="B9" s="597"/>
      <c r="C9" s="379" t="s">
        <v>194</v>
      </c>
      <c r="D9" s="379" t="s">
        <v>195</v>
      </c>
      <c r="E9" s="379" t="s">
        <v>196</v>
      </c>
      <c r="F9" s="379" t="s">
        <v>197</v>
      </c>
      <c r="G9" s="379" t="s">
        <v>198</v>
      </c>
    </row>
    <row r="10" spans="1:7" ht="217.5" customHeight="1">
      <c r="A10" s="598" t="s">
        <v>199</v>
      </c>
      <c r="B10" s="380" t="s">
        <v>200</v>
      </c>
      <c r="C10" s="381" t="s">
        <v>201</v>
      </c>
      <c r="D10" s="381" t="s">
        <v>202</v>
      </c>
      <c r="E10" s="381" t="s">
        <v>203</v>
      </c>
      <c r="F10" s="381" t="s">
        <v>204</v>
      </c>
      <c r="G10" s="381" t="s">
        <v>205</v>
      </c>
    </row>
    <row r="11" spans="1:7" ht="225" customHeight="1">
      <c r="A11" s="598"/>
      <c r="B11" s="380" t="s">
        <v>206</v>
      </c>
      <c r="C11" s="381" t="s">
        <v>207</v>
      </c>
      <c r="D11" s="381" t="s">
        <v>208</v>
      </c>
      <c r="E11" s="381" t="s">
        <v>209</v>
      </c>
      <c r="F11" s="381" t="s">
        <v>210</v>
      </c>
      <c r="G11" s="381" t="s">
        <v>211</v>
      </c>
    </row>
    <row r="12" spans="1:7" ht="183" customHeight="1">
      <c r="A12" s="598"/>
      <c r="B12" s="380" t="s">
        <v>212</v>
      </c>
      <c r="C12" s="381" t="s">
        <v>213</v>
      </c>
      <c r="D12" s="381" t="s">
        <v>214</v>
      </c>
      <c r="E12" s="381" t="s">
        <v>215</v>
      </c>
      <c r="F12" s="381" t="s">
        <v>216</v>
      </c>
      <c r="G12" s="381" t="s">
        <v>217</v>
      </c>
    </row>
    <row r="13" spans="1:7" ht="206.25" customHeight="1">
      <c r="A13" s="598"/>
      <c r="B13" s="380" t="s">
        <v>218</v>
      </c>
      <c r="C13" s="381" t="s">
        <v>219</v>
      </c>
      <c r="D13" s="381" t="s">
        <v>220</v>
      </c>
      <c r="E13" s="381" t="s">
        <v>221</v>
      </c>
      <c r="F13" s="381" t="s">
        <v>222</v>
      </c>
      <c r="G13" s="381" t="s">
        <v>223</v>
      </c>
    </row>
    <row r="14" spans="1:7" ht="178.5" customHeight="1">
      <c r="A14" s="598"/>
      <c r="B14" s="380" t="s">
        <v>224</v>
      </c>
      <c r="C14" s="381" t="s">
        <v>225</v>
      </c>
      <c r="D14" s="381" t="s">
        <v>226</v>
      </c>
      <c r="E14" s="381" t="s">
        <v>227</v>
      </c>
      <c r="F14" s="381" t="s">
        <v>228</v>
      </c>
      <c r="G14" s="381" t="s">
        <v>229</v>
      </c>
    </row>
    <row r="15" spans="1:7" ht="226.5" customHeight="1">
      <c r="A15" s="598"/>
      <c r="B15" s="380" t="s">
        <v>230</v>
      </c>
      <c r="C15" s="381" t="s">
        <v>231</v>
      </c>
      <c r="D15" s="381" t="s">
        <v>232</v>
      </c>
      <c r="E15" s="381" t="s">
        <v>233</v>
      </c>
      <c r="F15" s="381" t="s">
        <v>234</v>
      </c>
      <c r="G15" s="381" t="s">
        <v>235</v>
      </c>
    </row>
    <row r="16" spans="1:7" ht="213" customHeight="1">
      <c r="A16" s="598"/>
      <c r="B16" s="380" t="s">
        <v>236</v>
      </c>
      <c r="C16" s="381" t="s">
        <v>237</v>
      </c>
      <c r="D16" s="381" t="s">
        <v>238</v>
      </c>
      <c r="E16" s="381" t="s">
        <v>239</v>
      </c>
      <c r="F16" s="381" t="s">
        <v>240</v>
      </c>
      <c r="G16" s="381" t="s">
        <v>241</v>
      </c>
    </row>
    <row r="17" spans="1:7" ht="54" customHeight="1">
      <c r="A17" s="598" t="s">
        <v>242</v>
      </c>
      <c r="B17" s="599" t="s">
        <v>243</v>
      </c>
      <c r="C17" s="602"/>
      <c r="D17" s="602"/>
      <c r="E17" s="605"/>
      <c r="F17" s="608"/>
      <c r="G17" s="609"/>
    </row>
    <row r="18" spans="1:7">
      <c r="A18" s="598"/>
      <c r="B18" s="600"/>
      <c r="C18" s="603"/>
      <c r="D18" s="603"/>
      <c r="E18" s="606"/>
      <c r="F18" s="608"/>
      <c r="G18" s="609"/>
    </row>
    <row r="19" spans="1:7">
      <c r="A19" s="598"/>
      <c r="B19" s="600"/>
      <c r="C19" s="603"/>
      <c r="D19" s="603"/>
      <c r="E19" s="606"/>
      <c r="F19" s="608"/>
      <c r="G19" s="609"/>
    </row>
    <row r="20" spans="1:7">
      <c r="A20" s="598"/>
      <c r="B20" s="600"/>
      <c r="C20" s="603"/>
      <c r="D20" s="603"/>
      <c r="E20" s="606"/>
      <c r="F20" s="608"/>
      <c r="G20" s="609"/>
    </row>
    <row r="21" spans="1:7">
      <c r="A21" s="598"/>
      <c r="B21" s="600"/>
      <c r="C21" s="603"/>
      <c r="D21" s="603"/>
      <c r="E21" s="606"/>
      <c r="F21" s="608"/>
      <c r="G21" s="609"/>
    </row>
    <row r="22" spans="1:7">
      <c r="A22" s="598"/>
      <c r="B22" s="601"/>
      <c r="C22" s="604"/>
      <c r="D22" s="604"/>
      <c r="E22" s="607"/>
      <c r="F22" s="608"/>
      <c r="G22" s="609"/>
    </row>
    <row r="23" spans="1:7">
      <c r="A23" s="611" t="s">
        <v>244</v>
      </c>
      <c r="B23" s="381" t="s">
        <v>245</v>
      </c>
      <c r="C23" s="381" t="s">
        <v>246</v>
      </c>
      <c r="D23" s="382" t="s">
        <v>247</v>
      </c>
      <c r="E23" s="381" t="s">
        <v>248</v>
      </c>
      <c r="F23" s="381" t="s">
        <v>249</v>
      </c>
      <c r="G23" s="381" t="s">
        <v>250</v>
      </c>
    </row>
    <row r="24" spans="1:7" ht="135" customHeight="1">
      <c r="A24" s="611"/>
      <c r="B24" s="381" t="s">
        <v>251</v>
      </c>
      <c r="C24" s="381"/>
      <c r="D24" s="382"/>
      <c r="E24" s="381"/>
      <c r="F24" s="381"/>
      <c r="G24" s="381"/>
    </row>
    <row r="25" spans="1:7" ht="216.75">
      <c r="A25" s="611"/>
      <c r="B25" s="381" t="s">
        <v>252</v>
      </c>
      <c r="C25" s="381" t="s">
        <v>253</v>
      </c>
      <c r="D25" s="381" t="s">
        <v>254</v>
      </c>
      <c r="E25" s="381" t="s">
        <v>255</v>
      </c>
      <c r="F25" s="381" t="s">
        <v>256</v>
      </c>
      <c r="G25" s="383" t="s">
        <v>257</v>
      </c>
    </row>
    <row r="26" spans="1:7" ht="209.25" customHeight="1">
      <c r="A26" s="384" t="s">
        <v>258</v>
      </c>
      <c r="B26" s="385" t="s">
        <v>259</v>
      </c>
      <c r="C26" s="386" t="s">
        <v>260</v>
      </c>
      <c r="D26" s="386" t="s">
        <v>261</v>
      </c>
      <c r="E26" s="385" t="s">
        <v>262</v>
      </c>
      <c r="F26" s="387" t="s">
        <v>263</v>
      </c>
      <c r="G26" s="387" t="s">
        <v>264</v>
      </c>
    </row>
    <row r="27" spans="1:7" ht="89.25">
      <c r="A27" s="611" t="s">
        <v>265</v>
      </c>
      <c r="B27" s="381" t="s">
        <v>266</v>
      </c>
      <c r="C27" s="381" t="s">
        <v>267</v>
      </c>
      <c r="D27" s="381" t="s">
        <v>268</v>
      </c>
      <c r="E27" s="381" t="s">
        <v>269</v>
      </c>
      <c r="F27" s="381" t="s">
        <v>270</v>
      </c>
      <c r="G27" s="381" t="s">
        <v>271</v>
      </c>
    </row>
    <row r="28" spans="1:7" ht="339" customHeight="1">
      <c r="A28" s="611"/>
      <c r="B28" s="381" t="s">
        <v>252</v>
      </c>
      <c r="C28" s="381" t="s">
        <v>272</v>
      </c>
      <c r="D28" s="381" t="s">
        <v>273</v>
      </c>
      <c r="E28" s="381" t="s">
        <v>274</v>
      </c>
      <c r="F28" s="388" t="s">
        <v>275</v>
      </c>
      <c r="G28" s="383" t="s">
        <v>276</v>
      </c>
    </row>
    <row r="29" spans="1:7" ht="140.25">
      <c r="A29" s="611"/>
      <c r="B29" s="381" t="s">
        <v>277</v>
      </c>
      <c r="C29" s="381" t="s">
        <v>278</v>
      </c>
      <c r="D29" s="381" t="s">
        <v>279</v>
      </c>
      <c r="E29" s="381" t="s">
        <v>280</v>
      </c>
      <c r="F29" s="381" t="s">
        <v>281</v>
      </c>
      <c r="G29" s="381" t="s">
        <v>282</v>
      </c>
    </row>
    <row r="30" spans="1:7" ht="63.75">
      <c r="A30" s="611"/>
      <c r="B30" s="381" t="s">
        <v>283</v>
      </c>
      <c r="C30" s="381" t="s">
        <v>284</v>
      </c>
      <c r="D30" s="381" t="s">
        <v>285</v>
      </c>
      <c r="E30" s="381" t="s">
        <v>286</v>
      </c>
      <c r="F30" s="381" t="s">
        <v>287</v>
      </c>
      <c r="G30" s="381" t="s">
        <v>288</v>
      </c>
    </row>
    <row r="31" spans="1:7" ht="76.5">
      <c r="A31" s="611"/>
      <c r="B31" s="381" t="s">
        <v>289</v>
      </c>
      <c r="C31" s="381" t="s">
        <v>290</v>
      </c>
      <c r="D31" s="381" t="s">
        <v>291</v>
      </c>
      <c r="E31" s="381" t="s">
        <v>292</v>
      </c>
      <c r="F31" s="381" t="s">
        <v>293</v>
      </c>
      <c r="G31" s="381" t="s">
        <v>294</v>
      </c>
    </row>
    <row r="32" spans="1:7" ht="89.25">
      <c r="A32" s="611"/>
      <c r="B32" s="381" t="s">
        <v>295</v>
      </c>
      <c r="C32" s="381" t="s">
        <v>296</v>
      </c>
      <c r="D32" s="381" t="s">
        <v>297</v>
      </c>
      <c r="E32" s="381" t="s">
        <v>296</v>
      </c>
      <c r="F32" s="381" t="s">
        <v>298</v>
      </c>
      <c r="G32" s="381" t="s">
        <v>299</v>
      </c>
    </row>
    <row r="33" spans="1:7" ht="409.5" customHeight="1">
      <c r="A33" s="611"/>
      <c r="B33" s="612" t="s">
        <v>300</v>
      </c>
      <c r="C33" s="610"/>
      <c r="D33" s="610"/>
      <c r="E33" s="610"/>
      <c r="F33" s="610"/>
      <c r="G33" s="610"/>
    </row>
    <row r="34" spans="1:7">
      <c r="A34" s="611"/>
      <c r="B34" s="612"/>
      <c r="C34" s="610"/>
      <c r="D34" s="610"/>
      <c r="E34" s="610"/>
      <c r="F34" s="610"/>
      <c r="G34" s="610"/>
    </row>
    <row r="35" spans="1:7">
      <c r="A35" s="611"/>
      <c r="B35" s="612"/>
      <c r="C35" s="610"/>
      <c r="D35" s="610"/>
      <c r="E35" s="610"/>
      <c r="F35" s="610"/>
      <c r="G35" s="610"/>
    </row>
    <row r="36" spans="1:7">
      <c r="A36" s="611"/>
      <c r="B36" s="612"/>
      <c r="C36" s="610"/>
      <c r="D36" s="610"/>
      <c r="E36" s="610"/>
      <c r="F36" s="610"/>
      <c r="G36" s="610"/>
    </row>
    <row r="37" spans="1:7">
      <c r="A37" s="611"/>
      <c r="B37" s="612"/>
      <c r="C37" s="610"/>
      <c r="D37" s="610"/>
      <c r="E37" s="610"/>
      <c r="F37" s="610"/>
      <c r="G37" s="610"/>
    </row>
    <row r="38" spans="1:7">
      <c r="A38" s="611"/>
      <c r="B38" s="612"/>
      <c r="C38" s="610"/>
      <c r="D38" s="610"/>
      <c r="E38" s="610"/>
      <c r="F38" s="610"/>
      <c r="G38" s="610"/>
    </row>
    <row r="39" spans="1:7">
      <c r="A39" s="611"/>
      <c r="B39" s="612"/>
      <c r="C39" s="610"/>
      <c r="D39" s="610"/>
      <c r="E39" s="610"/>
      <c r="F39" s="610"/>
      <c r="G39" s="610"/>
    </row>
    <row r="40" spans="1:7">
      <c r="A40" s="611"/>
      <c r="B40" s="612"/>
      <c r="C40" s="610"/>
      <c r="D40" s="610"/>
      <c r="E40" s="610"/>
      <c r="F40" s="610"/>
      <c r="G40" s="610"/>
    </row>
    <row r="41" spans="1:7">
      <c r="A41" s="611"/>
      <c r="B41" s="612"/>
      <c r="C41" s="610"/>
      <c r="D41" s="610"/>
      <c r="E41" s="610"/>
      <c r="F41" s="610"/>
      <c r="G41" s="610"/>
    </row>
    <row r="42" spans="1:7">
      <c r="A42" s="611"/>
      <c r="B42" s="612"/>
      <c r="C42" s="610"/>
      <c r="D42" s="610"/>
      <c r="E42" s="610"/>
      <c r="F42" s="610"/>
      <c r="G42" s="610"/>
    </row>
    <row r="43" spans="1:7">
      <c r="A43" s="611"/>
      <c r="B43" s="612"/>
      <c r="C43" s="610"/>
      <c r="D43" s="610"/>
      <c r="E43" s="610"/>
      <c r="F43" s="610"/>
      <c r="G43" s="610"/>
    </row>
    <row r="44" spans="1:7">
      <c r="A44" s="611"/>
      <c r="B44" s="612"/>
      <c r="C44" s="610"/>
      <c r="D44" s="610"/>
      <c r="E44" s="610"/>
      <c r="F44" s="610"/>
      <c r="G44" s="610"/>
    </row>
    <row r="45" spans="1:7">
      <c r="A45" s="611"/>
      <c r="B45" s="612"/>
      <c r="C45" s="610"/>
      <c r="D45" s="610"/>
      <c r="E45" s="610"/>
      <c r="F45" s="610"/>
      <c r="G45" s="610"/>
    </row>
    <row r="46" spans="1:7">
      <c r="A46" s="611"/>
      <c r="B46" s="612"/>
      <c r="C46" s="610"/>
      <c r="D46" s="610"/>
      <c r="E46" s="610"/>
      <c r="F46" s="610"/>
      <c r="G46" s="610"/>
    </row>
    <row r="47" spans="1:7">
      <c r="A47" s="611"/>
      <c r="B47" s="612"/>
      <c r="C47" s="610"/>
      <c r="D47" s="610"/>
      <c r="E47" s="610"/>
      <c r="F47" s="610"/>
      <c r="G47" s="610"/>
    </row>
    <row r="48" spans="1:7">
      <c r="A48" s="611"/>
      <c r="B48" s="612"/>
      <c r="C48" s="610"/>
      <c r="D48" s="610"/>
      <c r="E48" s="610"/>
      <c r="F48" s="610"/>
      <c r="G48" s="610"/>
    </row>
    <row r="49" spans="1:7">
      <c r="A49" s="611"/>
      <c r="B49" s="612"/>
      <c r="C49" s="610"/>
      <c r="D49" s="610"/>
      <c r="E49" s="610"/>
      <c r="F49" s="610"/>
      <c r="G49" s="610"/>
    </row>
    <row r="50" spans="1:7">
      <c r="A50" s="611"/>
      <c r="B50" s="612"/>
      <c r="C50" s="610"/>
      <c r="D50" s="610"/>
      <c r="E50" s="610"/>
      <c r="F50" s="610"/>
      <c r="G50" s="610"/>
    </row>
    <row r="51" spans="1:7">
      <c r="A51" s="611"/>
      <c r="B51" s="612"/>
      <c r="C51" s="610"/>
      <c r="D51" s="610"/>
      <c r="E51" s="610"/>
      <c r="F51" s="610"/>
      <c r="G51" s="610"/>
    </row>
    <row r="52" spans="1:7">
      <c r="A52" s="611"/>
      <c r="B52" s="612"/>
      <c r="C52" s="610"/>
      <c r="D52" s="610"/>
      <c r="E52" s="610"/>
      <c r="F52" s="610"/>
      <c r="G52" s="610"/>
    </row>
    <row r="53" spans="1:7">
      <c r="A53" s="611"/>
      <c r="B53" s="612"/>
      <c r="C53" s="610"/>
      <c r="D53" s="610"/>
      <c r="E53" s="610"/>
      <c r="F53" s="610"/>
      <c r="G53" s="610"/>
    </row>
    <row r="54" spans="1:7">
      <c r="A54" s="611"/>
      <c r="B54" s="612"/>
      <c r="C54" s="610"/>
      <c r="D54" s="610"/>
      <c r="E54" s="610"/>
      <c r="F54" s="610"/>
      <c r="G54" s="610"/>
    </row>
    <row r="55" spans="1:7">
      <c r="A55" s="611"/>
      <c r="B55" s="612"/>
      <c r="C55" s="610"/>
      <c r="D55" s="610"/>
      <c r="E55" s="610"/>
      <c r="F55" s="610"/>
      <c r="G55" s="610"/>
    </row>
    <row r="56" spans="1:7">
      <c r="A56" s="611"/>
      <c r="B56" s="612"/>
      <c r="C56" s="610"/>
      <c r="D56" s="610"/>
      <c r="E56" s="610"/>
      <c r="F56" s="610"/>
      <c r="G56" s="610"/>
    </row>
    <row r="57" spans="1:7">
      <c r="A57" s="611"/>
      <c r="B57" s="612"/>
      <c r="C57" s="610"/>
      <c r="D57" s="610"/>
      <c r="E57" s="610"/>
      <c r="F57" s="610"/>
      <c r="G57" s="610"/>
    </row>
    <row r="58" spans="1:7">
      <c r="A58" s="611"/>
      <c r="B58" s="612"/>
      <c r="C58" s="610"/>
      <c r="D58" s="610"/>
      <c r="E58" s="610"/>
      <c r="F58" s="610"/>
      <c r="G58" s="610"/>
    </row>
    <row r="59" spans="1:7">
      <c r="A59" s="611"/>
      <c r="B59" s="612"/>
      <c r="C59" s="610"/>
      <c r="D59" s="610"/>
      <c r="E59" s="610"/>
      <c r="F59" s="610"/>
      <c r="G59" s="610"/>
    </row>
    <row r="60" spans="1:7">
      <c r="A60" s="611"/>
      <c r="B60" s="612"/>
      <c r="C60" s="610"/>
      <c r="D60" s="610"/>
      <c r="E60" s="610"/>
      <c r="F60" s="610"/>
      <c r="G60" s="610"/>
    </row>
    <row r="61" spans="1:7">
      <c r="A61" s="611"/>
      <c r="B61" s="612"/>
      <c r="C61" s="610"/>
      <c r="D61" s="610"/>
      <c r="E61" s="610"/>
      <c r="F61" s="610"/>
      <c r="G61" s="610"/>
    </row>
    <row r="62" spans="1:7">
      <c r="A62" s="611"/>
      <c r="B62" s="612"/>
      <c r="C62" s="610"/>
      <c r="D62" s="610"/>
      <c r="E62" s="610"/>
      <c r="F62" s="610"/>
      <c r="G62" s="610"/>
    </row>
    <row r="63" spans="1:7">
      <c r="A63" s="611"/>
      <c r="B63" s="612"/>
      <c r="C63" s="610"/>
      <c r="D63" s="610"/>
      <c r="E63" s="610"/>
      <c r="F63" s="610"/>
      <c r="G63" s="610"/>
    </row>
    <row r="64" spans="1:7">
      <c r="A64" s="611"/>
      <c r="B64" s="612"/>
      <c r="C64" s="610"/>
      <c r="D64" s="610"/>
      <c r="E64" s="610"/>
      <c r="F64" s="610"/>
      <c r="G64" s="610"/>
    </row>
    <row r="65" spans="1:7">
      <c r="A65" s="611"/>
      <c r="B65" s="612"/>
      <c r="C65" s="610"/>
      <c r="D65" s="610"/>
      <c r="E65" s="610"/>
      <c r="F65" s="610"/>
      <c r="G65" s="610"/>
    </row>
    <row r="66" spans="1:7">
      <c r="A66" s="611"/>
      <c r="B66" s="612"/>
      <c r="C66" s="610"/>
      <c r="D66" s="610"/>
      <c r="E66" s="610"/>
      <c r="F66" s="610"/>
      <c r="G66" s="610"/>
    </row>
    <row r="67" spans="1:7">
      <c r="A67" s="611"/>
      <c r="B67" s="612"/>
      <c r="C67" s="610"/>
      <c r="D67" s="610"/>
      <c r="E67" s="610"/>
      <c r="F67" s="610"/>
      <c r="G67" s="610"/>
    </row>
    <row r="68" spans="1:7">
      <c r="A68" s="611"/>
      <c r="B68" s="612"/>
      <c r="C68" s="610"/>
      <c r="D68" s="610"/>
      <c r="E68" s="610"/>
      <c r="F68" s="610"/>
      <c r="G68" s="610"/>
    </row>
    <row r="69" spans="1:7">
      <c r="A69" s="611"/>
      <c r="B69" s="612"/>
      <c r="C69" s="610"/>
      <c r="D69" s="610"/>
      <c r="E69" s="610"/>
      <c r="F69" s="610"/>
      <c r="G69" s="610"/>
    </row>
    <row r="70" spans="1:7">
      <c r="A70" s="611"/>
      <c r="B70" s="612"/>
      <c r="C70" s="610"/>
      <c r="D70" s="610"/>
      <c r="E70" s="610"/>
      <c r="F70" s="610"/>
      <c r="G70" s="610"/>
    </row>
    <row r="71" spans="1:7">
      <c r="A71" s="611"/>
      <c r="B71" s="612"/>
      <c r="C71" s="610"/>
      <c r="D71" s="610"/>
      <c r="E71" s="610"/>
      <c r="F71" s="610"/>
      <c r="G71" s="610"/>
    </row>
    <row r="72" spans="1:7">
      <c r="A72" s="611"/>
      <c r="B72" s="612"/>
      <c r="C72" s="610"/>
      <c r="D72" s="610"/>
      <c r="E72" s="610"/>
      <c r="F72" s="610"/>
      <c r="G72" s="610"/>
    </row>
    <row r="73" spans="1:7">
      <c r="A73" s="611"/>
      <c r="B73" s="612"/>
      <c r="C73" s="610"/>
      <c r="D73" s="610"/>
      <c r="E73" s="610"/>
      <c r="F73" s="610"/>
      <c r="G73" s="610"/>
    </row>
    <row r="74" spans="1:7">
      <c r="A74" s="611"/>
      <c r="B74" s="612"/>
      <c r="C74" s="610"/>
      <c r="D74" s="610"/>
      <c r="E74" s="610"/>
      <c r="F74" s="610"/>
      <c r="G74" s="610"/>
    </row>
    <row r="75" spans="1:7">
      <c r="A75" s="611"/>
      <c r="B75" s="612"/>
      <c r="C75" s="610"/>
      <c r="D75" s="610"/>
      <c r="E75" s="610"/>
      <c r="F75" s="610"/>
      <c r="G75" s="610"/>
    </row>
    <row r="76" spans="1:7">
      <c r="A76" s="611"/>
      <c r="B76" s="612"/>
      <c r="C76" s="610"/>
      <c r="D76" s="610"/>
      <c r="E76" s="610"/>
      <c r="F76" s="610"/>
      <c r="G76" s="610"/>
    </row>
    <row r="77" spans="1:7">
      <c r="A77" s="611"/>
      <c r="B77" s="612"/>
      <c r="C77" s="610"/>
      <c r="D77" s="610"/>
      <c r="E77" s="610"/>
      <c r="F77" s="610"/>
      <c r="G77" s="610"/>
    </row>
    <row r="78" spans="1:7">
      <c r="A78" s="611"/>
      <c r="B78" s="612"/>
      <c r="C78" s="610"/>
      <c r="D78" s="610"/>
      <c r="E78" s="610"/>
      <c r="F78" s="610"/>
      <c r="G78" s="610"/>
    </row>
    <row r="79" spans="1:7">
      <c r="A79" s="611"/>
      <c r="B79" s="612"/>
      <c r="C79" s="610"/>
      <c r="D79" s="610"/>
      <c r="E79" s="610"/>
      <c r="F79" s="610"/>
      <c r="G79" s="610"/>
    </row>
    <row r="80" spans="1:7">
      <c r="A80" s="611"/>
      <c r="B80" s="612"/>
      <c r="C80" s="610"/>
      <c r="D80" s="610"/>
      <c r="E80" s="610"/>
      <c r="F80" s="610"/>
      <c r="G80" s="610"/>
    </row>
    <row r="81" spans="1:7">
      <c r="A81" s="611"/>
      <c r="B81" s="612"/>
      <c r="C81" s="610"/>
      <c r="D81" s="610"/>
      <c r="E81" s="610"/>
      <c r="F81" s="610"/>
      <c r="G81" s="610"/>
    </row>
    <row r="82" spans="1:7">
      <c r="A82" s="611"/>
      <c r="B82" s="612"/>
      <c r="C82" s="610"/>
      <c r="D82" s="610"/>
      <c r="E82" s="610"/>
      <c r="F82" s="610"/>
      <c r="G82" s="610"/>
    </row>
    <row r="83" spans="1:7">
      <c r="A83" s="611"/>
      <c r="B83" s="612"/>
      <c r="C83" s="610"/>
      <c r="D83" s="610"/>
      <c r="E83" s="610"/>
      <c r="F83" s="610"/>
      <c r="G83" s="610"/>
    </row>
    <row r="84" spans="1:7">
      <c r="A84" s="611"/>
      <c r="B84" s="612"/>
      <c r="C84" s="610"/>
      <c r="D84" s="610"/>
      <c r="E84" s="610"/>
      <c r="F84" s="610"/>
      <c r="G84" s="610"/>
    </row>
    <row r="85" spans="1:7">
      <c r="A85" s="611"/>
      <c r="B85" s="612"/>
      <c r="C85" s="610"/>
      <c r="D85" s="610"/>
      <c r="E85" s="610"/>
      <c r="F85" s="610"/>
      <c r="G85" s="610"/>
    </row>
    <row r="86" spans="1:7">
      <c r="A86" s="611"/>
      <c r="B86" s="612"/>
      <c r="C86" s="610"/>
      <c r="D86" s="610"/>
      <c r="E86" s="610"/>
      <c r="F86" s="610"/>
      <c r="G86" s="610"/>
    </row>
    <row r="87" spans="1:7">
      <c r="A87" s="611"/>
      <c r="B87" s="612"/>
      <c r="C87" s="610"/>
      <c r="D87" s="610"/>
      <c r="E87" s="610"/>
      <c r="F87" s="610"/>
      <c r="G87" s="610"/>
    </row>
    <row r="88" spans="1:7">
      <c r="A88" s="611"/>
      <c r="B88" s="612"/>
      <c r="C88" s="610"/>
      <c r="D88" s="610"/>
      <c r="E88" s="610"/>
      <c r="F88" s="610"/>
      <c r="G88" s="610"/>
    </row>
  </sheetData>
  <mergeCells count="19">
    <mergeCell ref="E33:E88"/>
    <mergeCell ref="F33:F88"/>
    <mergeCell ref="G33:G88"/>
    <mergeCell ref="A23:A25"/>
    <mergeCell ref="A27:A88"/>
    <mergeCell ref="B33:B88"/>
    <mergeCell ref="C33:C88"/>
    <mergeCell ref="D33:D88"/>
    <mergeCell ref="E2:G2"/>
    <mergeCell ref="A6:G6"/>
    <mergeCell ref="A8:B9"/>
    <mergeCell ref="A10:A16"/>
    <mergeCell ref="A17:A22"/>
    <mergeCell ref="B17:B22"/>
    <mergeCell ref="C17:C22"/>
    <mergeCell ref="D17:D22"/>
    <mergeCell ref="E17:E22"/>
    <mergeCell ref="F17:F22"/>
    <mergeCell ref="G17:G2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927"/>
  <sheetViews>
    <sheetView tabSelected="1" topLeftCell="E1" zoomScale="70" zoomScaleNormal="70" workbookViewId="0">
      <selection activeCell="I65" sqref="I65:J65"/>
    </sheetView>
  </sheetViews>
  <sheetFormatPr defaultColWidth="12.625" defaultRowHeight="15" customHeight="1"/>
  <cols>
    <col min="1" max="1" width="4.375" style="149" customWidth="1"/>
    <col min="2" max="2" width="26.75" style="149" customWidth="1"/>
    <col min="3" max="3" width="29.75" style="149" customWidth="1"/>
    <col min="4" max="4" width="11.625" style="149" customWidth="1"/>
    <col min="5" max="5" width="13" style="149" customWidth="1"/>
    <col min="6" max="6" width="15.375" style="149" customWidth="1"/>
    <col min="7" max="7" width="18.5" style="149" customWidth="1"/>
    <col min="8" max="8" width="8.875" style="149" customWidth="1"/>
    <col min="9" max="9" width="17.625" style="149" customWidth="1"/>
    <col min="10" max="10" width="29.5" style="149" customWidth="1"/>
    <col min="11" max="11" width="20.375" style="149" customWidth="1"/>
    <col min="12" max="12" width="19" style="149" customWidth="1"/>
    <col min="13" max="13" width="23.625" style="149" customWidth="1"/>
    <col min="14" max="14" width="19" style="149" customWidth="1"/>
    <col min="15" max="15" width="14.125" style="149" customWidth="1"/>
    <col min="16" max="16" width="22.25" style="149" customWidth="1"/>
    <col min="17" max="17" width="17.375" style="149" customWidth="1"/>
    <col min="18" max="18" width="20.25" style="149" customWidth="1"/>
    <col min="19" max="19" width="23" style="149" customWidth="1"/>
    <col min="20" max="20" width="24.375" style="149" customWidth="1"/>
    <col min="21" max="21" width="18.125" style="149" customWidth="1"/>
    <col min="22" max="22" width="12.875" style="149" customWidth="1"/>
    <col min="23" max="23" width="14.875" style="149" customWidth="1"/>
    <col min="24" max="24" width="17.875" style="149" customWidth="1"/>
    <col min="25" max="25" width="18" style="149" customWidth="1"/>
    <col min="26" max="26" width="14.625" style="149" customWidth="1"/>
    <col min="27" max="27" width="4" style="149" customWidth="1"/>
    <col min="28" max="28" width="13.625" style="149" customWidth="1"/>
    <col min="29" max="29" width="15.625" style="149" customWidth="1"/>
    <col min="30" max="30" width="9.375" style="149" customWidth="1"/>
    <col min="31" max="31" width="12.375" style="149" customWidth="1"/>
    <col min="32" max="33" width="9.375" style="149" customWidth="1"/>
    <col min="34" max="16384" width="12.625" style="149"/>
  </cols>
  <sheetData>
    <row r="1" spans="1:32" ht="14.25">
      <c r="A1" s="161"/>
      <c r="B1" s="110"/>
      <c r="C1" s="110"/>
      <c r="D1" s="110"/>
      <c r="E1" s="162"/>
      <c r="F1" s="162"/>
      <c r="G1" s="162"/>
      <c r="H1" s="162"/>
      <c r="I1" s="162"/>
      <c r="J1" s="162"/>
      <c r="K1" s="162"/>
      <c r="L1" s="162"/>
      <c r="M1" s="162"/>
      <c r="N1" s="162"/>
      <c r="O1" s="162"/>
      <c r="P1" s="162"/>
      <c r="Q1" s="162"/>
      <c r="R1" s="162"/>
      <c r="S1" s="162"/>
      <c r="T1" s="163"/>
      <c r="U1" s="163"/>
      <c r="V1" s="163"/>
      <c r="W1" s="163"/>
      <c r="X1" s="163"/>
      <c r="Y1" s="163"/>
      <c r="Z1" s="163"/>
      <c r="AA1" s="163"/>
      <c r="AB1" s="163"/>
      <c r="AC1" s="163"/>
      <c r="AD1" s="164"/>
    </row>
    <row r="2" spans="1:32" ht="23.25" customHeight="1">
      <c r="A2" s="111"/>
      <c r="B2" s="26"/>
      <c r="C2" s="26"/>
      <c r="D2" s="638" t="s">
        <v>0</v>
      </c>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9"/>
    </row>
    <row r="3" spans="1:32" ht="14.25">
      <c r="A3" s="111"/>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165"/>
    </row>
    <row r="4" spans="1:32" ht="24" customHeight="1">
      <c r="A4" s="111"/>
      <c r="B4" s="26"/>
      <c r="C4" s="26"/>
      <c r="D4" s="26"/>
      <c r="E4" s="549"/>
      <c r="F4" s="716"/>
      <c r="G4" s="166"/>
      <c r="H4" s="166"/>
      <c r="I4" s="166"/>
      <c r="J4" s="166"/>
      <c r="K4" s="166"/>
      <c r="L4" s="166"/>
      <c r="M4" s="166"/>
      <c r="N4" s="166"/>
      <c r="O4" s="166"/>
      <c r="P4" s="166"/>
      <c r="Q4" s="166"/>
      <c r="R4" s="166"/>
      <c r="S4" s="166"/>
      <c r="T4" s="26"/>
      <c r="U4" s="26"/>
      <c r="V4" s="26"/>
      <c r="W4" s="26"/>
      <c r="X4" s="26"/>
      <c r="Y4" s="26"/>
      <c r="Z4" s="26"/>
      <c r="AA4" s="26"/>
      <c r="AB4" s="26"/>
      <c r="AC4" s="26"/>
      <c r="AD4" s="165"/>
    </row>
    <row r="5" spans="1:32" thickBot="1">
      <c r="A5" s="167"/>
      <c r="B5" s="168"/>
      <c r="C5" s="168"/>
      <c r="D5" s="168"/>
      <c r="E5" s="169"/>
      <c r="F5" s="169"/>
      <c r="G5" s="169"/>
      <c r="H5" s="169"/>
      <c r="I5" s="169"/>
      <c r="J5" s="169"/>
      <c r="K5" s="169"/>
      <c r="L5" s="169"/>
      <c r="M5" s="169"/>
      <c r="N5" s="169"/>
      <c r="O5" s="169"/>
      <c r="P5" s="169"/>
      <c r="Q5" s="169"/>
      <c r="R5" s="169"/>
      <c r="S5" s="169"/>
      <c r="T5" s="168"/>
      <c r="U5" s="168"/>
      <c r="V5" s="168"/>
      <c r="W5" s="168"/>
      <c r="X5" s="168"/>
      <c r="Y5" s="168"/>
      <c r="Z5" s="168"/>
      <c r="AA5" s="168"/>
      <c r="AB5" s="168"/>
      <c r="AC5" s="168"/>
      <c r="AD5" s="170"/>
    </row>
    <row r="6" spans="1:32" ht="15.75" thickBot="1">
      <c r="A6" s="653" t="s">
        <v>301</v>
      </c>
      <c r="B6" s="654"/>
      <c r="C6" s="654"/>
      <c r="D6" s="654"/>
      <c r="E6" s="654"/>
      <c r="F6" s="654"/>
      <c r="G6" s="654"/>
      <c r="H6" s="654"/>
      <c r="I6" s="654"/>
      <c r="J6" s="654"/>
      <c r="K6" s="654"/>
      <c r="L6" s="654"/>
      <c r="M6" s="654"/>
      <c r="N6" s="654"/>
      <c r="O6" s="654"/>
      <c r="P6" s="654"/>
      <c r="Q6" s="654"/>
      <c r="R6" s="654"/>
      <c r="S6" s="654"/>
      <c r="T6" s="654"/>
      <c r="U6" s="654"/>
      <c r="V6" s="654"/>
      <c r="W6" s="654"/>
      <c r="X6" s="654"/>
      <c r="Y6" s="654"/>
      <c r="Z6" s="654"/>
      <c r="AA6" s="654"/>
      <c r="AB6" s="654"/>
      <c r="AC6" s="654"/>
      <c r="AD6" s="655"/>
    </row>
    <row r="7" spans="1:32" s="106" customFormat="1" ht="15.75" thickBot="1">
      <c r="A7" s="161"/>
      <c r="B7" s="171"/>
      <c r="C7" s="172"/>
      <c r="D7" s="173"/>
      <c r="E7" s="172"/>
      <c r="F7" s="171"/>
      <c r="G7" s="174"/>
      <c r="H7" s="175"/>
      <c r="I7" s="171"/>
      <c r="J7" s="171"/>
      <c r="K7" s="171"/>
      <c r="L7" s="171"/>
      <c r="M7" s="172"/>
      <c r="N7" s="163"/>
      <c r="O7" s="173"/>
      <c r="P7" s="171"/>
      <c r="Q7" s="171"/>
      <c r="R7" s="171"/>
      <c r="S7" s="171"/>
      <c r="T7" s="171"/>
      <c r="U7" s="171"/>
      <c r="V7" s="173"/>
      <c r="W7" s="172"/>
      <c r="X7" s="171"/>
      <c r="Y7" s="171"/>
      <c r="Z7" s="171"/>
      <c r="AA7" s="161"/>
      <c r="AB7" s="163"/>
      <c r="AC7" s="163"/>
      <c r="AD7" s="164"/>
    </row>
    <row r="8" spans="1:32" s="106" customFormat="1">
      <c r="A8" s="176"/>
      <c r="B8" s="177"/>
      <c r="C8" s="178"/>
      <c r="D8" s="179"/>
      <c r="E8" s="178"/>
      <c r="F8" s="177"/>
      <c r="G8" s="180"/>
      <c r="H8" s="181"/>
      <c r="I8" s="177"/>
      <c r="J8" s="177"/>
      <c r="K8" s="177"/>
      <c r="L8" s="177"/>
      <c r="M8" s="182"/>
      <c r="N8" s="171"/>
      <c r="O8" s="173"/>
      <c r="P8" s="183"/>
      <c r="Q8" s="177"/>
      <c r="R8" s="177"/>
      <c r="S8" s="177"/>
      <c r="T8" s="177"/>
      <c r="U8" s="177"/>
      <c r="V8" s="179"/>
      <c r="W8" s="178"/>
      <c r="X8" s="177"/>
      <c r="Y8" s="177"/>
      <c r="Z8" s="177"/>
      <c r="AA8" s="176"/>
      <c r="AB8" s="26"/>
      <c r="AC8" s="26"/>
      <c r="AD8" s="165"/>
    </row>
    <row r="9" spans="1:32" ht="14.25" customHeight="1">
      <c r="A9" s="176"/>
      <c r="B9" s="26"/>
      <c r="C9" s="176"/>
      <c r="D9" s="165"/>
      <c r="E9" s="176"/>
      <c r="F9" s="26"/>
      <c r="G9" s="180"/>
      <c r="H9" s="181"/>
      <c r="I9" s="26"/>
      <c r="J9" s="26"/>
      <c r="K9" s="26"/>
      <c r="L9" s="26"/>
      <c r="M9" s="184"/>
      <c r="N9" s="26"/>
      <c r="O9" s="165"/>
      <c r="P9" s="183"/>
      <c r="Q9" s="26"/>
      <c r="R9" s="26"/>
      <c r="S9" s="26"/>
      <c r="T9" s="26"/>
      <c r="U9" s="26"/>
      <c r="V9" s="185"/>
      <c r="W9" s="176"/>
      <c r="X9" s="26"/>
      <c r="Y9" s="26"/>
      <c r="Z9" s="26"/>
      <c r="AA9" s="176"/>
      <c r="AB9" s="26"/>
      <c r="AC9" s="26"/>
      <c r="AD9" s="165"/>
    </row>
    <row r="10" spans="1:32" ht="25.5" customHeight="1">
      <c r="A10" s="176"/>
      <c r="B10" s="26"/>
      <c r="C10" s="176"/>
      <c r="D10" s="165"/>
      <c r="E10" s="42" t="s">
        <v>302</v>
      </c>
      <c r="F10" s="186">
        <f>AVERAGE(E17:E21)</f>
        <v>765205.4</v>
      </c>
      <c r="G10" s="65" t="s">
        <v>302</v>
      </c>
      <c r="H10" s="66">
        <f>AVERAGE(G17:G21)</f>
        <v>425</v>
      </c>
      <c r="I10" s="616"/>
      <c r="J10" s="617"/>
      <c r="K10" s="187" t="s">
        <v>303</v>
      </c>
      <c r="L10" s="434">
        <v>3938.53</v>
      </c>
      <c r="M10" s="46" t="s">
        <v>304</v>
      </c>
      <c r="N10" s="662">
        <f>AVERAGE(M17,M19,M20,M21)</f>
        <v>2993750</v>
      </c>
      <c r="O10" s="663"/>
      <c r="P10" s="183"/>
      <c r="Q10" s="26"/>
      <c r="R10" s="188" t="str">
        <f>K10</f>
        <v>TRM (07 JUNIO  2024) =</v>
      </c>
      <c r="S10" s="435">
        <f>L10</f>
        <v>3938.53</v>
      </c>
      <c r="T10" s="26"/>
      <c r="U10" s="189"/>
      <c r="V10" s="165"/>
      <c r="W10" s="176"/>
      <c r="X10" s="620" t="s">
        <v>305</v>
      </c>
      <c r="Y10" s="621">
        <f>MAX(Y17,Y20,Y21)</f>
        <v>0.30793650793650795</v>
      </c>
      <c r="Z10" s="26"/>
      <c r="AA10" s="176"/>
      <c r="AB10" s="26"/>
      <c r="AC10" s="26"/>
      <c r="AD10" s="165"/>
    </row>
    <row r="11" spans="1:32" ht="33" customHeight="1">
      <c r="A11" s="176"/>
      <c r="B11" s="26"/>
      <c r="C11" s="176"/>
      <c r="D11" s="165"/>
      <c r="E11" s="176"/>
      <c r="F11" s="26"/>
      <c r="G11" s="176"/>
      <c r="H11" s="63"/>
      <c r="I11" s="616"/>
      <c r="J11" s="617"/>
      <c r="K11" s="187" t="s">
        <v>306</v>
      </c>
      <c r="L11" s="45">
        <f>ABS(L10-TRUNC(L10))</f>
        <v>0.53000000000020009</v>
      </c>
      <c r="M11" s="46" t="s">
        <v>307</v>
      </c>
      <c r="N11" s="664">
        <f>(MAX(M17,M19,M20,M21)+N10)/2</f>
        <v>3151875</v>
      </c>
      <c r="O11" s="665"/>
      <c r="P11" s="183"/>
      <c r="Q11" s="26"/>
      <c r="R11" s="188" t="s">
        <v>306</v>
      </c>
      <c r="S11" s="47">
        <f>L11</f>
        <v>0.53000000000020009</v>
      </c>
      <c r="T11" s="26"/>
      <c r="U11" s="27"/>
      <c r="V11" s="165"/>
      <c r="W11" s="176"/>
      <c r="X11" s="620"/>
      <c r="Y11" s="621"/>
      <c r="Z11" s="26"/>
      <c r="AA11" s="176"/>
      <c r="AB11" s="26"/>
      <c r="AC11" s="26"/>
      <c r="AD11" s="165"/>
    </row>
    <row r="12" spans="1:32" ht="20.25" customHeight="1">
      <c r="A12" s="176"/>
      <c r="B12" s="26"/>
      <c r="C12" s="176"/>
      <c r="D12" s="165"/>
      <c r="E12" s="41"/>
      <c r="F12" s="190"/>
      <c r="G12" s="64"/>
      <c r="H12" s="191"/>
      <c r="I12" s="616"/>
      <c r="J12" s="617"/>
      <c r="K12" s="192" t="s">
        <v>308</v>
      </c>
      <c r="L12" s="193" t="str">
        <f>IF(L11&lt;=0.49,"Menor Valor", "Media Aritmética")</f>
        <v>Media Aritmética</v>
      </c>
      <c r="M12" s="178"/>
      <c r="N12" s="177"/>
      <c r="O12" s="179"/>
      <c r="P12" s="183"/>
      <c r="Q12" s="26"/>
      <c r="R12" s="194" t="s">
        <v>308</v>
      </c>
      <c r="S12" s="195" t="str">
        <f>IF(S11&lt;=0.49,"Media Aritmética", "Media Geométrica")</f>
        <v>Media Geométrica</v>
      </c>
      <c r="T12" s="26"/>
      <c r="U12" s="196"/>
      <c r="V12" s="165"/>
      <c r="W12" s="176"/>
      <c r="X12" s="26"/>
      <c r="Y12" s="197"/>
      <c r="Z12" s="26"/>
      <c r="AA12" s="176"/>
      <c r="AB12" s="26"/>
      <c r="AC12" s="26"/>
      <c r="AD12" s="165"/>
    </row>
    <row r="13" spans="1:32" ht="15" customHeight="1">
      <c r="A13" s="176"/>
      <c r="B13" s="26"/>
      <c r="C13" s="176"/>
      <c r="D13" s="165"/>
      <c r="E13" s="41"/>
      <c r="F13" s="190"/>
      <c r="G13" s="180"/>
      <c r="H13" s="181"/>
      <c r="I13" s="618"/>
      <c r="J13" s="619"/>
      <c r="K13" s="437" t="str">
        <f>L12</f>
        <v>Media Aritmética</v>
      </c>
      <c r="L13" s="198">
        <f>IF(K13="Media Aritmética",AVERAGE(I17,I19,I20,I21),MIN(I17,I19,I20,I21))</f>
        <v>40797827.6175</v>
      </c>
      <c r="M13" s="178"/>
      <c r="N13" s="177"/>
      <c r="O13" s="179"/>
      <c r="P13" s="183"/>
      <c r="Q13" s="26"/>
      <c r="R13" s="436" t="str">
        <f>S12</f>
        <v>Media Geométrica</v>
      </c>
      <c r="S13" s="199">
        <f>IF(R13="Media Aritmética",AVERAGE(T17,T20,T21),GEOMEAN(T17,T20,T21))</f>
        <v>25679.760038154269</v>
      </c>
      <c r="T13" s="26"/>
      <c r="U13" s="200"/>
      <c r="V13" s="165"/>
      <c r="W13" s="176"/>
      <c r="X13" s="26"/>
      <c r="Y13" s="26"/>
      <c r="Z13" s="26"/>
      <c r="AA13" s="176"/>
      <c r="AB13" s="26"/>
      <c r="AC13" s="26"/>
      <c r="AD13" s="165"/>
    </row>
    <row r="14" spans="1:32" ht="18.75" thickBot="1">
      <c r="A14" s="201"/>
      <c r="B14" s="202"/>
      <c r="C14" s="201"/>
      <c r="D14" s="203"/>
      <c r="E14" s="204"/>
      <c r="F14" s="205"/>
      <c r="G14" s="180"/>
      <c r="H14" s="181"/>
      <c r="I14" s="206"/>
      <c r="J14" s="206"/>
      <c r="K14" s="26"/>
      <c r="L14" s="206"/>
      <c r="M14" s="178"/>
      <c r="N14" s="177"/>
      <c r="O14" s="179"/>
      <c r="P14" s="26"/>
      <c r="Q14" s="207"/>
      <c r="R14" s="207"/>
      <c r="S14" s="208"/>
      <c r="T14" s="209"/>
      <c r="U14" s="209"/>
      <c r="V14" s="203"/>
      <c r="W14" s="204"/>
      <c r="X14" s="205"/>
      <c r="Y14" s="205"/>
      <c r="Z14" s="26"/>
      <c r="AA14" s="201"/>
      <c r="AB14" s="202"/>
      <c r="AC14" s="202"/>
      <c r="AD14" s="210"/>
      <c r="AE14" s="441"/>
      <c r="AF14" s="441"/>
    </row>
    <row r="15" spans="1:32" ht="19.5" customHeight="1">
      <c r="A15" s="184"/>
      <c r="B15" s="656" t="s">
        <v>309</v>
      </c>
      <c r="C15" s="658" t="s">
        <v>310</v>
      </c>
      <c r="D15" s="658"/>
      <c r="E15" s="659" t="s">
        <v>311</v>
      </c>
      <c r="F15" s="659"/>
      <c r="G15" s="615" t="s">
        <v>312</v>
      </c>
      <c r="H15" s="615"/>
      <c r="I15" s="630" t="s">
        <v>313</v>
      </c>
      <c r="J15" s="630"/>
      <c r="K15" s="630"/>
      <c r="L15" s="630"/>
      <c r="M15" s="660" t="s">
        <v>314</v>
      </c>
      <c r="N15" s="660"/>
      <c r="O15" s="660"/>
      <c r="P15" s="661" t="s">
        <v>315</v>
      </c>
      <c r="Q15" s="661"/>
      <c r="R15" s="661"/>
      <c r="S15" s="661"/>
      <c r="T15" s="661"/>
      <c r="U15" s="661"/>
      <c r="V15" s="661"/>
      <c r="W15" s="613" t="s">
        <v>316</v>
      </c>
      <c r="X15" s="613"/>
      <c r="Y15" s="613"/>
      <c r="Z15" s="614"/>
      <c r="AA15" s="127"/>
      <c r="AB15" s="651" t="s">
        <v>317</v>
      </c>
      <c r="AC15" s="652"/>
      <c r="AD15" s="165"/>
    </row>
    <row r="16" spans="1:32" ht="144" customHeight="1">
      <c r="A16" s="211"/>
      <c r="B16" s="657"/>
      <c r="C16" s="212" t="s">
        <v>318</v>
      </c>
      <c r="D16" s="213" t="s">
        <v>319</v>
      </c>
      <c r="E16" s="214" t="s">
        <v>320</v>
      </c>
      <c r="F16" s="214" t="s">
        <v>319</v>
      </c>
      <c r="G16" s="215" t="s">
        <v>321</v>
      </c>
      <c r="H16" s="215" t="s">
        <v>319</v>
      </c>
      <c r="I16" s="216" t="s">
        <v>322</v>
      </c>
      <c r="J16" s="216" t="s">
        <v>323</v>
      </c>
      <c r="K16" s="216" t="s">
        <v>324</v>
      </c>
      <c r="L16" s="216" t="s">
        <v>319</v>
      </c>
      <c r="M16" s="217" t="s">
        <v>325</v>
      </c>
      <c r="N16" s="217" t="s">
        <v>326</v>
      </c>
      <c r="O16" s="218" t="s">
        <v>319</v>
      </c>
      <c r="P16" s="219" t="s">
        <v>327</v>
      </c>
      <c r="Q16" s="220" t="s">
        <v>328</v>
      </c>
      <c r="R16" s="220" t="s">
        <v>324</v>
      </c>
      <c r="S16" s="219" t="s">
        <v>329</v>
      </c>
      <c r="T16" s="219" t="s">
        <v>330</v>
      </c>
      <c r="U16" s="219" t="s">
        <v>331</v>
      </c>
      <c r="V16" s="221" t="s">
        <v>319</v>
      </c>
      <c r="W16" s="222" t="s">
        <v>332</v>
      </c>
      <c r="X16" s="215" t="s">
        <v>333</v>
      </c>
      <c r="Y16" s="215" t="s">
        <v>334</v>
      </c>
      <c r="Z16" s="223" t="s">
        <v>319</v>
      </c>
      <c r="AA16" s="224"/>
      <c r="AB16" s="225" t="s">
        <v>335</v>
      </c>
      <c r="AC16" s="226" t="s">
        <v>336</v>
      </c>
      <c r="AD16" s="165"/>
      <c r="AF16" s="227"/>
    </row>
    <row r="17" spans="1:31" s="356" customFormat="1" ht="25.5" customHeight="1">
      <c r="A17" s="228" t="s">
        <v>337</v>
      </c>
      <c r="B17" s="229" t="s">
        <v>3</v>
      </c>
      <c r="C17" s="230">
        <v>157</v>
      </c>
      <c r="D17" s="231">
        <v>10</v>
      </c>
      <c r="E17" s="232">
        <v>1092800</v>
      </c>
      <c r="F17" s="233">
        <f>IF(E17&gt;$F$10,15*(1-2*((ABS($F$10-E17)/$F$10))),15*(1-((($F$10-E17)/$F$10))))</f>
        <v>2.1566013517416383</v>
      </c>
      <c r="G17" s="234">
        <v>450</v>
      </c>
      <c r="H17" s="235">
        <f>IF(G17&gt;$H$10,5*(1-2*((ABS($H$10-G17)/$H$10))),5*(1-((($H$10-G17)/$H$10))))</f>
        <v>4.4117647058823533</v>
      </c>
      <c r="I17" s="352">
        <v>40380695.43</v>
      </c>
      <c r="J17" s="352">
        <f>K56</f>
        <v>38503633.055382974</v>
      </c>
      <c r="K17" s="236" t="str">
        <f>IF(I17&lt;J17,"NO CUMPLE", "CUMPLE")</f>
        <v>CUMPLE</v>
      </c>
      <c r="L17" s="237">
        <f>IF(I17&gt;$L$13,45*(1-2*((ABS($L$13-I17)/$L$13))),45*(1-((($L$13-I17)/$L$13))))</f>
        <v>44.539903236675073</v>
      </c>
      <c r="M17" s="353">
        <v>2990000</v>
      </c>
      <c r="N17" s="353">
        <v>900000</v>
      </c>
      <c r="O17" s="238">
        <f>IF(M17&gt;$N$11,5*(1-2*((ABS($N$11-M17)/$N$11))),5*(1-((($N$11-M17)/$N$11))))</f>
        <v>4.7432084076938335</v>
      </c>
      <c r="P17" s="239">
        <v>16266</v>
      </c>
      <c r="Q17" s="240">
        <f>V45</f>
        <v>16264.725127284</v>
      </c>
      <c r="R17" s="241" t="str">
        <f>IF(P17&lt;Q17,"NO CUMPLE", "CUMPLE")</f>
        <v>CUMPLE</v>
      </c>
      <c r="S17" s="239">
        <v>9928</v>
      </c>
      <c r="T17" s="242">
        <f>P17+S17</f>
        <v>26194</v>
      </c>
      <c r="U17" s="243">
        <f>ABS($S$13-T17)</f>
        <v>514.23996184573116</v>
      </c>
      <c r="V17" s="244">
        <v>3</v>
      </c>
      <c r="W17" s="245">
        <v>945</v>
      </c>
      <c r="X17" s="246">
        <v>291</v>
      </c>
      <c r="Y17" s="247">
        <f>X17/W17</f>
        <v>0.30793650793650795</v>
      </c>
      <c r="Z17" s="248">
        <f>15*(Y17)/$Y$10</f>
        <v>15</v>
      </c>
      <c r="AA17" s="249"/>
      <c r="AB17" s="354">
        <f>D17+F17+H17+L17+O17+V17+Z17</f>
        <v>83.851477701992891</v>
      </c>
      <c r="AC17" s="250">
        <v>2</v>
      </c>
      <c r="AD17" s="355"/>
    </row>
    <row r="18" spans="1:31" s="356" customFormat="1" ht="26.25" customHeight="1">
      <c r="A18" s="228" t="s">
        <v>338</v>
      </c>
      <c r="B18" s="229" t="s">
        <v>4</v>
      </c>
      <c r="C18" s="230">
        <v>157</v>
      </c>
      <c r="D18" s="231">
        <v>10</v>
      </c>
      <c r="E18" s="232">
        <v>214032</v>
      </c>
      <c r="F18" s="233">
        <f t="shared" ref="F18:F20" si="0">IF(E18&gt;$F$10,15*(1-2*((ABS($F$10-E18)/$F$10))),15*(1-((($F$10-E18)/$F$10))))</f>
        <v>4.1955793829996493</v>
      </c>
      <c r="G18" s="234">
        <v>409</v>
      </c>
      <c r="H18" s="235">
        <f t="shared" ref="H18:H21" si="1">IF(G18&gt;$H$10,5*(1-2*((ABS($H$10-G18)/$H$10))),5*(1-((($H$10-G18)/$H$10))))</f>
        <v>4.8117647058823536</v>
      </c>
      <c r="I18" s="357">
        <v>29516570</v>
      </c>
      <c r="J18" s="357">
        <f>K66</f>
        <v>38503257.044382975</v>
      </c>
      <c r="K18" s="251" t="str">
        <f t="shared" ref="K18:K21" si="2">IF(I18&lt;J18,"NO CUMPLE", "CUMPLE")</f>
        <v>NO CUMPLE</v>
      </c>
      <c r="L18" s="237"/>
      <c r="M18" s="353">
        <v>3406000</v>
      </c>
      <c r="N18" s="353">
        <v>162000</v>
      </c>
      <c r="O18" s="238"/>
      <c r="P18" s="252">
        <v>15962</v>
      </c>
      <c r="Q18" s="253">
        <f>V60</f>
        <v>16264.669006388878</v>
      </c>
      <c r="R18" s="254" t="str">
        <f t="shared" ref="R18:R21" si="3">IF(P18&lt;Q18,"NO CUMPLE", "CUMPLE")</f>
        <v>NO CUMPLE</v>
      </c>
      <c r="S18" s="239">
        <v>8559</v>
      </c>
      <c r="T18" s="242">
        <f t="shared" ref="T18:T19" si="4">P18+S18</f>
        <v>24521</v>
      </c>
      <c r="U18" s="243"/>
      <c r="V18" s="244"/>
      <c r="W18" s="255">
        <v>2706</v>
      </c>
      <c r="X18" s="256">
        <v>140</v>
      </c>
      <c r="Y18" s="257">
        <f t="shared" ref="Y18:Y21" si="5">X18/W18</f>
        <v>5.1736881005173686E-2</v>
      </c>
      <c r="Z18" s="248"/>
      <c r="AA18" s="249"/>
      <c r="AB18" s="354"/>
      <c r="AC18" s="250"/>
      <c r="AD18" s="355"/>
      <c r="AE18" s="358"/>
    </row>
    <row r="19" spans="1:31" s="356" customFormat="1" ht="18.75">
      <c r="A19" s="228" t="s">
        <v>339</v>
      </c>
      <c r="B19" s="229" t="s">
        <v>5</v>
      </c>
      <c r="C19" s="230">
        <v>157</v>
      </c>
      <c r="D19" s="231">
        <v>10</v>
      </c>
      <c r="E19" s="232">
        <v>1056000</v>
      </c>
      <c r="F19" s="233">
        <f t="shared" si="0"/>
        <v>3.5993512330153452</v>
      </c>
      <c r="G19" s="234">
        <v>225</v>
      </c>
      <c r="H19" s="235">
        <f t="shared" si="1"/>
        <v>2.6470588235294117</v>
      </c>
      <c r="I19" s="359">
        <v>39948802.520000003</v>
      </c>
      <c r="J19" s="359">
        <f>K76</f>
        <v>38501569.58038298</v>
      </c>
      <c r="K19" s="258" t="str">
        <f t="shared" si="2"/>
        <v>CUMPLE</v>
      </c>
      <c r="L19" s="237">
        <f t="shared" ref="L19:L21" si="6">IF(I19&gt;$L$13,45*(1-2*((ABS($L$13-I19)/$L$13))),45*(1-((($L$13-I19)/$L$13))))</f>
        <v>44.06352539782997</v>
      </c>
      <c r="M19" s="353">
        <v>2425000</v>
      </c>
      <c r="N19" s="353">
        <v>704000</v>
      </c>
      <c r="O19" s="238">
        <f t="shared" ref="O19:O21" si="7">IF(M19&gt;$N$11,5*(1-2*((ABS($N$11-M19)/$N$11))),5*(1-((($N$11-M19)/$N$11))))</f>
        <v>3.846916517945667</v>
      </c>
      <c r="P19" s="252">
        <v>14779</v>
      </c>
      <c r="Q19" s="253">
        <f>V71</f>
        <v>16264.417146761998</v>
      </c>
      <c r="R19" s="254" t="str">
        <f t="shared" si="3"/>
        <v>NO CUMPLE</v>
      </c>
      <c r="S19" s="239">
        <v>10417</v>
      </c>
      <c r="T19" s="242">
        <f t="shared" si="4"/>
        <v>25196</v>
      </c>
      <c r="U19" s="243"/>
      <c r="V19" s="244"/>
      <c r="W19" s="255">
        <v>5428</v>
      </c>
      <c r="X19" s="256">
        <v>728</v>
      </c>
      <c r="Y19" s="257">
        <f t="shared" si="5"/>
        <v>0.13411938098747236</v>
      </c>
      <c r="Z19" s="248"/>
      <c r="AA19" s="249"/>
      <c r="AB19" s="354"/>
      <c r="AC19" s="250"/>
      <c r="AD19" s="355"/>
    </row>
    <row r="20" spans="1:31" s="356" customFormat="1" ht="23.25" customHeight="1">
      <c r="A20" s="228" t="s">
        <v>340</v>
      </c>
      <c r="B20" s="229" t="s">
        <v>6</v>
      </c>
      <c r="C20" s="230">
        <v>158</v>
      </c>
      <c r="D20" s="231">
        <v>10</v>
      </c>
      <c r="E20" s="232">
        <v>1014080</v>
      </c>
      <c r="F20" s="233">
        <f t="shared" si="0"/>
        <v>5.2428315325532209</v>
      </c>
      <c r="G20" s="234">
        <v>500</v>
      </c>
      <c r="H20" s="235">
        <f t="shared" si="1"/>
        <v>3.2352941176470584</v>
      </c>
      <c r="I20" s="352">
        <v>41192256.310000002</v>
      </c>
      <c r="J20" s="352">
        <f>K86</f>
        <v>38504091.605382979</v>
      </c>
      <c r="K20" s="236" t="str">
        <f t="shared" si="2"/>
        <v>CUMPLE</v>
      </c>
      <c r="L20" s="237">
        <f t="shared" si="6"/>
        <v>44.129890379021717</v>
      </c>
      <c r="M20" s="353">
        <v>3310000</v>
      </c>
      <c r="N20" s="353">
        <v>400000</v>
      </c>
      <c r="O20" s="238">
        <f t="shared" si="7"/>
        <v>4.4983144953400753</v>
      </c>
      <c r="P20" s="239">
        <v>16266</v>
      </c>
      <c r="Q20" s="240">
        <f>V82</f>
        <v>16264.7935674</v>
      </c>
      <c r="R20" s="241" t="str">
        <f t="shared" si="3"/>
        <v>CUMPLE</v>
      </c>
      <c r="S20" s="239">
        <v>9330</v>
      </c>
      <c r="T20" s="242">
        <f t="shared" ref="T20:T21" si="8">P20+S20</f>
        <v>25596</v>
      </c>
      <c r="U20" s="243">
        <f t="shared" ref="U20:U21" si="9">ABS($S$13-T20)</f>
        <v>83.760038154268841</v>
      </c>
      <c r="V20" s="244">
        <v>5</v>
      </c>
      <c r="W20" s="259">
        <v>5893</v>
      </c>
      <c r="X20" s="246">
        <v>939</v>
      </c>
      <c r="Y20" s="247">
        <f t="shared" si="5"/>
        <v>0.15934159171898862</v>
      </c>
      <c r="Z20" s="248">
        <f t="shared" ref="Z20:Z21" si="10">15*(Y20)/$Y$10</f>
        <v>7.761742483218776</v>
      </c>
      <c r="AA20" s="249"/>
      <c r="AB20" s="354">
        <f t="shared" ref="AB20:AB21" si="11">D20+F20+H20+L20+O20+V20+Z20</f>
        <v>79.868073007780865</v>
      </c>
      <c r="AC20" s="250">
        <v>3</v>
      </c>
      <c r="AD20" s="360"/>
      <c r="AE20" s="358"/>
    </row>
    <row r="21" spans="1:31" s="356" customFormat="1" ht="21" customHeight="1" thickBot="1">
      <c r="A21" s="228" t="s">
        <v>341</v>
      </c>
      <c r="B21" s="260" t="s">
        <v>7</v>
      </c>
      <c r="C21" s="261">
        <v>160</v>
      </c>
      <c r="D21" s="262">
        <v>10</v>
      </c>
      <c r="E21" s="263">
        <v>449115</v>
      </c>
      <c r="F21" s="264">
        <f>IF(E21&gt;$F$10,15*(1-2*((ABS($F$10-E21)/$F$10))),15*(1-((($F$10-E21)/$F$10))))</f>
        <v>8.8038126756554504</v>
      </c>
      <c r="G21" s="265">
        <v>541</v>
      </c>
      <c r="H21" s="266">
        <f t="shared" si="1"/>
        <v>2.2705882352941176</v>
      </c>
      <c r="I21" s="361">
        <v>41669556.210000001</v>
      </c>
      <c r="J21" s="361">
        <f>K96</f>
        <v>38504467.616382979</v>
      </c>
      <c r="K21" s="267" t="str">
        <f t="shared" si="2"/>
        <v>CUMPLE</v>
      </c>
      <c r="L21" s="268">
        <f t="shared" si="6"/>
        <v>43.076966889988356</v>
      </c>
      <c r="M21" s="362">
        <v>3250000</v>
      </c>
      <c r="N21" s="362">
        <v>250000</v>
      </c>
      <c r="O21" s="269">
        <f t="shared" si="7"/>
        <v>4.6886773745786234</v>
      </c>
      <c r="P21" s="270">
        <v>16265</v>
      </c>
      <c r="Q21" s="271">
        <f>V93</f>
        <v>16264.849688295119</v>
      </c>
      <c r="R21" s="272" t="str">
        <f t="shared" si="3"/>
        <v>CUMPLE</v>
      </c>
      <c r="S21" s="270">
        <v>8993</v>
      </c>
      <c r="T21" s="273">
        <f t="shared" si="8"/>
        <v>25258</v>
      </c>
      <c r="U21" s="274">
        <f t="shared" si="9"/>
        <v>421.76003815426884</v>
      </c>
      <c r="V21" s="275">
        <v>4</v>
      </c>
      <c r="W21" s="276">
        <v>2646</v>
      </c>
      <c r="X21" s="277">
        <v>737</v>
      </c>
      <c r="Y21" s="278">
        <f t="shared" si="5"/>
        <v>0.27853363567649281</v>
      </c>
      <c r="Z21" s="279">
        <f t="shared" si="10"/>
        <v>13.567746686303385</v>
      </c>
      <c r="AA21" s="249"/>
      <c r="AB21" s="363">
        <f t="shared" si="11"/>
        <v>86.407791861819916</v>
      </c>
      <c r="AC21" s="280">
        <v>1</v>
      </c>
      <c r="AD21" s="360"/>
    </row>
    <row r="22" spans="1:31" ht="15.75" customHeight="1" thickBot="1">
      <c r="A22" s="167"/>
      <c r="B22" s="281"/>
      <c r="C22" s="168"/>
      <c r="D22" s="168"/>
      <c r="E22" s="168"/>
      <c r="F22" s="168"/>
      <c r="G22" s="168"/>
      <c r="H22" s="168"/>
      <c r="I22" s="168"/>
      <c r="J22" s="168"/>
      <c r="K22" s="168"/>
      <c r="L22" s="168"/>
      <c r="M22" s="168"/>
      <c r="N22" s="168"/>
      <c r="O22" s="168"/>
      <c r="P22" s="168"/>
      <c r="Q22" s="168"/>
      <c r="R22" s="168"/>
      <c r="S22" s="168"/>
      <c r="T22" s="282"/>
      <c r="U22" s="168"/>
      <c r="V22" s="168"/>
      <c r="W22" s="168"/>
      <c r="X22" s="168"/>
      <c r="Y22" s="168"/>
      <c r="Z22" s="168"/>
      <c r="AA22" s="167"/>
      <c r="AB22" s="168"/>
      <c r="AC22" s="168"/>
      <c r="AD22" s="170"/>
    </row>
    <row r="23" spans="1:31" ht="15.75" customHeight="1" thickBot="1">
      <c r="A23" s="17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165"/>
    </row>
    <row r="24" spans="1:31" ht="15.75" customHeight="1" thickBot="1">
      <c r="A24" s="176"/>
      <c r="B24" s="26"/>
      <c r="C24" s="10" t="s">
        <v>342</v>
      </c>
      <c r="D24" s="11"/>
      <c r="E24" s="11"/>
      <c r="F24" s="11"/>
      <c r="G24" s="11"/>
      <c r="H24" s="11"/>
      <c r="I24" s="11"/>
      <c r="J24" s="11"/>
      <c r="K24" s="12"/>
      <c r="L24" s="12"/>
      <c r="M24" s="640" t="s">
        <v>343</v>
      </c>
      <c r="N24" s="722"/>
      <c r="O24" s="722"/>
      <c r="P24" s="722"/>
      <c r="Q24" s="722"/>
      <c r="R24" s="722"/>
      <c r="S24" s="722"/>
      <c r="T24" s="722"/>
      <c r="U24" s="722"/>
      <c r="V24" s="722"/>
      <c r="W24" s="723"/>
      <c r="X24" s="26"/>
      <c r="Y24" s="26"/>
      <c r="Z24" s="26"/>
      <c r="AA24" s="26"/>
      <c r="AB24" s="283"/>
      <c r="AC24" s="283"/>
      <c r="AD24" s="165"/>
    </row>
    <row r="25" spans="1:31" ht="15.75" customHeight="1">
      <c r="A25" s="176"/>
      <c r="B25" s="26"/>
      <c r="C25" s="284"/>
      <c r="D25" s="647" t="s">
        <v>129</v>
      </c>
      <c r="E25" s="647"/>
      <c r="F25" s="647"/>
      <c r="G25" s="285">
        <v>1300000</v>
      </c>
      <c r="H25" s="166"/>
      <c r="I25" s="648" t="s">
        <v>344</v>
      </c>
      <c r="J25" s="649"/>
      <c r="K25" s="650"/>
      <c r="L25" s="402">
        <v>162000</v>
      </c>
      <c r="M25" s="286"/>
      <c r="N25" s="166"/>
      <c r="O25" s="166"/>
      <c r="P25" s="166"/>
      <c r="Q25" s="166"/>
      <c r="R25" s="166"/>
      <c r="S25" s="166"/>
      <c r="T25" s="166"/>
      <c r="U25" s="166"/>
      <c r="V25" s="166"/>
      <c r="W25" s="287"/>
      <c r="X25" s="26"/>
      <c r="Y25" s="26"/>
      <c r="Z25" s="26"/>
      <c r="AA25" s="26"/>
      <c r="AB25" s="283"/>
      <c r="AC25" s="283"/>
      <c r="AD25" s="165"/>
    </row>
    <row r="26" spans="1:31" ht="15.75" customHeight="1">
      <c r="A26" s="176"/>
      <c r="B26" s="26"/>
      <c r="C26" s="666" t="s">
        <v>345</v>
      </c>
      <c r="D26" s="668" t="s">
        <v>346</v>
      </c>
      <c r="E26" s="724"/>
      <c r="F26" s="725"/>
      <c r="G26" s="13">
        <f>G25*1.4</f>
        <v>1820000</v>
      </c>
      <c r="H26" s="166"/>
      <c r="I26" s="166"/>
      <c r="J26" s="166"/>
      <c r="K26" s="287"/>
      <c r="L26" s="287"/>
      <c r="M26" s="284"/>
      <c r="N26" s="166"/>
      <c r="O26" s="166"/>
      <c r="P26" s="166"/>
      <c r="Q26" s="166"/>
      <c r="R26" s="166"/>
      <c r="S26" s="166"/>
      <c r="T26" s="166"/>
      <c r="U26" s="166"/>
      <c r="V26" s="166"/>
      <c r="W26" s="287"/>
      <c r="X26" s="26"/>
      <c r="Y26" s="26"/>
      <c r="Z26" s="26"/>
      <c r="AA26" s="26"/>
      <c r="AB26" s="26"/>
      <c r="AC26" s="26"/>
      <c r="AD26" s="165"/>
    </row>
    <row r="27" spans="1:31" ht="41.25" customHeight="1">
      <c r="A27" s="176"/>
      <c r="B27" s="114"/>
      <c r="C27" s="667"/>
      <c r="D27" s="14" t="s">
        <v>347</v>
      </c>
      <c r="E27" s="14" t="s">
        <v>348</v>
      </c>
      <c r="F27" s="14" t="s">
        <v>349</v>
      </c>
      <c r="G27" s="14" t="s">
        <v>350</v>
      </c>
      <c r="H27" s="14" t="s">
        <v>351</v>
      </c>
      <c r="I27" s="14" t="s">
        <v>352</v>
      </c>
      <c r="J27" s="15" t="s">
        <v>353</v>
      </c>
      <c r="K27" s="16" t="s">
        <v>354</v>
      </c>
      <c r="L27" s="287"/>
      <c r="M27" s="284"/>
      <c r="N27" s="288" t="s">
        <v>355</v>
      </c>
      <c r="O27" s="288" t="s">
        <v>356</v>
      </c>
      <c r="P27" s="289" t="s">
        <v>317</v>
      </c>
      <c r="Q27" s="166"/>
      <c r="R27" s="166"/>
      <c r="S27" s="166"/>
      <c r="T27" s="166"/>
      <c r="U27" s="166"/>
      <c r="V27" s="114"/>
      <c r="W27" s="181"/>
      <c r="X27" s="26"/>
      <c r="Y27" s="26"/>
      <c r="Z27" s="26"/>
      <c r="AA27" s="26"/>
      <c r="AB27" s="26"/>
      <c r="AC27" s="26"/>
      <c r="AD27" s="165"/>
    </row>
    <row r="28" spans="1:31" ht="95.25" customHeight="1">
      <c r="A28" s="176"/>
      <c r="B28" s="114"/>
      <c r="C28" s="290" t="s">
        <v>357</v>
      </c>
      <c r="D28" s="291"/>
      <c r="E28" s="291"/>
      <c r="F28" s="291"/>
      <c r="G28" s="291"/>
      <c r="H28" s="291"/>
      <c r="I28" s="292"/>
      <c r="J28" s="293"/>
      <c r="K28" s="44"/>
      <c r="L28" s="287"/>
      <c r="M28" s="294" t="s">
        <v>129</v>
      </c>
      <c r="N28" s="295">
        <v>1300000</v>
      </c>
      <c r="O28" s="296">
        <v>9.14</v>
      </c>
      <c r="P28" s="297">
        <f>N28*O28</f>
        <v>11882000</v>
      </c>
      <c r="Q28" s="166"/>
      <c r="R28" s="166"/>
      <c r="S28" s="298"/>
      <c r="T28" s="166"/>
      <c r="U28" s="166"/>
      <c r="V28" s="114"/>
      <c r="W28" s="181"/>
      <c r="X28" s="26"/>
      <c r="Y28" s="26"/>
      <c r="Z28" s="26"/>
      <c r="AA28" s="26"/>
      <c r="AB28" s="26"/>
      <c r="AC28" s="26"/>
      <c r="AD28" s="165"/>
    </row>
    <row r="29" spans="1:31">
      <c r="A29" s="176"/>
      <c r="B29" s="114"/>
      <c r="C29" s="400" t="s">
        <v>358</v>
      </c>
      <c r="D29" s="299">
        <v>0.5</v>
      </c>
      <c r="E29" s="299">
        <v>5</v>
      </c>
      <c r="F29" s="299">
        <f>+E29*D29</f>
        <v>2.5</v>
      </c>
      <c r="G29" s="291"/>
      <c r="H29" s="300">
        <f>F29*$D$39</f>
        <v>10.863100000000001</v>
      </c>
      <c r="I29" s="301">
        <f>G26/230</f>
        <v>7913.04347826087</v>
      </c>
      <c r="J29" s="293">
        <v>0.35</v>
      </c>
      <c r="K29" s="44">
        <f>+J29*I29*H29</f>
        <v>30086.063913043483</v>
      </c>
      <c r="L29" s="287"/>
      <c r="M29" s="302"/>
      <c r="N29" s="303"/>
      <c r="O29" s="304" t="s">
        <v>359</v>
      </c>
      <c r="P29" s="166"/>
      <c r="Q29" s="303"/>
      <c r="R29" s="166"/>
      <c r="S29" s="166"/>
      <c r="T29" s="298"/>
      <c r="U29" s="166"/>
      <c r="V29" s="166"/>
      <c r="W29" s="287"/>
      <c r="X29" s="26"/>
      <c r="Y29" s="26"/>
      <c r="Z29" s="26"/>
      <c r="AA29" s="26"/>
      <c r="AB29" s="26"/>
      <c r="AC29" s="26"/>
      <c r="AD29" s="165"/>
    </row>
    <row r="30" spans="1:31" ht="15.75" customHeight="1">
      <c r="A30" s="176"/>
      <c r="B30" s="114"/>
      <c r="C30" s="400" t="s">
        <v>360</v>
      </c>
      <c r="D30" s="299">
        <f>F30/E30</f>
        <v>7.666666666666667</v>
      </c>
      <c r="E30" s="299">
        <v>6</v>
      </c>
      <c r="F30" s="299">
        <f>46</f>
        <v>46</v>
      </c>
      <c r="G30" s="299">
        <f>D38</f>
        <v>7.666666666666667</v>
      </c>
      <c r="H30" s="300">
        <v>230</v>
      </c>
      <c r="I30" s="301">
        <f>+G26/H30</f>
        <v>7913.04347826087</v>
      </c>
      <c r="J30" s="293">
        <v>1</v>
      </c>
      <c r="K30" s="44">
        <f>+J30*I30*H30</f>
        <v>1820000</v>
      </c>
      <c r="L30" s="287"/>
      <c r="M30" s="284"/>
      <c r="N30" s="166"/>
      <c r="O30" s="166"/>
      <c r="P30" s="166"/>
      <c r="Q30" s="166"/>
      <c r="R30" s="166"/>
      <c r="S30" s="166"/>
      <c r="T30" s="305"/>
      <c r="U30" s="166"/>
      <c r="V30" s="166"/>
      <c r="W30" s="287"/>
      <c r="X30" s="26"/>
      <c r="Y30" s="26"/>
      <c r="Z30" s="26"/>
      <c r="AA30" s="26"/>
      <c r="AB30" s="26"/>
      <c r="AC30" s="26"/>
      <c r="AD30" s="165"/>
    </row>
    <row r="31" spans="1:31" ht="15.75" customHeight="1">
      <c r="A31" s="176"/>
      <c r="B31" s="114"/>
      <c r="C31" s="400" t="s">
        <v>361</v>
      </c>
      <c r="D31" s="299">
        <f>12-D30</f>
        <v>4.333333333333333</v>
      </c>
      <c r="E31" s="299">
        <v>5</v>
      </c>
      <c r="F31" s="299">
        <f>+E31*D31</f>
        <v>21.666666666666664</v>
      </c>
      <c r="G31" s="299"/>
      <c r="H31" s="300">
        <f>+F31*$D$39</f>
        <v>94.146866666666668</v>
      </c>
      <c r="I31" s="301">
        <f t="shared" ref="I31:I32" si="12">+I30</f>
        <v>7913.04347826087</v>
      </c>
      <c r="J31" s="293">
        <v>1.25</v>
      </c>
      <c r="K31" s="44">
        <f>+J31*I31*H31</f>
        <v>931235.311594203</v>
      </c>
      <c r="L31" s="287"/>
      <c r="M31" s="284"/>
      <c r="N31" s="166"/>
      <c r="O31" s="166"/>
      <c r="P31" s="166"/>
      <c r="Q31" s="166"/>
      <c r="R31" s="166"/>
      <c r="S31" s="26"/>
      <c r="T31" s="306"/>
      <c r="U31" s="166"/>
      <c r="V31" s="166"/>
      <c r="W31" s="287"/>
      <c r="X31" s="26"/>
      <c r="Y31" s="26"/>
      <c r="Z31" s="26"/>
      <c r="AA31" s="26"/>
      <c r="AB31" s="26"/>
      <c r="AC31" s="26"/>
      <c r="AD31" s="165"/>
    </row>
    <row r="32" spans="1:31" ht="17.25" customHeight="1">
      <c r="A32" s="176"/>
      <c r="B32" s="114"/>
      <c r="C32" s="401" t="s">
        <v>362</v>
      </c>
      <c r="D32" s="307">
        <f>8-D30</f>
        <v>0.33333333333333304</v>
      </c>
      <c r="E32" s="307">
        <v>1</v>
      </c>
      <c r="F32" s="307">
        <f>+E32*D32</f>
        <v>0.33333333333333304</v>
      </c>
      <c r="G32" s="299"/>
      <c r="H32" s="300">
        <f>+F32*$D$39</f>
        <v>1.4484133333333322</v>
      </c>
      <c r="I32" s="301">
        <f t="shared" si="12"/>
        <v>7913.04347826087</v>
      </c>
      <c r="J32" s="293">
        <v>1.25</v>
      </c>
      <c r="K32" s="44">
        <f>+J32*I32*H32</f>
        <v>14326.697101449266</v>
      </c>
      <c r="L32" s="287"/>
      <c r="M32" s="308" t="s">
        <v>363</v>
      </c>
      <c r="N32" s="288" t="s">
        <v>364</v>
      </c>
      <c r="O32" s="166"/>
      <c r="P32" s="166"/>
      <c r="Q32" s="166"/>
      <c r="R32" s="166"/>
      <c r="S32" s="26"/>
      <c r="T32" s="306"/>
      <c r="U32" s="166"/>
      <c r="V32" s="166"/>
      <c r="W32" s="287"/>
      <c r="X32" s="26"/>
      <c r="Y32" s="26"/>
      <c r="Z32" s="26"/>
      <c r="AA32" s="26"/>
      <c r="AB32" s="26"/>
      <c r="AC32" s="26"/>
      <c r="AD32" s="165"/>
    </row>
    <row r="33" spans="1:30" ht="15.75" customHeight="1">
      <c r="A33" s="176"/>
      <c r="B33" s="309"/>
      <c r="C33" s="692" t="s">
        <v>365</v>
      </c>
      <c r="D33" s="693"/>
      <c r="E33" s="693"/>
      <c r="F33" s="364">
        <f>F30+F31+F32</f>
        <v>67.999999999999986</v>
      </c>
      <c r="G33" s="310"/>
      <c r="H33" s="310"/>
      <c r="I33" s="633" t="s">
        <v>366</v>
      </c>
      <c r="J33" s="634"/>
      <c r="K33" s="311">
        <f>SUM(K29:K32)</f>
        <v>2795648.0726086958</v>
      </c>
      <c r="L33" s="287"/>
      <c r="M33" s="312" t="s">
        <v>367</v>
      </c>
      <c r="N33" s="313">
        <v>0.55969999999999998</v>
      </c>
      <c r="O33" s="166"/>
      <c r="P33" s="166"/>
      <c r="Q33" s="166"/>
      <c r="R33" s="166"/>
      <c r="S33" s="26"/>
      <c r="T33" s="306"/>
      <c r="U33" s="166"/>
      <c r="V33" s="166"/>
      <c r="W33" s="287"/>
      <c r="X33" s="26"/>
      <c r="Y33" s="26"/>
      <c r="Z33" s="26"/>
      <c r="AA33" s="26"/>
      <c r="AB33" s="26"/>
      <c r="AC33" s="26"/>
      <c r="AD33" s="165"/>
    </row>
    <row r="34" spans="1:30" ht="15.75" customHeight="1">
      <c r="A34" s="176"/>
      <c r="B34" s="309"/>
      <c r="C34" s="314"/>
      <c r="D34" s="310"/>
      <c r="E34" s="310"/>
      <c r="F34" s="310"/>
      <c r="G34" s="310"/>
      <c r="H34" s="310"/>
      <c r="I34" s="633" t="s">
        <v>368</v>
      </c>
      <c r="J34" s="634"/>
      <c r="K34" s="311">
        <f>L25</f>
        <v>162000</v>
      </c>
      <c r="L34" s="287"/>
      <c r="M34" s="312" t="s">
        <v>369</v>
      </c>
      <c r="N34" s="313">
        <v>0.44030000000000002</v>
      </c>
      <c r="O34" s="166"/>
      <c r="P34" s="166"/>
      <c r="Q34" s="166"/>
      <c r="R34" s="166"/>
      <c r="S34" s="26"/>
      <c r="T34" s="26"/>
      <c r="U34" s="166"/>
      <c r="V34" s="166"/>
      <c r="W34" s="287"/>
      <c r="X34" s="26"/>
      <c r="Y34" s="26"/>
      <c r="Z34" s="26"/>
      <c r="AA34" s="26"/>
      <c r="AB34" s="26"/>
      <c r="AC34" s="26"/>
      <c r="AD34" s="165"/>
    </row>
    <row r="35" spans="1:30" ht="15.75" customHeight="1">
      <c r="A35" s="176"/>
      <c r="B35" s="309"/>
      <c r="C35" s="314"/>
      <c r="D35" s="310"/>
      <c r="E35" s="310"/>
      <c r="F35" s="310"/>
      <c r="G35" s="310"/>
      <c r="H35" s="310"/>
      <c r="I35" s="631" t="s">
        <v>370</v>
      </c>
      <c r="J35" s="632"/>
      <c r="K35" s="311">
        <f>+K34+K33</f>
        <v>2957648.0726086958</v>
      </c>
      <c r="L35" s="287"/>
      <c r="M35" s="312" t="s">
        <v>371</v>
      </c>
      <c r="N35" s="313">
        <f>SUM(N33:N34)</f>
        <v>1</v>
      </c>
      <c r="O35" s="166"/>
      <c r="P35" s="166"/>
      <c r="Q35" s="166"/>
      <c r="R35" s="166"/>
      <c r="S35" s="26"/>
      <c r="T35" s="26"/>
      <c r="U35" s="166"/>
      <c r="V35" s="166"/>
      <c r="W35" s="287"/>
      <c r="X35" s="26"/>
      <c r="Y35" s="26"/>
      <c r="Z35" s="26"/>
      <c r="AA35" s="26"/>
      <c r="AB35" s="26"/>
      <c r="AC35" s="26"/>
      <c r="AD35" s="165"/>
    </row>
    <row r="36" spans="1:30" ht="15.75" customHeight="1" thickBot="1">
      <c r="A36" s="176"/>
      <c r="B36" s="309"/>
      <c r="C36" s="318" t="s">
        <v>372</v>
      </c>
      <c r="D36" s="319">
        <v>6</v>
      </c>
      <c r="E36" s="310"/>
      <c r="F36" s="310"/>
      <c r="G36" s="310"/>
      <c r="H36" s="310"/>
      <c r="I36" s="17" t="s">
        <v>373</v>
      </c>
      <c r="J36" s="315">
        <v>8.3299999999999999E-2</v>
      </c>
      <c r="K36" s="44">
        <f>+J36*K35</f>
        <v>246372.08444830435</v>
      </c>
      <c r="L36" s="287"/>
      <c r="M36" s="316"/>
      <c r="N36" s="169"/>
      <c r="O36" s="169"/>
      <c r="P36" s="169"/>
      <c r="Q36" s="169"/>
      <c r="R36" s="169"/>
      <c r="S36" s="169"/>
      <c r="T36" s="169"/>
      <c r="U36" s="169"/>
      <c r="V36" s="169"/>
      <c r="W36" s="317"/>
      <c r="X36" s="26"/>
      <c r="Y36" s="26"/>
      <c r="Z36" s="26"/>
      <c r="AA36" s="26"/>
      <c r="AB36" s="26"/>
      <c r="AC36" s="26"/>
      <c r="AD36" s="165"/>
    </row>
    <row r="37" spans="1:30" ht="15.75" customHeight="1">
      <c r="A37" s="176"/>
      <c r="B37" s="309"/>
      <c r="C37" s="318" t="s">
        <v>374</v>
      </c>
      <c r="D37" s="319">
        <v>46</v>
      </c>
      <c r="E37" s="310"/>
      <c r="F37" s="310"/>
      <c r="G37" s="310"/>
      <c r="H37" s="310"/>
      <c r="I37" s="17" t="s">
        <v>375</v>
      </c>
      <c r="J37" s="315">
        <v>8.3299999999999999E-2</v>
      </c>
      <c r="K37" s="44">
        <f>+J37*K35</f>
        <v>246372.08444830435</v>
      </c>
      <c r="L37" s="287"/>
      <c r="M37" s="641" t="s">
        <v>363</v>
      </c>
      <c r="N37" s="642" t="s">
        <v>376</v>
      </c>
      <c r="O37" s="642" t="s">
        <v>377</v>
      </c>
      <c r="P37" s="642" t="s">
        <v>378</v>
      </c>
      <c r="Q37" s="643" t="s">
        <v>379</v>
      </c>
      <c r="R37" s="644" t="s">
        <v>380</v>
      </c>
      <c r="S37" s="726"/>
      <c r="T37" s="645" t="s">
        <v>381</v>
      </c>
      <c r="U37" s="645" t="s">
        <v>382</v>
      </c>
      <c r="V37" s="643" t="s">
        <v>383</v>
      </c>
      <c r="W37" s="646" t="s">
        <v>384</v>
      </c>
      <c r="X37" s="26"/>
      <c r="Y37" s="26"/>
      <c r="Z37" s="26"/>
      <c r="AA37" s="26"/>
      <c r="AB37" s="26"/>
      <c r="AC37" s="26"/>
      <c r="AD37" s="165"/>
    </row>
    <row r="38" spans="1:30" ht="15.75" customHeight="1">
      <c r="A38" s="176"/>
      <c r="B38" s="309"/>
      <c r="C38" s="59" t="s">
        <v>385</v>
      </c>
      <c r="D38" s="319">
        <f>D37/6</f>
        <v>7.666666666666667</v>
      </c>
      <c r="E38" s="310"/>
      <c r="F38" s="310"/>
      <c r="G38" s="310"/>
      <c r="H38" s="310"/>
      <c r="I38" s="17" t="s">
        <v>386</v>
      </c>
      <c r="J38" s="315">
        <v>0.01</v>
      </c>
      <c r="K38" s="44">
        <f>+J38*K35</f>
        <v>29576.48072608696</v>
      </c>
      <c r="L38" s="287"/>
      <c r="M38" s="725"/>
      <c r="N38" s="727"/>
      <c r="O38" s="727"/>
      <c r="P38" s="727"/>
      <c r="Q38" s="727"/>
      <c r="R38" s="320" t="s">
        <v>387</v>
      </c>
      <c r="S38" s="321" t="s">
        <v>111</v>
      </c>
      <c r="T38" s="727"/>
      <c r="U38" s="727"/>
      <c r="V38" s="727"/>
      <c r="W38" s="728"/>
      <c r="X38" s="26"/>
      <c r="Y38" s="26"/>
      <c r="Z38" s="26"/>
      <c r="AA38" s="26"/>
      <c r="AB38" s="26"/>
      <c r="AC38" s="26"/>
      <c r="AD38" s="165"/>
    </row>
    <row r="39" spans="1:30" ht="15.75" customHeight="1">
      <c r="A39" s="176"/>
      <c r="B39" s="309"/>
      <c r="C39" s="318" t="s">
        <v>388</v>
      </c>
      <c r="D39" s="319">
        <v>4.3452400000000004</v>
      </c>
      <c r="E39" s="310"/>
      <c r="F39" s="310"/>
      <c r="G39" s="310"/>
      <c r="H39" s="310"/>
      <c r="I39" s="17" t="s">
        <v>389</v>
      </c>
      <c r="J39" s="315">
        <v>4.1700000000000001E-2</v>
      </c>
      <c r="K39" s="44">
        <f>+J39*K33</f>
        <v>116578.52462778262</v>
      </c>
      <c r="L39" s="287"/>
      <c r="M39" s="322" t="s">
        <v>390</v>
      </c>
      <c r="N39" s="299">
        <v>1</v>
      </c>
      <c r="O39" s="299">
        <v>1</v>
      </c>
      <c r="P39" s="301">
        <f>((((($N$28*$O$28+V44)*($N$33))/30)*$O$39)/15)*$N$39</f>
        <v>14779.127255555555</v>
      </c>
      <c r="Q39" s="301">
        <f t="shared" ref="Q39:Q40" si="13">P39*O39</f>
        <v>14779.127255555555</v>
      </c>
      <c r="R39" s="323">
        <v>0.08</v>
      </c>
      <c r="S39" s="301">
        <f>Q39*R39</f>
        <v>1182.3301804444445</v>
      </c>
      <c r="T39" s="301">
        <f>Q39+S39</f>
        <v>15961.457436000001</v>
      </c>
      <c r="U39" s="301">
        <f>T39*10%</f>
        <v>1596.1457436000001</v>
      </c>
      <c r="V39" s="301">
        <f>U39*19%</f>
        <v>303.26769128400002</v>
      </c>
      <c r="W39" s="44">
        <f>T39+V39</f>
        <v>16264.725127284</v>
      </c>
      <c r="X39" s="26"/>
      <c r="Y39" s="26"/>
      <c r="Z39" s="26"/>
      <c r="AA39" s="26"/>
      <c r="AB39" s="26"/>
      <c r="AC39" s="26"/>
      <c r="AD39" s="165"/>
    </row>
    <row r="40" spans="1:30" ht="15.75" customHeight="1">
      <c r="A40" s="176"/>
      <c r="B40" s="309"/>
      <c r="C40" s="314"/>
      <c r="D40" s="310"/>
      <c r="E40" s="310"/>
      <c r="F40" s="310"/>
      <c r="G40" s="310"/>
      <c r="H40" s="310"/>
      <c r="I40" s="17" t="s">
        <v>391</v>
      </c>
      <c r="J40" s="324">
        <v>0</v>
      </c>
      <c r="K40" s="44">
        <f>+K33*J40</f>
        <v>0</v>
      </c>
      <c r="L40" s="287"/>
      <c r="M40" s="322" t="s">
        <v>392</v>
      </c>
      <c r="N40" s="299">
        <v>0</v>
      </c>
      <c r="O40" s="299">
        <v>0</v>
      </c>
      <c r="P40" s="301">
        <f>((((($N$28*$O$28+V44)*($N$34))/30)*$O$39)/9)*$N$39</f>
        <v>19377.195314814817</v>
      </c>
      <c r="Q40" s="301">
        <f t="shared" si="13"/>
        <v>0</v>
      </c>
      <c r="R40" s="323">
        <v>0.08</v>
      </c>
      <c r="S40" s="301">
        <f t="shared" ref="S40" si="14">Q40*R40</f>
        <v>0</v>
      </c>
      <c r="T40" s="301">
        <f t="shared" ref="T40" si="15">Q40+S40</f>
        <v>0</v>
      </c>
      <c r="U40" s="301"/>
      <c r="V40" s="301"/>
      <c r="W40" s="44"/>
      <c r="X40" s="26"/>
      <c r="Y40" s="26"/>
      <c r="Z40" s="26"/>
      <c r="AA40" s="26"/>
      <c r="AB40" s="26"/>
      <c r="AC40" s="26"/>
      <c r="AD40" s="165"/>
    </row>
    <row r="41" spans="1:30" ht="15.75" customHeight="1" thickBot="1">
      <c r="A41" s="176"/>
      <c r="B41" s="309"/>
      <c r="C41" s="314"/>
      <c r="D41" s="310"/>
      <c r="E41" s="310"/>
      <c r="F41" s="310"/>
      <c r="G41" s="310"/>
      <c r="H41" s="310"/>
      <c r="I41" s="17" t="s">
        <v>393</v>
      </c>
      <c r="J41" s="315">
        <v>0.12</v>
      </c>
      <c r="K41" s="44">
        <f>+J41*K33</f>
        <v>335477.76871304348</v>
      </c>
      <c r="L41" s="287"/>
      <c r="M41" s="325" t="s">
        <v>394</v>
      </c>
      <c r="N41" s="307">
        <f t="shared" ref="N41:O41" si="16">N39+N40</f>
        <v>1</v>
      </c>
      <c r="O41" s="307">
        <f t="shared" si="16"/>
        <v>1</v>
      </c>
      <c r="P41" s="326"/>
      <c r="Q41" s="326">
        <f>SUM(Q39:Q40)</f>
        <v>14779.127255555555</v>
      </c>
      <c r="R41" s="307"/>
      <c r="S41" s="326"/>
      <c r="T41" s="326">
        <f t="shared" ref="T41:W41" si="17">SUM(T39:T40)</f>
        <v>15961.457436000001</v>
      </c>
      <c r="U41" s="326">
        <f t="shared" si="17"/>
        <v>1596.1457436000001</v>
      </c>
      <c r="V41" s="326">
        <f t="shared" si="17"/>
        <v>303.26769128400002</v>
      </c>
      <c r="W41" s="327">
        <f t="shared" si="17"/>
        <v>16264.725127284</v>
      </c>
      <c r="X41" s="26"/>
      <c r="Y41" s="26"/>
      <c r="Z41" s="26"/>
      <c r="AA41" s="26"/>
      <c r="AB41" s="26"/>
      <c r="AC41" s="26"/>
      <c r="AD41" s="165"/>
    </row>
    <row r="42" spans="1:30" ht="15.75" customHeight="1" thickBot="1">
      <c r="A42" s="176"/>
      <c r="B42" s="309"/>
      <c r="C42" s="314"/>
      <c r="D42" s="310"/>
      <c r="E42" s="310"/>
      <c r="F42" s="310"/>
      <c r="G42" s="310"/>
      <c r="H42" s="310"/>
      <c r="I42" s="17" t="s">
        <v>395</v>
      </c>
      <c r="J42" s="315">
        <v>4.3499999999999997E-2</v>
      </c>
      <c r="K42" s="44">
        <f>+J42*K33</f>
        <v>121610.69115847826</v>
      </c>
      <c r="L42" s="287"/>
      <c r="M42" s="328"/>
      <c r="N42" s="328"/>
      <c r="O42" s="328"/>
      <c r="P42" s="328"/>
      <c r="Q42" s="328"/>
      <c r="R42" s="328"/>
      <c r="S42" s="328"/>
      <c r="T42" s="328"/>
      <c r="U42" s="328"/>
      <c r="V42" s="328"/>
      <c r="W42" s="329"/>
      <c r="X42" s="26"/>
      <c r="Y42" s="26"/>
      <c r="Z42" s="26"/>
      <c r="AA42" s="26"/>
      <c r="AB42" s="26"/>
      <c r="AC42" s="26"/>
      <c r="AD42" s="165"/>
    </row>
    <row r="43" spans="1:30" ht="15.75" customHeight="1" thickBot="1">
      <c r="A43" s="176"/>
      <c r="B43" s="309"/>
      <c r="C43" s="314"/>
      <c r="D43" s="310"/>
      <c r="E43" s="310"/>
      <c r="F43" s="310"/>
      <c r="G43" s="310"/>
      <c r="H43" s="310"/>
      <c r="I43" s="17" t="s">
        <v>396</v>
      </c>
      <c r="J43" s="315">
        <v>0.04</v>
      </c>
      <c r="K43" s="44">
        <f>+J43*K33</f>
        <v>111825.92290434784</v>
      </c>
      <c r="L43" s="287"/>
      <c r="M43" s="166"/>
      <c r="N43" s="166"/>
      <c r="O43" s="166"/>
      <c r="P43" s="166"/>
      <c r="Q43" s="166"/>
      <c r="R43" s="166"/>
      <c r="S43" s="166"/>
      <c r="T43" s="166"/>
      <c r="U43" s="166"/>
      <c r="V43" s="166"/>
      <c r="W43" s="287"/>
      <c r="X43" s="26"/>
      <c r="Y43" s="26"/>
      <c r="Z43" s="26"/>
      <c r="AA43" s="26"/>
      <c r="AB43" s="26"/>
      <c r="AC43" s="26"/>
      <c r="AD43" s="165"/>
    </row>
    <row r="44" spans="1:30" ht="15.75" customHeight="1" thickBot="1">
      <c r="A44" s="176"/>
      <c r="B44" s="309"/>
      <c r="C44" s="314"/>
      <c r="D44" s="310"/>
      <c r="E44" s="310"/>
      <c r="F44" s="310"/>
      <c r="G44" s="310"/>
      <c r="H44" s="310"/>
      <c r="I44" s="17" t="s">
        <v>397</v>
      </c>
      <c r="J44" s="40">
        <v>2.5000000000000001E-2</v>
      </c>
      <c r="K44" s="44">
        <f>+J44*G25</f>
        <v>32500</v>
      </c>
      <c r="L44" s="287"/>
      <c r="M44" s="166"/>
      <c r="N44" s="166"/>
      <c r="O44" s="670" t="s">
        <v>3</v>
      </c>
      <c r="P44" s="671"/>
      <c r="Q44" s="682" t="s">
        <v>398</v>
      </c>
      <c r="R44" s="683"/>
      <c r="S44" s="683"/>
      <c r="T44" s="683"/>
      <c r="U44" s="684"/>
      <c r="V44" s="330">
        <f>G17</f>
        <v>450</v>
      </c>
      <c r="W44" s="287"/>
      <c r="X44" s="26"/>
      <c r="Y44" s="26"/>
      <c r="Z44" s="26"/>
      <c r="AA44" s="26"/>
      <c r="AB44" s="26"/>
      <c r="AC44" s="26"/>
      <c r="AD44" s="165"/>
    </row>
    <row r="45" spans="1:30" ht="15.75" customHeight="1" thickBot="1">
      <c r="A45" s="176"/>
      <c r="B45" s="309"/>
      <c r="C45" s="314"/>
      <c r="D45" s="310"/>
      <c r="E45" s="310"/>
      <c r="F45" s="310"/>
      <c r="G45" s="310"/>
      <c r="H45" s="310"/>
      <c r="I45" s="331" t="s">
        <v>399</v>
      </c>
      <c r="J45" s="291"/>
      <c r="K45" s="311">
        <f>SUM(K36:K44)</f>
        <v>1240313.5570263478</v>
      </c>
      <c r="L45" s="287"/>
      <c r="M45" s="169"/>
      <c r="N45" s="169"/>
      <c r="O45" s="672"/>
      <c r="P45" s="673"/>
      <c r="Q45" s="669" t="s">
        <v>400</v>
      </c>
      <c r="R45" s="729"/>
      <c r="S45" s="729"/>
      <c r="T45" s="729"/>
      <c r="U45" s="730"/>
      <c r="V45" s="332">
        <f>W41</f>
        <v>16264.725127284</v>
      </c>
      <c r="W45" s="317"/>
      <c r="X45" s="26"/>
      <c r="Y45" s="26"/>
      <c r="Z45" s="26"/>
      <c r="AA45" s="26"/>
      <c r="AB45" s="26"/>
      <c r="AC45" s="26"/>
      <c r="AD45" s="165"/>
    </row>
    <row r="46" spans="1:30" ht="15.75" customHeight="1">
      <c r="A46" s="176"/>
      <c r="B46" s="309"/>
      <c r="C46" s="314"/>
      <c r="D46" s="310"/>
      <c r="E46" s="310"/>
      <c r="F46" s="310"/>
      <c r="G46" s="310"/>
      <c r="H46" s="310"/>
      <c r="I46" s="633" t="s">
        <v>401</v>
      </c>
      <c r="J46" s="634"/>
      <c r="K46" s="311">
        <f>K35+K45</f>
        <v>4197961.6296350434</v>
      </c>
      <c r="L46" s="287"/>
      <c r="M46" s="166"/>
      <c r="N46" s="166"/>
      <c r="O46" s="58"/>
      <c r="P46" s="58"/>
      <c r="Q46" s="333"/>
      <c r="R46" s="80"/>
      <c r="S46" s="80"/>
      <c r="T46" s="80"/>
      <c r="U46" s="80"/>
      <c r="V46" s="334"/>
      <c r="W46" s="287"/>
      <c r="X46" s="26"/>
      <c r="Y46" s="26"/>
      <c r="Z46" s="26"/>
      <c r="AA46" s="26"/>
      <c r="AB46" s="26"/>
      <c r="AC46" s="26"/>
      <c r="AD46" s="165"/>
    </row>
    <row r="47" spans="1:30" ht="15.75" customHeight="1" thickBot="1">
      <c r="A47" s="176"/>
      <c r="B47" s="202"/>
      <c r="C47" s="335"/>
      <c r="D47" s="336"/>
      <c r="E47" s="336"/>
      <c r="F47" s="336"/>
      <c r="G47" s="336"/>
      <c r="H47" s="336"/>
      <c r="I47" s="169"/>
      <c r="J47" s="169"/>
      <c r="K47" s="317"/>
      <c r="L47" s="317"/>
      <c r="M47" s="166"/>
      <c r="N47" s="166"/>
      <c r="O47" s="58"/>
      <c r="P47" s="58"/>
      <c r="Q47" s="333"/>
      <c r="R47" s="80"/>
      <c r="S47" s="80"/>
      <c r="T47" s="80"/>
      <c r="U47" s="80"/>
      <c r="V47" s="334"/>
      <c r="W47" s="287"/>
      <c r="X47" s="26"/>
      <c r="Y47" s="26"/>
      <c r="Z47" s="26"/>
      <c r="AA47" s="26"/>
      <c r="AB47" s="26"/>
      <c r="AC47" s="26"/>
      <c r="AD47" s="165"/>
    </row>
    <row r="48" spans="1:30" ht="15.75" customHeight="1">
      <c r="A48" s="176"/>
      <c r="B48" s="26"/>
      <c r="C48" s="161"/>
      <c r="D48" s="163"/>
      <c r="E48" s="163"/>
      <c r="F48" s="163"/>
      <c r="G48" s="163"/>
      <c r="H48" s="163"/>
      <c r="I48" s="163"/>
      <c r="J48" s="163"/>
      <c r="K48" s="163"/>
      <c r="L48" s="164"/>
      <c r="M48" s="166"/>
      <c r="N48" s="166"/>
      <c r="O48" s="58"/>
      <c r="P48" s="58"/>
      <c r="Q48" s="333"/>
      <c r="R48" s="80"/>
      <c r="S48" s="80"/>
      <c r="T48" s="80"/>
      <c r="U48" s="80"/>
      <c r="V48" s="334"/>
      <c r="W48" s="287"/>
      <c r="X48" s="26"/>
      <c r="Y48" s="26"/>
      <c r="Z48" s="26"/>
      <c r="AA48" s="26"/>
      <c r="AB48" s="26"/>
      <c r="AC48" s="26"/>
      <c r="AD48" s="165"/>
    </row>
    <row r="49" spans="1:30" ht="15.75" customHeight="1" thickBot="1">
      <c r="A49" s="176"/>
      <c r="B49" s="26"/>
      <c r="C49" s="176"/>
      <c r="D49" s="26"/>
      <c r="E49" s="26"/>
      <c r="F49" s="26"/>
      <c r="G49" s="26"/>
      <c r="H49" s="26"/>
      <c r="I49" s="26"/>
      <c r="J49" s="26"/>
      <c r="K49" s="26"/>
      <c r="L49" s="165"/>
      <c r="M49" s="166"/>
      <c r="N49" s="166"/>
      <c r="O49" s="58"/>
      <c r="P49" s="58"/>
      <c r="Q49" s="333"/>
      <c r="R49" s="80"/>
      <c r="S49" s="80"/>
      <c r="T49" s="80"/>
      <c r="U49" s="80"/>
      <c r="V49" s="334"/>
      <c r="W49" s="287"/>
      <c r="X49" s="26"/>
      <c r="Y49" s="26"/>
      <c r="Z49" s="26"/>
      <c r="AA49" s="26"/>
      <c r="AB49" s="26"/>
      <c r="AC49" s="26"/>
      <c r="AD49" s="165"/>
    </row>
    <row r="50" spans="1:30" ht="15.75" customHeight="1">
      <c r="A50" s="176"/>
      <c r="B50" s="26"/>
      <c r="C50" s="176"/>
      <c r="D50" s="26"/>
      <c r="E50" s="26"/>
      <c r="F50" s="26"/>
      <c r="G50" s="26"/>
      <c r="H50" s="26"/>
      <c r="I50" s="61" t="str">
        <f>B17</f>
        <v>SEGURIDAD LAS AMÉRICAS LTDA</v>
      </c>
      <c r="J50" s="62"/>
      <c r="K50" s="26"/>
      <c r="L50" s="165"/>
      <c r="M50" s="26"/>
      <c r="N50" s="26"/>
      <c r="O50" s="26"/>
      <c r="P50" s="26"/>
      <c r="Q50" s="26"/>
      <c r="R50" s="26"/>
      <c r="S50" s="26"/>
      <c r="T50" s="26"/>
      <c r="U50" s="26"/>
      <c r="V50" s="26"/>
      <c r="W50" s="165"/>
      <c r="X50" s="26"/>
      <c r="Y50" s="26"/>
      <c r="Z50" s="26"/>
      <c r="AA50" s="26"/>
      <c r="AB50" s="26"/>
      <c r="AC50" s="26"/>
      <c r="AD50" s="165"/>
    </row>
    <row r="51" spans="1:30" ht="15.75" customHeight="1" thickBot="1">
      <c r="A51" s="176"/>
      <c r="B51" s="26"/>
      <c r="C51" s="176"/>
      <c r="D51" s="26"/>
      <c r="E51" s="26"/>
      <c r="F51" s="26"/>
      <c r="G51" s="26"/>
      <c r="H51" s="26"/>
      <c r="I51" s="337" t="s">
        <v>402</v>
      </c>
      <c r="J51" s="338"/>
      <c r="K51" s="339">
        <f>G17</f>
        <v>450</v>
      </c>
      <c r="L51" s="165"/>
      <c r="M51" s="26"/>
      <c r="N51" s="26"/>
      <c r="O51" s="26"/>
      <c r="P51" s="26"/>
      <c r="Q51" s="26"/>
      <c r="R51" s="26"/>
      <c r="S51" s="26"/>
      <c r="T51" s="26"/>
      <c r="U51" s="26"/>
      <c r="V51" s="26"/>
      <c r="W51" s="165"/>
      <c r="X51" s="26"/>
      <c r="Y51" s="26"/>
      <c r="Z51" s="26"/>
      <c r="AA51" s="26"/>
      <c r="AB51" s="26"/>
      <c r="AC51" s="26"/>
      <c r="AD51" s="165"/>
    </row>
    <row r="52" spans="1:30" ht="15.75" customHeight="1">
      <c r="A52" s="176"/>
      <c r="B52" s="26"/>
      <c r="C52" s="176"/>
      <c r="D52" s="26"/>
      <c r="E52" s="26"/>
      <c r="F52" s="26"/>
      <c r="G52" s="26"/>
      <c r="H52" s="26"/>
      <c r="I52" s="340" t="s">
        <v>403</v>
      </c>
      <c r="J52" s="341"/>
      <c r="K52" s="60">
        <f>K46+K51</f>
        <v>4198411.6296350434</v>
      </c>
      <c r="L52" s="165"/>
      <c r="M52" s="641" t="s">
        <v>363</v>
      </c>
      <c r="N52" s="642" t="s">
        <v>376</v>
      </c>
      <c r="O52" s="642" t="s">
        <v>377</v>
      </c>
      <c r="P52" s="642" t="s">
        <v>378</v>
      </c>
      <c r="Q52" s="643" t="s">
        <v>379</v>
      </c>
      <c r="R52" s="644" t="s">
        <v>404</v>
      </c>
      <c r="S52" s="726"/>
      <c r="T52" s="645" t="s">
        <v>405</v>
      </c>
      <c r="U52" s="645" t="s">
        <v>382</v>
      </c>
      <c r="V52" s="643" t="s">
        <v>383</v>
      </c>
      <c r="W52" s="646" t="s">
        <v>384</v>
      </c>
      <c r="X52" s="26"/>
      <c r="Y52" s="26"/>
      <c r="Z52" s="26"/>
      <c r="AA52" s="26"/>
      <c r="AB52" s="26"/>
      <c r="AC52" s="26"/>
      <c r="AD52" s="165"/>
    </row>
    <row r="53" spans="1:30" ht="15.75" customHeight="1">
      <c r="A53" s="176"/>
      <c r="B53" s="26"/>
      <c r="C53" s="176"/>
      <c r="D53" s="26"/>
      <c r="E53" s="26"/>
      <c r="F53" s="26"/>
      <c r="G53" s="26"/>
      <c r="H53" s="26"/>
      <c r="I53" s="340" t="s">
        <v>406</v>
      </c>
      <c r="J53" s="341"/>
      <c r="K53" s="60">
        <f>K52*8%</f>
        <v>335872.93037080346</v>
      </c>
      <c r="L53" s="165"/>
      <c r="M53" s="725"/>
      <c r="N53" s="727"/>
      <c r="O53" s="727"/>
      <c r="P53" s="727"/>
      <c r="Q53" s="727"/>
      <c r="R53" s="320" t="s">
        <v>387</v>
      </c>
      <c r="S53" s="321" t="s">
        <v>111</v>
      </c>
      <c r="T53" s="727"/>
      <c r="U53" s="727"/>
      <c r="V53" s="727"/>
      <c r="W53" s="728"/>
      <c r="X53" s="26"/>
      <c r="Y53" s="26"/>
      <c r="Z53" s="26"/>
      <c r="AA53" s="26"/>
      <c r="AB53" s="26"/>
      <c r="AC53" s="26"/>
      <c r="AD53" s="165"/>
    </row>
    <row r="54" spans="1:30" ht="15.75" customHeight="1">
      <c r="A54" s="176"/>
      <c r="B54" s="26"/>
      <c r="C54" s="176"/>
      <c r="D54" s="26"/>
      <c r="E54" s="26"/>
      <c r="F54" s="26"/>
      <c r="G54" s="26"/>
      <c r="H54" s="26"/>
      <c r="I54" s="340" t="s">
        <v>407</v>
      </c>
      <c r="J54" s="342"/>
      <c r="K54" s="43">
        <f>K52+K53</f>
        <v>4534284.5600058474</v>
      </c>
      <c r="L54" s="165"/>
      <c r="M54" s="343" t="s">
        <v>390</v>
      </c>
      <c r="N54" s="299">
        <v>1</v>
      </c>
      <c r="O54" s="299">
        <v>1</v>
      </c>
      <c r="P54" s="301">
        <f>((((($N$28*$O$28+V59)*($N$33))/30)*$O$39)/15)*$N$39</f>
        <v>14779.076260666665</v>
      </c>
      <c r="Q54" s="301">
        <f t="shared" ref="Q54:Q55" si="18">P54*O54</f>
        <v>14779.076260666665</v>
      </c>
      <c r="R54" s="323">
        <v>0.08</v>
      </c>
      <c r="S54" s="301">
        <f>Q54*R54</f>
        <v>1182.3261008533332</v>
      </c>
      <c r="T54" s="301">
        <f>Q54+S54</f>
        <v>15961.402361519999</v>
      </c>
      <c r="U54" s="301">
        <f>T54*10%</f>
        <v>1596.1402361519999</v>
      </c>
      <c r="V54" s="301">
        <f>U54*19%</f>
        <v>303.26664486888001</v>
      </c>
      <c r="W54" s="44">
        <f>T54+V54</f>
        <v>16264.669006388878</v>
      </c>
      <c r="X54" s="26"/>
      <c r="Y54" s="26"/>
      <c r="Z54" s="26"/>
      <c r="AA54" s="26"/>
      <c r="AB54" s="26"/>
      <c r="AC54" s="26"/>
      <c r="AD54" s="165"/>
    </row>
    <row r="55" spans="1:30" ht="15.75" customHeight="1">
      <c r="A55" s="176"/>
      <c r="B55" s="26"/>
      <c r="C55" s="176"/>
      <c r="D55" s="26"/>
      <c r="E55" s="26"/>
      <c r="F55" s="26"/>
      <c r="G55" s="26"/>
      <c r="H55" s="26"/>
      <c r="I55" s="622" t="s">
        <v>408</v>
      </c>
      <c r="J55" s="635"/>
      <c r="K55" s="60">
        <f>K52*1.019</f>
        <v>4278181.4505981086</v>
      </c>
      <c r="L55" s="165"/>
      <c r="M55" s="343" t="s">
        <v>392</v>
      </c>
      <c r="N55" s="299">
        <v>0</v>
      </c>
      <c r="O55" s="299"/>
      <c r="P55" s="301">
        <f>((((($N$28*$O$28+V59)*($N$34))/30)*$O$39)/9)*$N$39</f>
        <v>19377.12845444445</v>
      </c>
      <c r="Q55" s="301">
        <f t="shared" si="18"/>
        <v>0</v>
      </c>
      <c r="R55" s="323">
        <v>0.08</v>
      </c>
      <c r="S55" s="301">
        <f t="shared" ref="S55" si="19">Q55*R55</f>
        <v>0</v>
      </c>
      <c r="T55" s="301">
        <f t="shared" ref="T55" si="20">Q55+S55</f>
        <v>0</v>
      </c>
      <c r="U55" s="301"/>
      <c r="V55" s="301"/>
      <c r="W55" s="44"/>
      <c r="X55" s="26"/>
      <c r="Y55" s="26"/>
      <c r="Z55" s="26"/>
      <c r="AA55" s="26"/>
      <c r="AB55" s="26"/>
      <c r="AC55" s="26"/>
      <c r="AD55" s="165"/>
    </row>
    <row r="56" spans="1:30" ht="21.75" customHeight="1" thickBot="1">
      <c r="A56" s="176"/>
      <c r="B56" s="26"/>
      <c r="C56" s="176"/>
      <c r="D56" s="26"/>
      <c r="E56" s="26"/>
      <c r="F56" s="26"/>
      <c r="G56" s="26"/>
      <c r="H56" s="26"/>
      <c r="I56" s="624" t="s">
        <v>409</v>
      </c>
      <c r="J56" s="636"/>
      <c r="K56" s="628">
        <f>K55*9</f>
        <v>38503633.055382974</v>
      </c>
      <c r="L56" s="165"/>
      <c r="M56" s="344" t="s">
        <v>394</v>
      </c>
      <c r="N56" s="307">
        <f t="shared" ref="N56:O56" si="21">N54+N55</f>
        <v>1</v>
      </c>
      <c r="O56" s="307">
        <f t="shared" si="21"/>
        <v>1</v>
      </c>
      <c r="P56" s="326"/>
      <c r="Q56" s="326">
        <f>SUM(Q54:Q55)</f>
        <v>14779.076260666665</v>
      </c>
      <c r="R56" s="307"/>
      <c r="S56" s="326"/>
      <c r="T56" s="326">
        <f t="shared" ref="T56:W56" si="22">SUM(T54:T55)</f>
        <v>15961.402361519999</v>
      </c>
      <c r="U56" s="326">
        <f t="shared" si="22"/>
        <v>1596.1402361519999</v>
      </c>
      <c r="V56" s="326">
        <f t="shared" si="22"/>
        <v>303.26664486888001</v>
      </c>
      <c r="W56" s="327">
        <f t="shared" si="22"/>
        <v>16264.669006388878</v>
      </c>
      <c r="X56" s="26"/>
      <c r="Y56" s="26"/>
      <c r="Z56" s="26"/>
      <c r="AA56" s="26"/>
      <c r="AB56" s="26"/>
      <c r="AC56" s="26"/>
      <c r="AD56" s="165"/>
    </row>
    <row r="57" spans="1:30" ht="15.75" customHeight="1" thickBot="1">
      <c r="A57" s="176"/>
      <c r="B57" s="26"/>
      <c r="C57" s="176"/>
      <c r="D57" s="26"/>
      <c r="E57" s="26"/>
      <c r="F57" s="26"/>
      <c r="G57" s="26"/>
      <c r="H57" s="26"/>
      <c r="I57" s="626"/>
      <c r="J57" s="637"/>
      <c r="K57" s="731"/>
      <c r="L57" s="165"/>
      <c r="M57" s="345"/>
      <c r="N57" s="328"/>
      <c r="O57" s="328"/>
      <c r="P57" s="328"/>
      <c r="Q57" s="328"/>
      <c r="R57" s="328"/>
      <c r="S57" s="328"/>
      <c r="T57" s="328"/>
      <c r="U57" s="328"/>
      <c r="V57" s="328"/>
      <c r="W57" s="329"/>
      <c r="X57" s="26"/>
      <c r="Y57" s="26"/>
      <c r="Z57" s="26"/>
      <c r="AA57" s="26"/>
      <c r="AB57" s="26"/>
      <c r="AC57" s="26"/>
      <c r="AD57" s="165"/>
    </row>
    <row r="58" spans="1:30" ht="15.75" customHeight="1" thickBot="1">
      <c r="A58" s="176"/>
      <c r="B58" s="26"/>
      <c r="C58" s="167"/>
      <c r="D58" s="168"/>
      <c r="E58" s="168"/>
      <c r="F58" s="168"/>
      <c r="G58" s="168"/>
      <c r="H58" s="168"/>
      <c r="I58" s="168"/>
      <c r="J58" s="168"/>
      <c r="K58" s="168"/>
      <c r="L58" s="170"/>
      <c r="M58" s="166"/>
      <c r="N58" s="166"/>
      <c r="O58" s="166"/>
      <c r="P58" s="166"/>
      <c r="Q58" s="166"/>
      <c r="R58" s="166"/>
      <c r="S58" s="166"/>
      <c r="T58" s="166"/>
      <c r="U58" s="166"/>
      <c r="V58" s="166"/>
      <c r="W58" s="287"/>
      <c r="X58" s="26"/>
      <c r="Y58" s="26"/>
      <c r="Z58" s="26"/>
      <c r="AA58" s="26"/>
      <c r="AB58" s="26"/>
      <c r="AC58" s="26"/>
      <c r="AD58" s="165"/>
    </row>
    <row r="59" spans="1:30" ht="15.75" customHeight="1" thickBot="1">
      <c r="A59" s="176"/>
      <c r="B59" s="26"/>
      <c r="C59" s="161"/>
      <c r="D59" s="163"/>
      <c r="E59" s="163"/>
      <c r="F59" s="163"/>
      <c r="G59" s="163"/>
      <c r="H59" s="163"/>
      <c r="I59" s="163"/>
      <c r="J59" s="163"/>
      <c r="K59" s="163"/>
      <c r="L59" s="164"/>
      <c r="M59" s="166"/>
      <c r="N59" s="166"/>
      <c r="O59" s="674" t="s">
        <v>410</v>
      </c>
      <c r="P59" s="675"/>
      <c r="Q59" s="682" t="s">
        <v>398</v>
      </c>
      <c r="R59" s="683"/>
      <c r="S59" s="683"/>
      <c r="T59" s="683"/>
      <c r="U59" s="684"/>
      <c r="V59" s="699">
        <f>G18</f>
        <v>409</v>
      </c>
      <c r="W59" s="287"/>
      <c r="X59" s="26"/>
      <c r="Y59" s="26"/>
      <c r="Z59" s="26"/>
      <c r="AA59" s="26"/>
      <c r="AB59" s="26"/>
      <c r="AC59" s="26"/>
      <c r="AD59" s="165"/>
    </row>
    <row r="60" spans="1:30" ht="15.75" customHeight="1" thickBot="1">
      <c r="A60" s="176"/>
      <c r="B60" s="26"/>
      <c r="C60" s="176"/>
      <c r="D60" s="26"/>
      <c r="E60" s="26"/>
      <c r="F60" s="26"/>
      <c r="G60" s="26"/>
      <c r="H60" s="26"/>
      <c r="I60" s="10" t="str">
        <f>B18</f>
        <v>SEGURIDAD RECORD DE COLOMBIA LTDA</v>
      </c>
      <c r="J60" s="12"/>
      <c r="K60" s="26"/>
      <c r="L60" s="165"/>
      <c r="M60" s="169"/>
      <c r="N60" s="169"/>
      <c r="O60" s="676"/>
      <c r="P60" s="677"/>
      <c r="Q60" s="669" t="s">
        <v>400</v>
      </c>
      <c r="R60" s="729"/>
      <c r="S60" s="729"/>
      <c r="T60" s="729"/>
      <c r="U60" s="730"/>
      <c r="V60" s="346">
        <f>W56</f>
        <v>16264.669006388878</v>
      </c>
      <c r="W60" s="317"/>
      <c r="X60" s="26"/>
      <c r="Y60" s="26"/>
      <c r="Z60" s="26"/>
      <c r="AA60" s="26"/>
      <c r="AB60" s="26"/>
      <c r="AC60" s="26"/>
      <c r="AD60" s="165"/>
    </row>
    <row r="61" spans="1:30" ht="15.75" customHeight="1">
      <c r="A61" s="176"/>
      <c r="B61" s="26"/>
      <c r="C61" s="176"/>
      <c r="D61" s="26"/>
      <c r="E61" s="26"/>
      <c r="F61" s="26"/>
      <c r="G61" s="26"/>
      <c r="H61" s="26"/>
      <c r="I61" s="337" t="s">
        <v>402</v>
      </c>
      <c r="J61" s="347"/>
      <c r="K61" s="348">
        <f>G18</f>
        <v>409</v>
      </c>
      <c r="L61" s="165"/>
      <c r="M61" s="26"/>
      <c r="N61" s="26"/>
      <c r="O61" s="26"/>
      <c r="P61" s="26"/>
      <c r="Q61" s="26"/>
      <c r="R61" s="26"/>
      <c r="S61" s="26"/>
      <c r="T61" s="26"/>
      <c r="U61" s="26"/>
      <c r="V61" s="26"/>
      <c r="W61" s="165"/>
      <c r="X61" s="26"/>
      <c r="Y61" s="26"/>
      <c r="Z61" s="26"/>
      <c r="AA61" s="26"/>
      <c r="AB61" s="26"/>
      <c r="AC61" s="26"/>
      <c r="AD61" s="165"/>
    </row>
    <row r="62" spans="1:30" ht="15.75" customHeight="1" thickBot="1">
      <c r="A62" s="176"/>
      <c r="B62" s="26"/>
      <c r="C62" s="176"/>
      <c r="D62" s="26"/>
      <c r="E62" s="26"/>
      <c r="F62" s="26"/>
      <c r="G62" s="26"/>
      <c r="H62" s="26"/>
      <c r="I62" s="340" t="s">
        <v>403</v>
      </c>
      <c r="J62" s="331"/>
      <c r="K62" s="44">
        <f>K46+K61</f>
        <v>4198370.6296350434</v>
      </c>
      <c r="L62" s="165"/>
      <c r="M62" s="26"/>
      <c r="N62" s="26"/>
      <c r="O62" s="26"/>
      <c r="P62" s="26"/>
      <c r="Q62" s="26"/>
      <c r="R62" s="26"/>
      <c r="S62" s="26"/>
      <c r="T62" s="26"/>
      <c r="U62" s="26"/>
      <c r="V62" s="26"/>
      <c r="W62" s="165"/>
      <c r="X62" s="26"/>
      <c r="Y62" s="26"/>
      <c r="Z62" s="26"/>
      <c r="AA62" s="26"/>
      <c r="AB62" s="26"/>
      <c r="AC62" s="26"/>
      <c r="AD62" s="165"/>
    </row>
    <row r="63" spans="1:30" ht="15.75" customHeight="1">
      <c r="A63" s="176"/>
      <c r="B63" s="26"/>
      <c r="C63" s="176"/>
      <c r="D63" s="26"/>
      <c r="E63" s="26"/>
      <c r="F63" s="26"/>
      <c r="G63" s="26"/>
      <c r="H63" s="26"/>
      <c r="I63" s="340" t="s">
        <v>406</v>
      </c>
      <c r="J63" s="331"/>
      <c r="K63" s="44">
        <f>K62*8%</f>
        <v>335869.65037080349</v>
      </c>
      <c r="L63" s="165"/>
      <c r="M63" s="641" t="s">
        <v>363</v>
      </c>
      <c r="N63" s="642" t="s">
        <v>376</v>
      </c>
      <c r="O63" s="642" t="s">
        <v>377</v>
      </c>
      <c r="P63" s="642" t="s">
        <v>378</v>
      </c>
      <c r="Q63" s="643" t="s">
        <v>379</v>
      </c>
      <c r="R63" s="644" t="s">
        <v>404</v>
      </c>
      <c r="S63" s="726"/>
      <c r="T63" s="645" t="s">
        <v>405</v>
      </c>
      <c r="U63" s="645" t="s">
        <v>382</v>
      </c>
      <c r="V63" s="643" t="s">
        <v>383</v>
      </c>
      <c r="W63" s="646" t="s">
        <v>384</v>
      </c>
      <c r="X63" s="26"/>
      <c r="Y63" s="26"/>
      <c r="Z63" s="26"/>
      <c r="AA63" s="26"/>
      <c r="AB63" s="26"/>
      <c r="AC63" s="26"/>
      <c r="AD63" s="165"/>
    </row>
    <row r="64" spans="1:30" ht="15.75" customHeight="1">
      <c r="A64" s="176"/>
      <c r="B64" s="26"/>
      <c r="C64" s="176"/>
      <c r="D64" s="26"/>
      <c r="E64" s="26"/>
      <c r="F64" s="26"/>
      <c r="G64" s="26"/>
      <c r="H64" s="26"/>
      <c r="I64" s="340" t="s">
        <v>407</v>
      </c>
      <c r="J64" s="349"/>
      <c r="K64" s="43">
        <f>K62+K63</f>
        <v>4534240.2800058471</v>
      </c>
      <c r="L64" s="165"/>
      <c r="M64" s="725"/>
      <c r="N64" s="727"/>
      <c r="O64" s="727"/>
      <c r="P64" s="727"/>
      <c r="Q64" s="727"/>
      <c r="R64" s="320" t="s">
        <v>387</v>
      </c>
      <c r="S64" s="321" t="s">
        <v>111</v>
      </c>
      <c r="T64" s="727"/>
      <c r="U64" s="727"/>
      <c r="V64" s="727"/>
      <c r="W64" s="728"/>
      <c r="X64" s="26"/>
      <c r="Y64" s="26"/>
      <c r="Z64" s="26"/>
      <c r="AA64" s="26"/>
      <c r="AB64" s="26"/>
      <c r="AC64" s="26"/>
      <c r="AD64" s="165"/>
    </row>
    <row r="65" spans="1:30" ht="15.75" customHeight="1">
      <c r="A65" s="176"/>
      <c r="B65" s="26"/>
      <c r="C65" s="176"/>
      <c r="D65" s="26"/>
      <c r="E65" s="26"/>
      <c r="F65" s="26"/>
      <c r="G65" s="26"/>
      <c r="H65" s="26"/>
      <c r="I65" s="622" t="s">
        <v>408</v>
      </c>
      <c r="J65" s="623"/>
      <c r="K65" s="44">
        <f>K62*1.019</f>
        <v>4278139.6715981085</v>
      </c>
      <c r="L65" s="165"/>
      <c r="M65" s="343" t="s">
        <v>390</v>
      </c>
      <c r="N65" s="299">
        <v>1</v>
      </c>
      <c r="O65" s="299">
        <v>1</v>
      </c>
      <c r="P65" s="301">
        <f>((((($N$28*$O$28+V70)*($N$33))/30)*$O$39)/15)*$N$39</f>
        <v>14778.847405555554</v>
      </c>
      <c r="Q65" s="301">
        <f t="shared" ref="Q65:Q66" si="23">P65*O65</f>
        <v>14778.847405555554</v>
      </c>
      <c r="R65" s="323">
        <v>0.08</v>
      </c>
      <c r="S65" s="301">
        <f>Q65*R65</f>
        <v>1182.3077924444444</v>
      </c>
      <c r="T65" s="301">
        <f>Q65+S65</f>
        <v>15961.155197999999</v>
      </c>
      <c r="U65" s="301">
        <f>T65*10%</f>
        <v>1596.1155197999999</v>
      </c>
      <c r="V65" s="301">
        <f>U65*19%</f>
        <v>303.26194876199997</v>
      </c>
      <c r="W65" s="44">
        <f>T65+V65</f>
        <v>16264.417146761998</v>
      </c>
      <c r="X65" s="26"/>
      <c r="Y65" s="26"/>
      <c r="Z65" s="26"/>
      <c r="AA65" s="26"/>
      <c r="AB65" s="26"/>
      <c r="AC65" s="26"/>
      <c r="AD65" s="165"/>
    </row>
    <row r="66" spans="1:30" ht="15.75" customHeight="1">
      <c r="A66" s="176"/>
      <c r="B66" s="26"/>
      <c r="C66" s="176"/>
      <c r="D66" s="26"/>
      <c r="E66" s="26"/>
      <c r="F66" s="26"/>
      <c r="G66" s="26"/>
      <c r="H66" s="26"/>
      <c r="I66" s="624" t="s">
        <v>409</v>
      </c>
      <c r="J66" s="625"/>
      <c r="K66" s="629">
        <f>K65*9</f>
        <v>38503257.044382975</v>
      </c>
      <c r="L66" s="165"/>
      <c r="M66" s="343" t="s">
        <v>392</v>
      </c>
      <c r="N66" s="299">
        <v>0</v>
      </c>
      <c r="O66" s="299"/>
      <c r="P66" s="301">
        <f>((((($N$28*$O$28+V70)*($N$34))/30)*$O$39)/9)*$N$39</f>
        <v>19376.828398148151</v>
      </c>
      <c r="Q66" s="301">
        <f t="shared" si="23"/>
        <v>0</v>
      </c>
      <c r="R66" s="323">
        <v>0.08</v>
      </c>
      <c r="S66" s="301">
        <f t="shared" ref="S66" si="24">Q66*R66</f>
        <v>0</v>
      </c>
      <c r="T66" s="301">
        <f t="shared" ref="T66" si="25">Q66+S66</f>
        <v>0</v>
      </c>
      <c r="U66" s="301"/>
      <c r="V66" s="301"/>
      <c r="W66" s="44"/>
      <c r="X66" s="26"/>
      <c r="Y66" s="26"/>
      <c r="Z66" s="26"/>
      <c r="AA66" s="26"/>
      <c r="AB66" s="26"/>
      <c r="AC66" s="26"/>
      <c r="AD66" s="165"/>
    </row>
    <row r="67" spans="1:30" ht="15.75" customHeight="1" thickBot="1">
      <c r="A67" s="176"/>
      <c r="B67" s="26"/>
      <c r="C67" s="176"/>
      <c r="D67" s="26"/>
      <c r="E67" s="26"/>
      <c r="F67" s="26"/>
      <c r="G67" s="26"/>
      <c r="H67" s="26"/>
      <c r="I67" s="626"/>
      <c r="J67" s="627"/>
      <c r="K67" s="732"/>
      <c r="L67" s="165"/>
      <c r="M67" s="344" t="s">
        <v>394</v>
      </c>
      <c r="N67" s="307">
        <f>N65+N66</f>
        <v>1</v>
      </c>
      <c r="O67" s="307">
        <f>O65+O66</f>
        <v>1</v>
      </c>
      <c r="P67" s="326"/>
      <c r="Q67" s="326">
        <f>SUM(Q65:Q66)</f>
        <v>14778.847405555554</v>
      </c>
      <c r="R67" s="307"/>
      <c r="S67" s="326"/>
      <c r="T67" s="326">
        <f>SUM(T65:T66)</f>
        <v>15961.155197999999</v>
      </c>
      <c r="U67" s="326">
        <f>SUM(U65:U66)</f>
        <v>1596.1155197999999</v>
      </c>
      <c r="V67" s="326">
        <f>SUM(V65:V66)</f>
        <v>303.26194876199997</v>
      </c>
      <c r="W67" s="327">
        <f>SUM(W65:W66)</f>
        <v>16264.417146761998</v>
      </c>
      <c r="X67" s="26"/>
      <c r="Y67" s="26"/>
      <c r="Z67" s="26"/>
      <c r="AA67" s="26"/>
      <c r="AB67" s="26"/>
      <c r="AC67" s="26"/>
      <c r="AD67" s="165"/>
    </row>
    <row r="68" spans="1:30" ht="15.75" customHeight="1" thickBot="1">
      <c r="A68" s="176"/>
      <c r="B68" s="26"/>
      <c r="C68" s="167"/>
      <c r="D68" s="168"/>
      <c r="E68" s="168"/>
      <c r="F68" s="168"/>
      <c r="G68" s="168"/>
      <c r="H68" s="168"/>
      <c r="I68" s="168"/>
      <c r="J68" s="168"/>
      <c r="K68" s="168"/>
      <c r="L68" s="170"/>
      <c r="M68" s="328"/>
      <c r="N68" s="328"/>
      <c r="O68" s="328"/>
      <c r="P68" s="328"/>
      <c r="Q68" s="328"/>
      <c r="R68" s="328"/>
      <c r="S68" s="328"/>
      <c r="T68" s="328"/>
      <c r="U68" s="328"/>
      <c r="V68" s="328"/>
      <c r="W68" s="329"/>
      <c r="X68" s="26"/>
      <c r="Y68" s="26"/>
      <c r="Z68" s="26"/>
      <c r="AA68" s="26"/>
      <c r="AB68" s="26"/>
      <c r="AC68" s="26"/>
      <c r="AD68" s="165"/>
    </row>
    <row r="69" spans="1:30" ht="15.75" customHeight="1" thickBot="1">
      <c r="A69" s="176"/>
      <c r="B69" s="26"/>
      <c r="C69" s="161"/>
      <c r="D69" s="163"/>
      <c r="E69" s="163"/>
      <c r="F69" s="163"/>
      <c r="G69" s="163"/>
      <c r="H69" s="163"/>
      <c r="I69" s="163"/>
      <c r="J69" s="163"/>
      <c r="K69" s="163"/>
      <c r="L69" s="164"/>
      <c r="M69" s="166"/>
      <c r="N69" s="166"/>
      <c r="O69" s="166"/>
      <c r="P69" s="166"/>
      <c r="Q69" s="166"/>
      <c r="R69" s="166"/>
      <c r="S69" s="166"/>
      <c r="T69" s="166"/>
      <c r="U69" s="166"/>
      <c r="V69" s="166"/>
      <c r="W69" s="287"/>
      <c r="X69" s="26"/>
      <c r="Y69" s="26"/>
      <c r="Z69" s="26"/>
      <c r="AA69" s="26"/>
      <c r="AB69" s="26"/>
      <c r="AC69" s="26"/>
      <c r="AD69" s="165"/>
    </row>
    <row r="70" spans="1:30" ht="15.75" customHeight="1" thickBot="1">
      <c r="A70" s="176"/>
      <c r="B70" s="26"/>
      <c r="C70" s="176"/>
      <c r="D70" s="26"/>
      <c r="E70" s="26"/>
      <c r="F70" s="26"/>
      <c r="G70" s="26"/>
      <c r="H70" s="26"/>
      <c r="I70" s="690" t="str">
        <f>B19</f>
        <v>EXPERTOS SEGURIDAD LTDA</v>
      </c>
      <c r="J70" s="691"/>
      <c r="K70" s="26"/>
      <c r="L70" s="165"/>
      <c r="M70" s="166"/>
      <c r="N70" s="166"/>
      <c r="O70" s="678" t="s">
        <v>5</v>
      </c>
      <c r="P70" s="679"/>
      <c r="Q70" s="682" t="s">
        <v>398</v>
      </c>
      <c r="R70" s="683"/>
      <c r="S70" s="683"/>
      <c r="T70" s="683"/>
      <c r="U70" s="684"/>
      <c r="V70" s="699">
        <f>G19</f>
        <v>225</v>
      </c>
      <c r="W70" s="287"/>
      <c r="X70" s="26"/>
      <c r="Y70" s="26"/>
      <c r="Z70" s="26"/>
      <c r="AA70" s="26"/>
      <c r="AB70" s="26"/>
      <c r="AC70" s="26"/>
      <c r="AD70" s="165"/>
    </row>
    <row r="71" spans="1:30" ht="15.75" customHeight="1" thickBot="1">
      <c r="A71" s="176"/>
      <c r="B71" s="26"/>
      <c r="C71" s="176"/>
      <c r="D71" s="26"/>
      <c r="E71" s="26"/>
      <c r="F71" s="26"/>
      <c r="G71" s="26"/>
      <c r="H71" s="26"/>
      <c r="I71" s="337" t="s">
        <v>402</v>
      </c>
      <c r="J71" s="347"/>
      <c r="K71" s="348">
        <f>G19</f>
        <v>225</v>
      </c>
      <c r="L71" s="165"/>
      <c r="M71" s="169"/>
      <c r="N71" s="169"/>
      <c r="O71" s="680"/>
      <c r="P71" s="681"/>
      <c r="Q71" s="669" t="s">
        <v>400</v>
      </c>
      <c r="R71" s="729"/>
      <c r="S71" s="729"/>
      <c r="T71" s="729"/>
      <c r="U71" s="730"/>
      <c r="V71" s="346">
        <f>W67</f>
        <v>16264.417146761998</v>
      </c>
      <c r="W71" s="317"/>
      <c r="X71" s="26"/>
      <c r="Y71" s="26"/>
      <c r="Z71" s="26"/>
      <c r="AA71" s="26"/>
      <c r="AB71" s="26"/>
      <c r="AC71" s="26"/>
      <c r="AD71" s="165"/>
    </row>
    <row r="72" spans="1:30" ht="15.75" customHeight="1">
      <c r="A72" s="176"/>
      <c r="B72" s="26"/>
      <c r="C72" s="176"/>
      <c r="D72" s="26"/>
      <c r="E72" s="26"/>
      <c r="F72" s="26"/>
      <c r="G72" s="26"/>
      <c r="H72" s="26"/>
      <c r="I72" s="340" t="s">
        <v>403</v>
      </c>
      <c r="J72" s="331"/>
      <c r="K72" s="44">
        <f>K46+K71</f>
        <v>4198186.6296350434</v>
      </c>
      <c r="L72" s="165"/>
      <c r="M72" s="26"/>
      <c r="N72" s="26"/>
      <c r="O72" s="26"/>
      <c r="P72" s="26"/>
      <c r="Q72" s="26"/>
      <c r="R72" s="26"/>
      <c r="S72" s="26"/>
      <c r="T72" s="26"/>
      <c r="U72" s="26"/>
      <c r="V72" s="26"/>
      <c r="W72" s="165"/>
      <c r="X72" s="26"/>
      <c r="Y72" s="26"/>
      <c r="Z72" s="26"/>
      <c r="AA72" s="26"/>
      <c r="AB72" s="26"/>
      <c r="AC72" s="26"/>
      <c r="AD72" s="165"/>
    </row>
    <row r="73" spans="1:30" ht="15.75" customHeight="1" thickBot="1">
      <c r="A73" s="176"/>
      <c r="B73" s="26"/>
      <c r="C73" s="176"/>
      <c r="D73" s="26"/>
      <c r="E73" s="26"/>
      <c r="F73" s="26"/>
      <c r="G73" s="26"/>
      <c r="H73" s="26"/>
      <c r="I73" s="340" t="s">
        <v>406</v>
      </c>
      <c r="J73" s="331"/>
      <c r="K73" s="44">
        <f>K72*8%</f>
        <v>335854.93037080346</v>
      </c>
      <c r="L73" s="165"/>
      <c r="M73" s="26"/>
      <c r="N73" s="26"/>
      <c r="O73" s="26"/>
      <c r="P73" s="26"/>
      <c r="Q73" s="26"/>
      <c r="R73" s="26"/>
      <c r="S73" s="26"/>
      <c r="T73" s="26"/>
      <c r="U73" s="26"/>
      <c r="V73" s="26"/>
      <c r="W73" s="165"/>
      <c r="X73" s="26"/>
      <c r="Y73" s="26"/>
      <c r="Z73" s="26"/>
      <c r="AA73" s="26"/>
      <c r="AB73" s="26"/>
      <c r="AC73" s="26"/>
      <c r="AD73" s="165"/>
    </row>
    <row r="74" spans="1:30" ht="15.75" customHeight="1">
      <c r="A74" s="176"/>
      <c r="B74" s="26"/>
      <c r="C74" s="176"/>
      <c r="D74" s="26"/>
      <c r="E74" s="26"/>
      <c r="F74" s="26"/>
      <c r="G74" s="26"/>
      <c r="H74" s="26"/>
      <c r="I74" s="340" t="s">
        <v>407</v>
      </c>
      <c r="J74" s="349"/>
      <c r="K74" s="43">
        <f>K72+K73</f>
        <v>4534041.5600058474</v>
      </c>
      <c r="L74" s="165"/>
      <c r="M74" s="694" t="s">
        <v>363</v>
      </c>
      <c r="N74" s="641" t="s">
        <v>376</v>
      </c>
      <c r="O74" s="642" t="s">
        <v>377</v>
      </c>
      <c r="P74" s="642" t="s">
        <v>378</v>
      </c>
      <c r="Q74" s="643" t="s">
        <v>379</v>
      </c>
      <c r="R74" s="644" t="s">
        <v>404</v>
      </c>
      <c r="S74" s="726"/>
      <c r="T74" s="645" t="s">
        <v>405</v>
      </c>
      <c r="U74" s="645" t="s">
        <v>382</v>
      </c>
      <c r="V74" s="643" t="s">
        <v>383</v>
      </c>
      <c r="W74" s="646" t="s">
        <v>384</v>
      </c>
      <c r="X74" s="26"/>
      <c r="Y74" s="26"/>
      <c r="Z74" s="26"/>
      <c r="AA74" s="26"/>
      <c r="AB74" s="26"/>
      <c r="AC74" s="26"/>
      <c r="AD74" s="165"/>
    </row>
    <row r="75" spans="1:30" ht="15.75" customHeight="1">
      <c r="A75" s="176"/>
      <c r="B75" s="26"/>
      <c r="C75" s="176"/>
      <c r="D75" s="26"/>
      <c r="E75" s="26"/>
      <c r="F75" s="26"/>
      <c r="G75" s="26"/>
      <c r="H75" s="26"/>
      <c r="I75" s="622" t="s">
        <v>408</v>
      </c>
      <c r="J75" s="623"/>
      <c r="K75" s="44">
        <f>K72*1.019</f>
        <v>4277952.1755981091</v>
      </c>
      <c r="L75" s="165"/>
      <c r="M75" s="695"/>
      <c r="N75" s="696"/>
      <c r="O75" s="697"/>
      <c r="P75" s="697"/>
      <c r="Q75" s="698"/>
      <c r="R75" s="320" t="s">
        <v>387</v>
      </c>
      <c r="S75" s="321" t="s">
        <v>111</v>
      </c>
      <c r="T75" s="727"/>
      <c r="U75" s="727"/>
      <c r="V75" s="727"/>
      <c r="W75" s="728"/>
      <c r="X75" s="26"/>
      <c r="Y75" s="26"/>
      <c r="Z75" s="26"/>
      <c r="AA75" s="26"/>
      <c r="AB75" s="26"/>
      <c r="AC75" s="26"/>
      <c r="AD75" s="165"/>
    </row>
    <row r="76" spans="1:30" ht="15.75" customHeight="1">
      <c r="A76" s="176"/>
      <c r="B76" s="26"/>
      <c r="C76" s="176"/>
      <c r="D76" s="26"/>
      <c r="E76" s="26"/>
      <c r="F76" s="26"/>
      <c r="G76" s="26"/>
      <c r="H76" s="26"/>
      <c r="I76" s="624" t="s">
        <v>409</v>
      </c>
      <c r="J76" s="625"/>
      <c r="K76" s="629">
        <f>K75*9</f>
        <v>38501569.58038298</v>
      </c>
      <c r="L76" s="165"/>
      <c r="M76" s="343" t="s">
        <v>390</v>
      </c>
      <c r="N76" s="299">
        <v>1</v>
      </c>
      <c r="O76" s="299">
        <v>1</v>
      </c>
      <c r="P76" s="301">
        <f>((((($N$28*$O$28+V81)*($N$33))/30)*$O$39)/15)*$N$39</f>
        <v>14779.189444444444</v>
      </c>
      <c r="Q76" s="301">
        <f t="shared" ref="Q76:Q77" si="26">P76*O76</f>
        <v>14779.189444444444</v>
      </c>
      <c r="R76" s="323">
        <v>0.08</v>
      </c>
      <c r="S76" s="301">
        <f>Q76*R76</f>
        <v>1182.3351555555555</v>
      </c>
      <c r="T76" s="301">
        <f>Q76+S76</f>
        <v>15961.524600000001</v>
      </c>
      <c r="U76" s="301">
        <f>T76*10%</f>
        <v>1596.1524600000002</v>
      </c>
      <c r="V76" s="301">
        <f>U76*19%</f>
        <v>303.26896740000007</v>
      </c>
      <c r="W76" s="44">
        <f>T76+V76</f>
        <v>16264.7935674</v>
      </c>
      <c r="X76" s="26"/>
      <c r="Y76" s="26"/>
      <c r="Z76" s="26"/>
      <c r="AA76" s="26"/>
      <c r="AB76" s="26"/>
      <c r="AC76" s="26"/>
      <c r="AD76" s="165"/>
    </row>
    <row r="77" spans="1:30" ht="15.75" customHeight="1" thickBot="1">
      <c r="A77" s="176"/>
      <c r="B77" s="26"/>
      <c r="C77" s="176"/>
      <c r="D77" s="26"/>
      <c r="E77" s="26"/>
      <c r="F77" s="26"/>
      <c r="G77" s="26"/>
      <c r="H77" s="26"/>
      <c r="I77" s="626"/>
      <c r="J77" s="627"/>
      <c r="K77" s="732"/>
      <c r="L77" s="165"/>
      <c r="M77" s="343" t="s">
        <v>392</v>
      </c>
      <c r="N77" s="299">
        <v>0</v>
      </c>
      <c r="O77" s="299"/>
      <c r="P77" s="301">
        <f>((((($N$28*$O$28+V81)*($N$34))/30)*$O$39)/9)*$N$39</f>
        <v>19377.276851851853</v>
      </c>
      <c r="Q77" s="301">
        <f t="shared" si="26"/>
        <v>0</v>
      </c>
      <c r="R77" s="323">
        <v>0.08</v>
      </c>
      <c r="S77" s="301">
        <f t="shared" ref="S77" si="27">Q77*R77</f>
        <v>0</v>
      </c>
      <c r="T77" s="301">
        <f t="shared" ref="T77" si="28">Q77+S77</f>
        <v>0</v>
      </c>
      <c r="U77" s="301"/>
      <c r="V77" s="301"/>
      <c r="W77" s="44"/>
      <c r="X77" s="26"/>
      <c r="Y77" s="26"/>
      <c r="Z77" s="26"/>
      <c r="AA77" s="26"/>
      <c r="AB77" s="26"/>
      <c r="AC77" s="26"/>
      <c r="AD77" s="165"/>
    </row>
    <row r="78" spans="1:30" ht="15.75" customHeight="1" thickBot="1">
      <c r="A78" s="176"/>
      <c r="B78" s="26"/>
      <c r="C78" s="167"/>
      <c r="D78" s="168"/>
      <c r="E78" s="168"/>
      <c r="F78" s="168"/>
      <c r="G78" s="168"/>
      <c r="H78" s="168"/>
      <c r="I78" s="168"/>
      <c r="J78" s="168"/>
      <c r="K78" s="168"/>
      <c r="L78" s="170"/>
      <c r="M78" s="325" t="s">
        <v>394</v>
      </c>
      <c r="N78" s="307">
        <f>N76+N77</f>
        <v>1</v>
      </c>
      <c r="O78" s="307">
        <f>O76+O77</f>
        <v>1</v>
      </c>
      <c r="P78" s="326"/>
      <c r="Q78" s="326">
        <f>SUM(Q76:Q77)</f>
        <v>14779.189444444444</v>
      </c>
      <c r="R78" s="307"/>
      <c r="S78" s="326"/>
      <c r="T78" s="326">
        <f>SUM(T76:T77)</f>
        <v>15961.524600000001</v>
      </c>
      <c r="U78" s="326">
        <f>SUM(U76:U77)</f>
        <v>1596.1524600000002</v>
      </c>
      <c r="V78" s="326">
        <f>SUM(V76:V77)</f>
        <v>303.26896740000007</v>
      </c>
      <c r="W78" s="327">
        <f>SUM(W76:W77)</f>
        <v>16264.7935674</v>
      </c>
      <c r="X78" s="26"/>
      <c r="Y78" s="26"/>
      <c r="Z78" s="26"/>
      <c r="AA78" s="26"/>
      <c r="AB78" s="26"/>
      <c r="AC78" s="26"/>
      <c r="AD78" s="165"/>
    </row>
    <row r="79" spans="1:30" ht="15.75" customHeight="1" thickBot="1">
      <c r="A79" s="176"/>
      <c r="B79" s="26"/>
      <c r="C79" s="161"/>
      <c r="D79" s="163"/>
      <c r="E79" s="163"/>
      <c r="F79" s="163"/>
      <c r="G79" s="163"/>
      <c r="H79" s="163"/>
      <c r="I79" s="163"/>
      <c r="J79" s="163"/>
      <c r="K79" s="163"/>
      <c r="L79" s="164"/>
      <c r="M79" s="328"/>
      <c r="N79" s="328"/>
      <c r="O79" s="328"/>
      <c r="P79" s="328"/>
      <c r="Q79" s="328"/>
      <c r="R79" s="328"/>
      <c r="S79" s="328"/>
      <c r="T79" s="328"/>
      <c r="U79" s="328"/>
      <c r="V79" s="328"/>
      <c r="W79" s="329"/>
      <c r="X79" s="26"/>
      <c r="Y79" s="26"/>
      <c r="Z79" s="26"/>
      <c r="AA79" s="26"/>
      <c r="AB79" s="26"/>
      <c r="AC79" s="26"/>
      <c r="AD79" s="165"/>
    </row>
    <row r="80" spans="1:30" ht="15.75" customHeight="1" thickBot="1">
      <c r="A80" s="176"/>
      <c r="B80" s="26"/>
      <c r="C80" s="176"/>
      <c r="D80" s="26"/>
      <c r="E80" s="26"/>
      <c r="F80" s="26"/>
      <c r="G80" s="26"/>
      <c r="H80" s="26"/>
      <c r="I80" s="690" t="str">
        <f>B20</f>
        <v>MIRO SEGURIDAD LTDA</v>
      </c>
      <c r="J80" s="691"/>
      <c r="K80" s="26"/>
      <c r="L80" s="165"/>
      <c r="M80" s="166"/>
      <c r="N80" s="166"/>
      <c r="O80" s="166"/>
      <c r="P80" s="166"/>
      <c r="Q80" s="166"/>
      <c r="R80" s="166"/>
      <c r="S80" s="166"/>
      <c r="T80" s="166"/>
      <c r="U80" s="166"/>
      <c r="V80" s="166"/>
      <c r="W80" s="287"/>
      <c r="X80" s="26"/>
      <c r="Y80" s="26"/>
      <c r="Z80" s="26"/>
      <c r="AA80" s="26"/>
      <c r="AB80" s="26"/>
      <c r="AC80" s="26"/>
      <c r="AD80" s="165"/>
    </row>
    <row r="81" spans="1:30" ht="15.75" customHeight="1" thickBot="1">
      <c r="A81" s="176"/>
      <c r="B81" s="26"/>
      <c r="C81" s="176"/>
      <c r="D81" s="26"/>
      <c r="E81" s="26"/>
      <c r="F81" s="26"/>
      <c r="G81" s="26"/>
      <c r="H81" s="26"/>
      <c r="I81" s="337" t="s">
        <v>402</v>
      </c>
      <c r="J81" s="347"/>
      <c r="K81" s="348">
        <f>G20</f>
        <v>500</v>
      </c>
      <c r="L81" s="165"/>
      <c r="M81" s="166"/>
      <c r="N81" s="166"/>
      <c r="O81" s="678" t="s">
        <v>6</v>
      </c>
      <c r="P81" s="679"/>
      <c r="Q81" s="682" t="s">
        <v>398</v>
      </c>
      <c r="R81" s="683"/>
      <c r="S81" s="683"/>
      <c r="T81" s="683"/>
      <c r="U81" s="684"/>
      <c r="V81" s="699">
        <f>G20</f>
        <v>500</v>
      </c>
      <c r="W81" s="287"/>
      <c r="X81" s="26"/>
      <c r="Y81" s="26"/>
      <c r="Z81" s="26"/>
      <c r="AA81" s="26"/>
      <c r="AB81" s="26"/>
      <c r="AC81" s="26"/>
      <c r="AD81" s="165"/>
    </row>
    <row r="82" spans="1:30" ht="15.75" customHeight="1" thickBot="1">
      <c r="A82" s="176"/>
      <c r="B82" s="26"/>
      <c r="C82" s="176"/>
      <c r="D82" s="26"/>
      <c r="E82" s="26"/>
      <c r="F82" s="26"/>
      <c r="G82" s="26"/>
      <c r="H82" s="26"/>
      <c r="I82" s="340" t="s">
        <v>403</v>
      </c>
      <c r="J82" s="331"/>
      <c r="K82" s="44">
        <f>K46+K81</f>
        <v>4198461.6296350434</v>
      </c>
      <c r="L82" s="165"/>
      <c r="M82" s="169"/>
      <c r="N82" s="169"/>
      <c r="O82" s="680"/>
      <c r="P82" s="681"/>
      <c r="Q82" s="669" t="s">
        <v>400</v>
      </c>
      <c r="R82" s="729"/>
      <c r="S82" s="729"/>
      <c r="T82" s="729"/>
      <c r="U82" s="730"/>
      <c r="V82" s="346">
        <f>W78</f>
        <v>16264.7935674</v>
      </c>
      <c r="W82" s="317"/>
      <c r="X82" s="26"/>
      <c r="Y82" s="26"/>
      <c r="Z82" s="26"/>
      <c r="AA82" s="26"/>
      <c r="AB82" s="26"/>
      <c r="AC82" s="26"/>
      <c r="AD82" s="165"/>
    </row>
    <row r="83" spans="1:30" ht="15.75" customHeight="1">
      <c r="A83" s="176"/>
      <c r="B83" s="26"/>
      <c r="C83" s="176"/>
      <c r="D83" s="26"/>
      <c r="E83" s="26"/>
      <c r="F83" s="26"/>
      <c r="G83" s="26"/>
      <c r="H83" s="26"/>
      <c r="I83" s="340" t="s">
        <v>406</v>
      </c>
      <c r="J83" s="331"/>
      <c r="K83" s="44">
        <f>K82*8%</f>
        <v>335876.93037080346</v>
      </c>
      <c r="L83" s="165"/>
      <c r="M83" s="26"/>
      <c r="N83" s="26"/>
      <c r="O83" s="26"/>
      <c r="P83" s="26"/>
      <c r="Q83" s="26"/>
      <c r="R83" s="26"/>
      <c r="S83" s="26"/>
      <c r="T83" s="26"/>
      <c r="U83" s="26"/>
      <c r="V83" s="26"/>
      <c r="W83" s="165"/>
      <c r="X83" s="26"/>
      <c r="Y83" s="26"/>
      <c r="Z83" s="26"/>
      <c r="AA83" s="26"/>
      <c r="AB83" s="26"/>
      <c r="AC83" s="26"/>
      <c r="AD83" s="165"/>
    </row>
    <row r="84" spans="1:30" ht="15.75" customHeight="1" thickBot="1">
      <c r="A84" s="176"/>
      <c r="B84" s="26"/>
      <c r="C84" s="176"/>
      <c r="D84" s="26"/>
      <c r="E84" s="26"/>
      <c r="F84" s="26"/>
      <c r="G84" s="26"/>
      <c r="H84" s="26"/>
      <c r="I84" s="340" t="s">
        <v>407</v>
      </c>
      <c r="J84" s="349"/>
      <c r="K84" s="43">
        <f>K82+K83</f>
        <v>4534338.5600058474</v>
      </c>
      <c r="L84" s="165"/>
      <c r="M84" s="26"/>
      <c r="N84" s="26"/>
      <c r="O84" s="26"/>
      <c r="P84" s="26"/>
      <c r="Q84" s="26"/>
      <c r="R84" s="26"/>
      <c r="S84" s="26"/>
      <c r="T84" s="26"/>
      <c r="U84" s="26"/>
      <c r="V84" s="26"/>
      <c r="W84" s="165"/>
      <c r="X84" s="26"/>
      <c r="Y84" s="26"/>
      <c r="Z84" s="26"/>
      <c r="AA84" s="26"/>
      <c r="AB84" s="26"/>
      <c r="AC84" s="26"/>
      <c r="AD84" s="165"/>
    </row>
    <row r="85" spans="1:30" ht="15.75" customHeight="1">
      <c r="A85" s="176"/>
      <c r="B85" s="26"/>
      <c r="C85" s="176"/>
      <c r="D85" s="26"/>
      <c r="E85" s="26"/>
      <c r="F85" s="26"/>
      <c r="G85" s="26"/>
      <c r="H85" s="26"/>
      <c r="I85" s="622" t="s">
        <v>408</v>
      </c>
      <c r="J85" s="623"/>
      <c r="K85" s="44">
        <f>K82*1.019</f>
        <v>4278232.4005981088</v>
      </c>
      <c r="L85" s="165"/>
      <c r="M85" s="685" t="s">
        <v>363</v>
      </c>
      <c r="N85" s="642" t="s">
        <v>376</v>
      </c>
      <c r="O85" s="642" t="s">
        <v>377</v>
      </c>
      <c r="P85" s="642" t="s">
        <v>378</v>
      </c>
      <c r="Q85" s="643" t="s">
        <v>379</v>
      </c>
      <c r="R85" s="644" t="s">
        <v>404</v>
      </c>
      <c r="S85" s="726"/>
      <c r="T85" s="645" t="s">
        <v>405</v>
      </c>
      <c r="U85" s="645" t="s">
        <v>382</v>
      </c>
      <c r="V85" s="643" t="s">
        <v>383</v>
      </c>
      <c r="W85" s="646" t="s">
        <v>384</v>
      </c>
      <c r="X85" s="26"/>
      <c r="Y85" s="26"/>
      <c r="Z85" s="26"/>
      <c r="AA85" s="26"/>
      <c r="AB85" s="26"/>
      <c r="AC85" s="26"/>
      <c r="AD85" s="165"/>
    </row>
    <row r="86" spans="1:30" ht="15.75" customHeight="1">
      <c r="A86" s="176"/>
      <c r="B86" s="26"/>
      <c r="C86" s="176"/>
      <c r="D86" s="26"/>
      <c r="E86" s="26"/>
      <c r="F86" s="26"/>
      <c r="G86" s="26"/>
      <c r="H86" s="26"/>
      <c r="I86" s="624" t="s">
        <v>409</v>
      </c>
      <c r="J86" s="625"/>
      <c r="K86" s="629">
        <f>K85*9</f>
        <v>38504091.605382979</v>
      </c>
      <c r="L86" s="165"/>
      <c r="M86" s="733"/>
      <c r="N86" s="727"/>
      <c r="O86" s="727"/>
      <c r="P86" s="727"/>
      <c r="Q86" s="727"/>
      <c r="R86" s="320" t="s">
        <v>387</v>
      </c>
      <c r="S86" s="321" t="s">
        <v>111</v>
      </c>
      <c r="T86" s="727"/>
      <c r="U86" s="727"/>
      <c r="V86" s="727"/>
      <c r="W86" s="728"/>
      <c r="X86" s="26"/>
      <c r="Y86" s="26"/>
      <c r="Z86" s="26"/>
      <c r="AA86" s="26"/>
      <c r="AB86" s="26"/>
      <c r="AC86" s="26"/>
      <c r="AD86" s="165"/>
    </row>
    <row r="87" spans="1:30" ht="15.75" customHeight="1" thickBot="1">
      <c r="A87" s="176"/>
      <c r="B87" s="26"/>
      <c r="C87" s="176"/>
      <c r="D87" s="26"/>
      <c r="E87" s="26"/>
      <c r="F87" s="26"/>
      <c r="G87" s="26"/>
      <c r="H87" s="26"/>
      <c r="I87" s="626"/>
      <c r="J87" s="627"/>
      <c r="K87" s="732"/>
      <c r="L87" s="165"/>
      <c r="M87" s="343" t="s">
        <v>390</v>
      </c>
      <c r="N87" s="299">
        <v>1</v>
      </c>
      <c r="O87" s="299">
        <v>1</v>
      </c>
      <c r="P87" s="301">
        <f>((((($N$28*$O$28+V92)*($N$33))/30)*$O$39)/15)*$N$39</f>
        <v>14779.240439333333</v>
      </c>
      <c r="Q87" s="301">
        <f t="shared" ref="Q87:Q88" si="29">P87*O87</f>
        <v>14779.240439333333</v>
      </c>
      <c r="R87" s="323">
        <v>0.08</v>
      </c>
      <c r="S87" s="301">
        <f>Q87*R87</f>
        <v>1182.3392351466666</v>
      </c>
      <c r="T87" s="301">
        <f>Q87+S87</f>
        <v>15961.579674479999</v>
      </c>
      <c r="U87" s="301">
        <f>T87*10%</f>
        <v>1596.1579674479999</v>
      </c>
      <c r="V87" s="301">
        <f>U87*19%</f>
        <v>303.27001381511997</v>
      </c>
      <c r="W87" s="44">
        <f>T87+V87</f>
        <v>16264.849688295119</v>
      </c>
      <c r="X87" s="26"/>
      <c r="Y87" s="26"/>
      <c r="Z87" s="26"/>
      <c r="AA87" s="26"/>
      <c r="AB87" s="26"/>
      <c r="AC87" s="26"/>
      <c r="AD87" s="165"/>
    </row>
    <row r="88" spans="1:30" ht="15.75" customHeight="1" thickBot="1">
      <c r="A88" s="176"/>
      <c r="B88" s="26"/>
      <c r="C88" s="167"/>
      <c r="D88" s="168"/>
      <c r="E88" s="168"/>
      <c r="F88" s="168"/>
      <c r="G88" s="168"/>
      <c r="H88" s="168"/>
      <c r="I88" s="168"/>
      <c r="J88" s="168"/>
      <c r="K88" s="168"/>
      <c r="L88" s="170"/>
      <c r="M88" s="322" t="s">
        <v>392</v>
      </c>
      <c r="N88" s="299">
        <v>0</v>
      </c>
      <c r="O88" s="299"/>
      <c r="P88" s="301">
        <f>((((($N$28*$O$28+V92)*($N$34))/30)*$O$39)/9)*$N$39</f>
        <v>19377.343712222224</v>
      </c>
      <c r="Q88" s="301">
        <f t="shared" si="29"/>
        <v>0</v>
      </c>
      <c r="R88" s="323">
        <v>0.08</v>
      </c>
      <c r="S88" s="301">
        <f t="shared" ref="S88" si="30">Q88*R88</f>
        <v>0</v>
      </c>
      <c r="T88" s="301">
        <f t="shared" ref="T88" si="31">Q88+S88</f>
        <v>0</v>
      </c>
      <c r="U88" s="301"/>
      <c r="V88" s="301"/>
      <c r="W88" s="44"/>
      <c r="X88" s="26"/>
      <c r="Y88" s="26"/>
      <c r="Z88" s="26"/>
      <c r="AA88" s="26"/>
      <c r="AB88" s="26"/>
      <c r="AC88" s="26"/>
      <c r="AD88" s="165"/>
    </row>
    <row r="89" spans="1:30" ht="15.75" customHeight="1" thickBot="1">
      <c r="A89" s="176"/>
      <c r="B89" s="26"/>
      <c r="C89" s="161"/>
      <c r="D89" s="163"/>
      <c r="E89" s="163"/>
      <c r="F89" s="163"/>
      <c r="G89" s="163"/>
      <c r="H89" s="163"/>
      <c r="I89" s="163"/>
      <c r="J89" s="163"/>
      <c r="K89" s="163"/>
      <c r="L89" s="164"/>
      <c r="M89" s="325" t="s">
        <v>394</v>
      </c>
      <c r="N89" s="307">
        <f>N87+N88</f>
        <v>1</v>
      </c>
      <c r="O89" s="307">
        <f>O87+O88</f>
        <v>1</v>
      </c>
      <c r="P89" s="326"/>
      <c r="Q89" s="326">
        <f>SUM(R87:R88)</f>
        <v>0.16</v>
      </c>
      <c r="R89" s="307"/>
      <c r="S89" s="326"/>
      <c r="T89" s="326">
        <f>SUM(U87:U88)</f>
        <v>1596.1579674479999</v>
      </c>
      <c r="U89" s="326">
        <f>SUM(V87:V88)</f>
        <v>303.27001381511997</v>
      </c>
      <c r="V89" s="326">
        <f>SUM(W87:W88)</f>
        <v>16264.849688295119</v>
      </c>
      <c r="W89" s="327">
        <f>SUM(W87:W88)</f>
        <v>16264.849688295119</v>
      </c>
      <c r="X89" s="26"/>
      <c r="Y89" s="26"/>
      <c r="Z89" s="26"/>
      <c r="AA89" s="26"/>
      <c r="AB89" s="26"/>
      <c r="AC89" s="26"/>
      <c r="AD89" s="165"/>
    </row>
    <row r="90" spans="1:30" ht="15.75" customHeight="1" thickBot="1">
      <c r="A90" s="176"/>
      <c r="B90" s="26"/>
      <c r="C90" s="176"/>
      <c r="D90" s="26"/>
      <c r="E90" s="26"/>
      <c r="F90" s="26"/>
      <c r="G90" s="26"/>
      <c r="H90" s="26"/>
      <c r="I90" s="690" t="str">
        <f>B21</f>
        <v>SERACIS LTDA</v>
      </c>
      <c r="J90" s="691"/>
      <c r="K90" s="26"/>
      <c r="L90" s="165"/>
      <c r="M90" s="328"/>
      <c r="N90" s="328"/>
      <c r="O90" s="328"/>
      <c r="P90" s="328"/>
      <c r="Q90" s="328"/>
      <c r="R90" s="328"/>
      <c r="S90" s="328"/>
      <c r="T90" s="328"/>
      <c r="U90" s="328"/>
      <c r="V90" s="328"/>
      <c r="W90" s="329"/>
      <c r="X90" s="26"/>
      <c r="Y90" s="26"/>
      <c r="Z90" s="26"/>
      <c r="AA90" s="26"/>
      <c r="AB90" s="26"/>
      <c r="AC90" s="26"/>
      <c r="AD90" s="165"/>
    </row>
    <row r="91" spans="1:30" ht="15.75" customHeight="1" thickBot="1">
      <c r="A91" s="176"/>
      <c r="B91" s="26"/>
      <c r="C91" s="176"/>
      <c r="D91" s="26"/>
      <c r="E91" s="26"/>
      <c r="F91" s="26"/>
      <c r="G91" s="26"/>
      <c r="H91" s="26"/>
      <c r="I91" s="337" t="s">
        <v>402</v>
      </c>
      <c r="J91" s="347"/>
      <c r="K91" s="348">
        <f>G21</f>
        <v>541</v>
      </c>
      <c r="L91" s="165"/>
      <c r="M91" s="166"/>
      <c r="N91" s="166"/>
      <c r="O91" s="166"/>
      <c r="P91" s="166"/>
      <c r="Q91" s="166"/>
      <c r="R91" s="166"/>
      <c r="S91" s="166"/>
      <c r="T91" s="166"/>
      <c r="U91" s="166"/>
      <c r="V91" s="166"/>
      <c r="W91" s="287"/>
      <c r="X91" s="26"/>
      <c r="Y91" s="26"/>
      <c r="Z91" s="26"/>
      <c r="AA91" s="26"/>
      <c r="AB91" s="26"/>
      <c r="AC91" s="26"/>
      <c r="AD91" s="165"/>
    </row>
    <row r="92" spans="1:30" ht="15.75" customHeight="1" thickBot="1">
      <c r="A92" s="176"/>
      <c r="B92" s="26"/>
      <c r="C92" s="176"/>
      <c r="D92" s="26"/>
      <c r="E92" s="26"/>
      <c r="F92" s="26"/>
      <c r="G92" s="26"/>
      <c r="H92" s="26"/>
      <c r="I92" s="340" t="s">
        <v>403</v>
      </c>
      <c r="J92" s="331"/>
      <c r="K92" s="44">
        <f>K46+K91</f>
        <v>4198502.6296350434</v>
      </c>
      <c r="L92" s="165"/>
      <c r="M92" s="166"/>
      <c r="N92" s="166"/>
      <c r="O92" s="678" t="str">
        <f>B21</f>
        <v>SERACIS LTDA</v>
      </c>
      <c r="P92" s="679"/>
      <c r="Q92" s="682" t="s">
        <v>398</v>
      </c>
      <c r="R92" s="683"/>
      <c r="S92" s="683"/>
      <c r="T92" s="683"/>
      <c r="U92" s="684"/>
      <c r="V92" s="699">
        <f>G21</f>
        <v>541</v>
      </c>
      <c r="W92" s="287"/>
      <c r="X92" s="26"/>
      <c r="Y92" s="26"/>
      <c r="Z92" s="26"/>
      <c r="AA92" s="26"/>
      <c r="AB92" s="26"/>
      <c r="AC92" s="26"/>
      <c r="AD92" s="165"/>
    </row>
    <row r="93" spans="1:30" ht="15.75" customHeight="1" thickBot="1">
      <c r="A93" s="176"/>
      <c r="B93" s="26"/>
      <c r="C93" s="176"/>
      <c r="D93" s="26"/>
      <c r="E93" s="26"/>
      <c r="F93" s="26"/>
      <c r="G93" s="26"/>
      <c r="H93" s="26"/>
      <c r="I93" s="340" t="s">
        <v>406</v>
      </c>
      <c r="J93" s="331"/>
      <c r="K93" s="44">
        <f>K92*8%</f>
        <v>335880.21037080348</v>
      </c>
      <c r="L93" s="165"/>
      <c r="M93" s="169"/>
      <c r="N93" s="169"/>
      <c r="O93" s="680"/>
      <c r="P93" s="681"/>
      <c r="Q93" s="669" t="s">
        <v>400</v>
      </c>
      <c r="R93" s="729"/>
      <c r="S93" s="729"/>
      <c r="T93" s="729"/>
      <c r="U93" s="730"/>
      <c r="V93" s="346">
        <f>W89</f>
        <v>16264.849688295119</v>
      </c>
      <c r="W93" s="317"/>
      <c r="X93" s="26"/>
      <c r="Y93" s="26"/>
      <c r="Z93" s="26"/>
      <c r="AA93" s="26"/>
      <c r="AB93" s="26"/>
      <c r="AC93" s="26"/>
      <c r="AD93" s="165"/>
    </row>
    <row r="94" spans="1:30" ht="15.75" customHeight="1">
      <c r="A94" s="176"/>
      <c r="B94" s="26"/>
      <c r="C94" s="176"/>
      <c r="D94" s="26"/>
      <c r="E94" s="26"/>
      <c r="F94" s="26"/>
      <c r="G94" s="26"/>
      <c r="H94" s="26"/>
      <c r="I94" s="340" t="s">
        <v>407</v>
      </c>
      <c r="J94" s="349"/>
      <c r="K94" s="43">
        <f>K92+K93</f>
        <v>4534382.8400058467</v>
      </c>
      <c r="L94" s="165"/>
      <c r="M94" s="686"/>
      <c r="N94" s="687"/>
      <c r="O94" s="687"/>
      <c r="P94" s="687"/>
      <c r="Q94" s="687"/>
      <c r="R94" s="687"/>
      <c r="S94" s="687"/>
      <c r="T94" s="687"/>
      <c r="U94" s="687"/>
      <c r="V94" s="687"/>
      <c r="W94" s="687"/>
      <c r="X94" s="26"/>
      <c r="Y94" s="26"/>
      <c r="Z94" s="26"/>
      <c r="AA94" s="26"/>
      <c r="AB94" s="26"/>
      <c r="AC94" s="26"/>
      <c r="AD94" s="165"/>
    </row>
    <row r="95" spans="1:30" ht="15.75" customHeight="1">
      <c r="A95" s="176"/>
      <c r="B95" s="26"/>
      <c r="C95" s="176"/>
      <c r="D95" s="26"/>
      <c r="E95" s="26"/>
      <c r="F95" s="26"/>
      <c r="G95" s="26"/>
      <c r="H95" s="26"/>
      <c r="I95" s="622" t="s">
        <v>408</v>
      </c>
      <c r="J95" s="623"/>
      <c r="K95" s="44">
        <f>K92*1.019</f>
        <v>4278274.1795981089</v>
      </c>
      <c r="L95" s="165"/>
      <c r="M95" s="688"/>
      <c r="N95" s="689"/>
      <c r="O95" s="689"/>
      <c r="P95" s="689"/>
      <c r="Q95" s="689"/>
      <c r="R95" s="689"/>
      <c r="S95" s="689"/>
      <c r="T95" s="689"/>
      <c r="U95" s="689"/>
      <c r="V95" s="689"/>
      <c r="W95" s="689"/>
      <c r="X95" s="26"/>
      <c r="Y95" s="26"/>
      <c r="Z95" s="26"/>
      <c r="AA95" s="26"/>
      <c r="AB95" s="26"/>
      <c r="AC95" s="26"/>
      <c r="AD95" s="165"/>
    </row>
    <row r="96" spans="1:30" ht="15.75" customHeight="1">
      <c r="A96" s="176"/>
      <c r="B96" s="26"/>
      <c r="C96" s="176"/>
      <c r="D96" s="26"/>
      <c r="E96" s="26"/>
      <c r="F96" s="26"/>
      <c r="G96" s="26"/>
      <c r="H96" s="26"/>
      <c r="I96" s="624" t="s">
        <v>409</v>
      </c>
      <c r="J96" s="625"/>
      <c r="K96" s="629">
        <f>K95*9</f>
        <v>38504467.616382979</v>
      </c>
      <c r="L96" s="165"/>
      <c r="M96" s="688"/>
      <c r="N96" s="689"/>
      <c r="O96" s="689"/>
      <c r="P96" s="689"/>
      <c r="Q96" s="689"/>
      <c r="R96" s="689"/>
      <c r="S96" s="689"/>
      <c r="T96" s="689"/>
      <c r="U96" s="689"/>
      <c r="V96" s="689"/>
      <c r="W96" s="689"/>
      <c r="X96" s="114"/>
      <c r="Y96" s="26"/>
      <c r="Z96" s="26"/>
      <c r="AA96" s="26"/>
      <c r="AB96" s="26"/>
      <c r="AC96" s="26"/>
      <c r="AD96" s="165"/>
    </row>
    <row r="97" spans="1:30" ht="15.75" customHeight="1" thickBot="1">
      <c r="A97" s="176"/>
      <c r="B97" s="26"/>
      <c r="C97" s="176"/>
      <c r="D97" s="26"/>
      <c r="E97" s="26"/>
      <c r="F97" s="26"/>
      <c r="G97" s="26"/>
      <c r="H97" s="26"/>
      <c r="I97" s="626"/>
      <c r="J97" s="627"/>
      <c r="K97" s="732"/>
      <c r="L97" s="165"/>
      <c r="M97" s="688"/>
      <c r="N97" s="689"/>
      <c r="O97" s="689"/>
      <c r="P97" s="689"/>
      <c r="Q97" s="689"/>
      <c r="R97" s="689"/>
      <c r="S97" s="689"/>
      <c r="T97" s="689"/>
      <c r="U97" s="689"/>
      <c r="V97" s="689"/>
      <c r="W97" s="689"/>
      <c r="X97" s="114"/>
      <c r="Y97" s="26"/>
      <c r="Z97" s="26"/>
      <c r="AA97" s="26"/>
      <c r="AB97" s="26"/>
      <c r="AC97" s="26"/>
      <c r="AD97" s="165"/>
    </row>
    <row r="98" spans="1:30" ht="15.75" customHeight="1" thickBot="1">
      <c r="A98" s="176"/>
      <c r="B98" s="26"/>
      <c r="C98" s="167"/>
      <c r="D98" s="168"/>
      <c r="E98" s="168"/>
      <c r="F98" s="168"/>
      <c r="G98" s="168"/>
      <c r="H98" s="168"/>
      <c r="I98" s="168"/>
      <c r="J98" s="168"/>
      <c r="K98" s="168"/>
      <c r="L98" s="170"/>
      <c r="M98" s="688"/>
      <c r="N98" s="689"/>
      <c r="O98" s="689"/>
      <c r="P98" s="689"/>
      <c r="Q98" s="689"/>
      <c r="R98" s="689"/>
      <c r="S98" s="689"/>
      <c r="T98" s="689"/>
      <c r="U98" s="689"/>
      <c r="V98" s="689"/>
      <c r="W98" s="689"/>
      <c r="X98" s="26"/>
      <c r="Y98" s="26"/>
      <c r="Z98" s="26"/>
      <c r="AA98" s="26"/>
      <c r="AB98" s="26"/>
      <c r="AC98" s="26"/>
      <c r="AD98" s="165"/>
    </row>
    <row r="99" spans="1:30" ht="15.75" customHeight="1" thickBot="1">
      <c r="A99" s="350"/>
      <c r="B99" s="281"/>
      <c r="C99" s="281"/>
      <c r="D99" s="281"/>
      <c r="E99" s="281"/>
      <c r="F99" s="281"/>
      <c r="G99" s="281"/>
      <c r="H99" s="281"/>
      <c r="I99" s="281"/>
      <c r="J99" s="281"/>
      <c r="K99" s="281"/>
      <c r="L99" s="281"/>
      <c r="M99" s="351"/>
      <c r="N99" s="351"/>
      <c r="O99" s="351"/>
      <c r="P99" s="351"/>
      <c r="Q99" s="351"/>
      <c r="R99" s="351"/>
      <c r="S99" s="351"/>
      <c r="T99" s="351"/>
      <c r="U99" s="351"/>
      <c r="V99" s="351"/>
      <c r="W99" s="351"/>
      <c r="X99" s="168"/>
      <c r="Y99" s="168"/>
      <c r="Z99" s="168"/>
      <c r="AA99" s="168"/>
      <c r="AB99" s="168"/>
      <c r="AC99" s="168"/>
      <c r="AD99" s="170"/>
    </row>
    <row r="100" spans="1:30" ht="15.75" customHeight="1"/>
    <row r="101" spans="1:30" ht="15.75" customHeight="1"/>
    <row r="102" spans="1:30" ht="15.75" customHeight="1"/>
    <row r="103" spans="1:30" ht="15.75" customHeight="1"/>
    <row r="104" spans="1:30" ht="15.75" customHeight="1"/>
    <row r="105" spans="1:30" ht="15.75" customHeight="1"/>
    <row r="106" spans="1:30" ht="15.75" customHeight="1"/>
    <row r="107" spans="1:30" ht="15.75" customHeight="1"/>
    <row r="108" spans="1:30" ht="15.75" customHeight="1"/>
    <row r="109" spans="1:30" ht="15.75" customHeight="1"/>
    <row r="110" spans="1:30" ht="15.75" customHeight="1"/>
    <row r="111" spans="1:30" ht="15.75" customHeight="1"/>
    <row r="112" spans="1:30"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sheetData>
  <mergeCells count="111">
    <mergeCell ref="M94:W98"/>
    <mergeCell ref="I90:J90"/>
    <mergeCell ref="I80:J80"/>
    <mergeCell ref="Q92:U92"/>
    <mergeCell ref="Q45:U45"/>
    <mergeCell ref="I46:J46"/>
    <mergeCell ref="C33:E33"/>
    <mergeCell ref="I70:J70"/>
    <mergeCell ref="M74:M75"/>
    <mergeCell ref="N74:N75"/>
    <mergeCell ref="O74:O75"/>
    <mergeCell ref="P74:P75"/>
    <mergeCell ref="Q74:Q75"/>
    <mergeCell ref="U74:U75"/>
    <mergeCell ref="T74:T75"/>
    <mergeCell ref="W85:W86"/>
    <mergeCell ref="W52:W53"/>
    <mergeCell ref="W74:W75"/>
    <mergeCell ref="P85:P86"/>
    <mergeCell ref="Q85:Q86"/>
    <mergeCell ref="R85:S85"/>
    <mergeCell ref="T85:T86"/>
    <mergeCell ref="T63:T64"/>
    <mergeCell ref="U63:U64"/>
    <mergeCell ref="Q93:U93"/>
    <mergeCell ref="R74:S74"/>
    <mergeCell ref="V52:V53"/>
    <mergeCell ref="Q60:U60"/>
    <mergeCell ref="M63:M64"/>
    <mergeCell ref="O44:P45"/>
    <mergeCell ref="O59:P60"/>
    <mergeCell ref="O70:P71"/>
    <mergeCell ref="O81:P82"/>
    <mergeCell ref="O92:P93"/>
    <mergeCell ref="Q44:U44"/>
    <mergeCell ref="Q59:U59"/>
    <mergeCell ref="Q70:U70"/>
    <mergeCell ref="Q81:U81"/>
    <mergeCell ref="U85:U86"/>
    <mergeCell ref="V85:V86"/>
    <mergeCell ref="Q71:U71"/>
    <mergeCell ref="V74:V75"/>
    <mergeCell ref="Q82:U82"/>
    <mergeCell ref="M85:M86"/>
    <mergeCell ref="N85:N86"/>
    <mergeCell ref="O85:O86"/>
    <mergeCell ref="V63:V64"/>
    <mergeCell ref="W63:W64"/>
    <mergeCell ref="C26:C27"/>
    <mergeCell ref="D26:F26"/>
    <mergeCell ref="N63:N64"/>
    <mergeCell ref="O63:O64"/>
    <mergeCell ref="P63:P64"/>
    <mergeCell ref="Q63:Q64"/>
    <mergeCell ref="R63:S63"/>
    <mergeCell ref="R52:S52"/>
    <mergeCell ref="T52:T53"/>
    <mergeCell ref="U52:U53"/>
    <mergeCell ref="M52:M53"/>
    <mergeCell ref="N52:N53"/>
    <mergeCell ref="O52:O53"/>
    <mergeCell ref="P52:P53"/>
    <mergeCell ref="Q52:Q53"/>
    <mergeCell ref="D2:AD2"/>
    <mergeCell ref="M24:W24"/>
    <mergeCell ref="M37:M38"/>
    <mergeCell ref="N37:N38"/>
    <mergeCell ref="O37:O38"/>
    <mergeCell ref="P37:P38"/>
    <mergeCell ref="Q37:Q38"/>
    <mergeCell ref="R37:S37"/>
    <mergeCell ref="T37:T38"/>
    <mergeCell ref="U37:U38"/>
    <mergeCell ref="V37:V38"/>
    <mergeCell ref="W37:W38"/>
    <mergeCell ref="D25:F25"/>
    <mergeCell ref="I25:K25"/>
    <mergeCell ref="E4:F4"/>
    <mergeCell ref="AB15:AC15"/>
    <mergeCell ref="A6:AD6"/>
    <mergeCell ref="B15:B16"/>
    <mergeCell ref="C15:D15"/>
    <mergeCell ref="E15:F15"/>
    <mergeCell ref="M15:O15"/>
    <mergeCell ref="P15:V15"/>
    <mergeCell ref="N10:O10"/>
    <mergeCell ref="N11:O11"/>
    <mergeCell ref="W15:Z15"/>
    <mergeCell ref="G15:H15"/>
    <mergeCell ref="I10:J13"/>
    <mergeCell ref="X10:X11"/>
    <mergeCell ref="Y10:Y11"/>
    <mergeCell ref="I95:J95"/>
    <mergeCell ref="I96:J97"/>
    <mergeCell ref="K56:K57"/>
    <mergeCell ref="K66:K67"/>
    <mergeCell ref="K76:K77"/>
    <mergeCell ref="K86:K87"/>
    <mergeCell ref="K96:K97"/>
    <mergeCell ref="I15:L15"/>
    <mergeCell ref="I35:J35"/>
    <mergeCell ref="I33:J33"/>
    <mergeCell ref="I34:J34"/>
    <mergeCell ref="I55:J55"/>
    <mergeCell ref="I56:J57"/>
    <mergeCell ref="I65:J65"/>
    <mergeCell ref="I66:J67"/>
    <mergeCell ref="I75:J75"/>
    <mergeCell ref="I76:J77"/>
    <mergeCell ref="I85:J85"/>
    <mergeCell ref="I86:J87"/>
  </mergeCells>
  <pageMargins left="0.7" right="0.7" top="0.75" bottom="0.75" header="0" footer="0"/>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4a2717f2-aeb4-436c-8a15-f6e4f164e9d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64423535CA42D49A56925D9AD433B44" ma:contentTypeVersion="18" ma:contentTypeDescription="Crear nuevo documento." ma:contentTypeScope="" ma:versionID="ba0fbe914ee5eaea4f3250dd0e36a8ff">
  <xsd:schema xmlns:xsd="http://www.w3.org/2001/XMLSchema" xmlns:xs="http://www.w3.org/2001/XMLSchema" xmlns:p="http://schemas.microsoft.com/office/2006/metadata/properties" xmlns:ns3="105e28fb-63d4-45b3-8926-daa6a01c4dca" xmlns:ns4="4a2717f2-aeb4-436c-8a15-f6e4f164e9d3" targetNamespace="http://schemas.microsoft.com/office/2006/metadata/properties" ma:root="true" ma:fieldsID="05f5f10f6f784247aec45a990f4286e1" ns3:_="" ns4:_="">
    <xsd:import namespace="105e28fb-63d4-45b3-8926-daa6a01c4dca"/>
    <xsd:import namespace="4a2717f2-aeb4-436c-8a15-f6e4f164e9d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DateTaken" minOccurs="0"/>
                <xsd:element ref="ns4:MediaServiceAutoKeyPoints" minOccurs="0"/>
                <xsd:element ref="ns4:MediaServiceKeyPoints"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5e28fb-63d4-45b3-8926-daa6a01c4dca"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a2717f2-aeb4-436c-8a15-f6e4f164e9d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405E24-D8C6-4A04-9F03-FF84BC03C958}"/>
</file>

<file path=customXml/itemProps2.xml><?xml version="1.0" encoding="utf-8"?>
<ds:datastoreItem xmlns:ds="http://schemas.openxmlformats.org/officeDocument/2006/customXml" ds:itemID="{A02C3D39-2943-4140-8781-782CA0EAF0C0}"/>
</file>

<file path=customXml/itemProps3.xml><?xml version="1.0" encoding="utf-8"?>
<ds:datastoreItem xmlns:ds="http://schemas.openxmlformats.org/officeDocument/2006/customXml" ds:itemID="{CEF96A4C-5C67-408F-A9C4-D21C62F88E3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Ingeniero_Soporte</dc:creator>
  <cp:keywords/>
  <dc:description/>
  <cp:lastModifiedBy>SEGURIDAD ELECTRONICA</cp:lastModifiedBy>
  <cp:revision/>
  <dcterms:created xsi:type="dcterms:W3CDTF">2020-11-14T18:06:27Z</dcterms:created>
  <dcterms:modified xsi:type="dcterms:W3CDTF">2024-06-20T21:06:41Z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0x010100864423535CA42D49A56925D9AD433B44</vt:lpwstr>
  </property>
</Properties>
</file>