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updateLinks="never"/>
  <mc:AlternateContent xmlns:mc="http://schemas.openxmlformats.org/markup-compatibility/2006">
    <mc:Choice Requires="x15">
      <x15ac:absPath xmlns:x15ac="http://schemas.microsoft.com/office/spreadsheetml/2010/11/ac" url="/Volumes/GoogleDrive/.shortcut-targets-by-id/1PKPUJ5BnUlpZyHn7OIph8Kc17b7qiSjm/4_GADMIN/1_REGIS/0_Invitaciones/2_MedianaC/VA_036_2021_Interventoria_Robledo/Gestion/3_Evaluacion/"/>
    </mc:Choice>
  </mc:AlternateContent>
  <xr:revisionPtr revIDLastSave="0" documentId="13_ncr:1_{09BC72E5-56B6-4A44-9483-E2AAA81A9343}" xr6:coauthVersionLast="47" xr6:coauthVersionMax="47" xr10:uidLastSave="{00000000-0000-0000-0000-000000000000}"/>
  <bookViews>
    <workbookView xWindow="0" yWindow="500" windowWidth="25440" windowHeight="15400" tabRatio="928" firstSheet="6" activeTab="12" xr2:uid="{00000000-000D-0000-FFFF-FFFF00000000}"/>
  </bookViews>
  <sheets>
    <sheet name="1_ENTREGA" sheetId="1" r:id="rId1"/>
    <sheet name="2_APERTURA DE SOBRES" sheetId="2" r:id="rId2"/>
    <sheet name="6.2.1. REQUISITOS JURÍDICOS" sheetId="3" r:id="rId3"/>
    <sheet name="6.2.2.1. EXPERIENCIA GRAL" sheetId="4" r:id="rId4"/>
    <sheet name="6.2.2.2. EXPERIENCIA_ESPECIF " sheetId="13" r:id="rId5"/>
    <sheet name="6.2.3.2 PROFESIONALES" sheetId="15" r:id="rId6"/>
    <sheet name="6.2.4 CAP FINANCIERA" sheetId="5" r:id="rId7"/>
    <sheet name="6.2.5 REQUISITOS COMERCIALES" sheetId="6" r:id="rId8"/>
    <sheet name="PRESUPUESTO" sheetId="9" r:id="rId9"/>
    <sheet name="14.3 EXPERIENCIA_OCT" sheetId="14" r:id="rId10"/>
    <sheet name="Cálculo Pt2" sheetId="12" state="hidden" r:id="rId11"/>
    <sheet name="RESUMEN" sheetId="10" r:id="rId12"/>
    <sheet name="10. EVALUACIÓN" sheetId="8" r:id="rId13"/>
  </sheets>
  <externalReferences>
    <externalReference r:id="rId14"/>
    <externalReference r:id="rId15"/>
  </externalReferences>
  <definedNames>
    <definedName name="_xlnm._FilterDatabase" localSheetId="8" hidden="1">PRESUPUESTO!$A$9:$WJQ$31</definedName>
    <definedName name="APERTURA">'2_APERTURA DE SOBRES'!$A$8:$I$21</definedName>
    <definedName name="_xlnm.Print_Area" localSheetId="0">'1_ENTREGA'!$A$1:$B$27</definedName>
    <definedName name="AU">PRESUPUESTO!$C$76:$D$89</definedName>
    <definedName name="BANDERA" localSheetId="4">'6.2.2.2. EXPERIENCIA_ESPECIF '!$AD$12:$AE$28</definedName>
    <definedName name="BANDERA">'6.2.2.1. EXPERIENCIA GRAL'!$AD$12:$AE$28</definedName>
    <definedName name="C_FINANCIERA">'6.2.4 CAP FINANCIERA'!$Q$6:$S$19</definedName>
    <definedName name="COSTO_D">[1]PRESUPUESTO!$G$116:$H$145</definedName>
    <definedName name="EST_PRE" localSheetId="4">#REF!</definedName>
    <definedName name="EST_PRE">#REF!</definedName>
    <definedName name="EST_UNI">PRESUPUESTO!$N$50:$P$66</definedName>
    <definedName name="ESTATUS">RESUMEN!$A$5:$H$18</definedName>
    <definedName name="EVALUACION">'10. EVALUACIÓN'!$B$14:$F$30</definedName>
    <definedName name="EXPERIENCIA" localSheetId="4">'6.2.2.2. EXPERIENCIA_ESPECIF '!$W$12:$Z$28</definedName>
    <definedName name="EXPERIENCIA">'6.2.2.1. EXPERIENCIA GRAL'!$W$12:$Z$28</definedName>
    <definedName name="ITEM_2.10" localSheetId="4">PRESUPUESTO!#REF!</definedName>
    <definedName name="ITEM_2.10">PRESUPUESTO!#REF!</definedName>
    <definedName name="ITEM_3.10" localSheetId="4">PRESUPUESTO!#REF!</definedName>
    <definedName name="ITEM_3.10">PRESUPUESTO!#REF!</definedName>
    <definedName name="ITEM_7.10" localSheetId="4">PRESUPUESTO!#REF!</definedName>
    <definedName name="ITEM_7.10">PRESUPUESTO!#REF!</definedName>
    <definedName name="LISTA_OFERENTES">'1_ENTREGA'!$A$8:$B$24</definedName>
    <definedName name="OET_0" localSheetId="4">#REF!</definedName>
    <definedName name="OET_0">#REF!</definedName>
    <definedName name="OFERENTE_1">PRESUPUESTO!$M$11:$AE$31</definedName>
    <definedName name="OFERENTE_10">PRESUPUESTO!#REF!</definedName>
    <definedName name="OFERENTE_11">PRESUPUESTO!#REF!</definedName>
    <definedName name="OFERENTE_12">PRESUPUESTO!#REF!</definedName>
    <definedName name="OFERENTE_13">PRESUPUESTO!#REF!</definedName>
    <definedName name="OFERENTE_14">PRESUPUESTO!#REF!</definedName>
    <definedName name="OFERENTE_15" localSheetId="4">PRESUPUESTO!#REF!</definedName>
    <definedName name="OFERENTE_15">PRESUPUESTO!#REF!</definedName>
    <definedName name="OFERENTE_16" localSheetId="4">PRESUPUESTO!#REF!</definedName>
    <definedName name="OFERENTE_16">PRESUPUESTO!#REF!</definedName>
    <definedName name="OFERENTE_17" localSheetId="4">PRESUPUESTO!#REF!</definedName>
    <definedName name="OFERENTE_17">PRESUPUESTO!#REF!</definedName>
    <definedName name="OFERENTE_18">[2]V_UNITARIOS!$KM$12:$KR$76</definedName>
    <definedName name="OFERENTE_19">[2]V_UNITARIOS!$LD$12:$LI$76</definedName>
    <definedName name="OFERENTE_2">PRESUPUESTO!#REF!</definedName>
    <definedName name="OFERENTE_3">PRESUPUESTO!#REF!</definedName>
    <definedName name="OFERENTE_4">PRESUPUESTO!#REF!</definedName>
    <definedName name="OFERENTE_5">PRESUPUESTO!#REF!</definedName>
    <definedName name="OFERENTE_6">PRESUPUESTO!#REF!</definedName>
    <definedName name="OFERENTE_7">PRESUPUESTO!#REF!</definedName>
    <definedName name="OFERENTE_8">PRESUPUESTO!#REF!</definedName>
    <definedName name="OFERENTE_9">PRESUPUESTO!#REF!</definedName>
    <definedName name="OFERTA_0">PRESUPUESTO!$B$9:$K$39</definedName>
    <definedName name="ORDEN" localSheetId="12">'10. EVALUACIÓN'!$U$14:$V$30</definedName>
    <definedName name="PT_2">'Cálculo Pt2'!$C$7:$AJ$11</definedName>
    <definedName name="R_COMERCIALES">'6.2.5 REQUISITOS COMERCIALES'!$K$4:$M$17</definedName>
    <definedName name="R_JURIDICO" localSheetId="4">'6.2.1. REQUISITOS JURÍDICOS'!#REF!</definedName>
    <definedName name="R_JURIDICO">'6.2.1. REQUISITOS JURÍDICOS'!#REF!</definedName>
    <definedName name="UNIDADES_3.10" localSheetId="4">PRESUPUESTO!#REF!</definedName>
    <definedName name="UNIDADES_3.10">PRESUPUESTO!#REF!</definedName>
    <definedName name="UNIDADES_7.10" localSheetId="4">PRESUPUESTO!#REF!</definedName>
    <definedName name="UNIDADES_7.10">PRESUPUESTO!#REF!</definedName>
    <definedName name="V_PRESUPUESTOO" localSheetId="4">#REF!</definedName>
    <definedName name="V_PRESUPUESTOO">#REF!</definedName>
    <definedName name="V_UNITARIOS">PRESUPUESTO!$C$50:$E$66</definedName>
    <definedName name="VER_PRE" localSheetId="4">#REF!</definedName>
    <definedName name="VER_PRE">#REF!</definedName>
    <definedName name="VER_UNI">PRESUPUESTO!$M$40:$AF$43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0" i="9" l="1"/>
  <c r="M8" i="5" l="1"/>
  <c r="E8" i="5"/>
  <c r="M9" i="5" l="1"/>
  <c r="CG32" i="9" l="1"/>
  <c r="CB31" i="9"/>
  <c r="CG31" i="9" s="1"/>
  <c r="CG30" i="9"/>
  <c r="CC21" i="9"/>
  <c r="CG21" i="9" s="1"/>
  <c r="CC20" i="9"/>
  <c r="CG20" i="9" s="1"/>
  <c r="CC19" i="9"/>
  <c r="CG19" i="9" s="1"/>
  <c r="CC17" i="9"/>
  <c r="CG17" i="9" s="1"/>
  <c r="CC16" i="9"/>
  <c r="CG16" i="9" s="1"/>
  <c r="CC15" i="9"/>
  <c r="CG15" i="9" s="1"/>
  <c r="CC14" i="9"/>
  <c r="CG14" i="9" s="1"/>
  <c r="CC13" i="9"/>
  <c r="CG13" i="9" s="1"/>
  <c r="CC12" i="9"/>
  <c r="CG12" i="9" s="1"/>
  <c r="CC11" i="9"/>
  <c r="CG11" i="9" s="1"/>
  <c r="CG33" i="9" l="1"/>
  <c r="CG22" i="9"/>
  <c r="CG24" i="9" s="1"/>
  <c r="CG26" i="9" s="1"/>
  <c r="CG35" i="9" l="1"/>
  <c r="CG36" i="9" s="1"/>
  <c r="CG37" i="9" s="1"/>
  <c r="CG39" i="9" s="1"/>
  <c r="CG40" i="9" s="1"/>
  <c r="CI43" i="9"/>
  <c r="CM32" i="9"/>
  <c r="CL32" i="9"/>
  <c r="CK32" i="9"/>
  <c r="CJ32" i="9"/>
  <c r="CI32" i="9"/>
  <c r="CH32" i="9"/>
  <c r="CL31" i="9"/>
  <c r="CJ31" i="9"/>
  <c r="CI31" i="9"/>
  <c r="CH31" i="9"/>
  <c r="CM31" i="9"/>
  <c r="CL30" i="9"/>
  <c r="CK30" i="9"/>
  <c r="CJ30" i="9"/>
  <c r="CI30" i="9"/>
  <c r="CH30" i="9"/>
  <c r="CO30" i="9"/>
  <c r="CP30" i="9" s="1"/>
  <c r="CK22" i="9"/>
  <c r="CJ22" i="9"/>
  <c r="CI22" i="9"/>
  <c r="CH22" i="9"/>
  <c r="CK21" i="9"/>
  <c r="CJ21" i="9"/>
  <c r="CI21" i="9"/>
  <c r="CH21" i="9"/>
  <c r="CM21" i="9"/>
  <c r="CL21" i="9"/>
  <c r="CK20" i="9"/>
  <c r="CJ20" i="9"/>
  <c r="CI20" i="9"/>
  <c r="CH20" i="9"/>
  <c r="CL20" i="9"/>
  <c r="CM19" i="9"/>
  <c r="CL19" i="9"/>
  <c r="CK19" i="9"/>
  <c r="CJ19" i="9"/>
  <c r="CI19" i="9"/>
  <c r="CH19" i="9"/>
  <c r="CL17" i="9"/>
  <c r="CK17" i="9"/>
  <c r="CJ17" i="9"/>
  <c r="CI17" i="9"/>
  <c r="CH17" i="9"/>
  <c r="CK16" i="9"/>
  <c r="CJ16" i="9"/>
  <c r="CI16" i="9"/>
  <c r="CH16" i="9"/>
  <c r="CM16" i="9"/>
  <c r="CL16" i="9"/>
  <c r="CK15" i="9"/>
  <c r="CJ15" i="9"/>
  <c r="CI15" i="9"/>
  <c r="CH15" i="9"/>
  <c r="CL15" i="9"/>
  <c r="CK14" i="9"/>
  <c r="CJ14" i="9"/>
  <c r="CI14" i="9"/>
  <c r="CH14" i="9"/>
  <c r="CL14" i="9"/>
  <c r="CM13" i="9"/>
  <c r="CL13" i="9"/>
  <c r="CK13" i="9"/>
  <c r="CJ13" i="9"/>
  <c r="CI13" i="9"/>
  <c r="CH13" i="9"/>
  <c r="CL12" i="9"/>
  <c r="CK12" i="9"/>
  <c r="CJ12" i="9"/>
  <c r="CI12" i="9"/>
  <c r="CH12" i="9"/>
  <c r="CK11" i="9"/>
  <c r="CJ11" i="9"/>
  <c r="CI11" i="9"/>
  <c r="CH11" i="9"/>
  <c r="CL11" i="9"/>
  <c r="CA7" i="9"/>
  <c r="CA2" i="9"/>
  <c r="AA32" i="9"/>
  <c r="BN32" i="9"/>
  <c r="BM32" i="9"/>
  <c r="BP32" i="9"/>
  <c r="BO32" i="9"/>
  <c r="BQ32" i="9"/>
  <c r="BQ31" i="9"/>
  <c r="BQ30" i="9"/>
  <c r="BL32" i="9"/>
  <c r="BG31" i="9"/>
  <c r="BL31" i="9" s="1"/>
  <c r="BL30" i="9"/>
  <c r="BH21" i="9"/>
  <c r="BL21" i="9" s="1"/>
  <c r="BH20" i="9"/>
  <c r="BL20" i="9" s="1"/>
  <c r="BH19" i="9"/>
  <c r="BL19" i="9" s="1"/>
  <c r="BH17" i="9"/>
  <c r="BL17" i="9" s="1"/>
  <c r="BH16" i="9"/>
  <c r="BL16" i="9" s="1"/>
  <c r="BG15" i="9"/>
  <c r="BH14" i="9"/>
  <c r="BL14" i="9" s="1"/>
  <c r="BH13" i="9"/>
  <c r="BL13" i="9" s="1"/>
  <c r="BH12" i="9"/>
  <c r="BL12" i="9" s="1"/>
  <c r="BH11" i="9"/>
  <c r="BL11" i="9" s="1"/>
  <c r="BL33" i="9" l="1"/>
  <c r="CN13" i="9"/>
  <c r="CM30" i="9"/>
  <c r="CN30" i="9" s="1"/>
  <c r="CN32" i="9"/>
  <c r="CN21" i="9"/>
  <c r="CN19" i="9"/>
  <c r="CN16" i="9"/>
  <c r="CO12" i="9"/>
  <c r="CP12" i="9" s="1"/>
  <c r="CM12" i="9"/>
  <c r="CN12" i="9" s="1"/>
  <c r="CM15" i="9"/>
  <c r="CN15" i="9" s="1"/>
  <c r="CO15" i="9"/>
  <c r="CP15" i="9" s="1"/>
  <c r="CO17" i="9"/>
  <c r="CP17" i="9" s="1"/>
  <c r="CM17" i="9"/>
  <c r="CN17" i="9" s="1"/>
  <c r="CO11" i="9"/>
  <c r="CP11" i="9" s="1"/>
  <c r="CO21" i="9"/>
  <c r="CP21" i="9" s="1"/>
  <c r="CO31" i="9"/>
  <c r="CP31" i="9" s="1"/>
  <c r="CO16" i="9"/>
  <c r="CP16" i="9" s="1"/>
  <c r="CM11" i="9"/>
  <c r="CN11" i="9" s="1"/>
  <c r="CO13" i="9"/>
  <c r="CP13" i="9" s="1"/>
  <c r="CO19" i="9"/>
  <c r="CP19" i="9" s="1"/>
  <c r="CO32" i="9"/>
  <c r="CP32" i="9" s="1"/>
  <c r="BH15" i="9"/>
  <c r="BL15" i="9" s="1"/>
  <c r="BL22" i="9" s="1"/>
  <c r="BL24" i="9" s="1"/>
  <c r="BL26" i="9" s="1"/>
  <c r="BL35" i="9" l="1"/>
  <c r="BL36" i="9" s="1"/>
  <c r="BL37" i="9" s="1"/>
  <c r="BL39" i="9" s="1"/>
  <c r="BL40" i="9" s="1"/>
  <c r="CM14" i="9"/>
  <c r="CN14" i="9" s="1"/>
  <c r="CO14" i="9"/>
  <c r="CP14" i="9" s="1"/>
  <c r="CM20" i="9"/>
  <c r="CN20" i="9" s="1"/>
  <c r="CO20" i="9"/>
  <c r="CP20" i="9" s="1"/>
  <c r="CO33" i="9"/>
  <c r="CP33" i="9" s="1"/>
  <c r="CM33" i="9"/>
  <c r="CN33" i="9" s="1"/>
  <c r="CM22" i="9" l="1"/>
  <c r="CN22" i="9" s="1"/>
  <c r="CO22" i="9"/>
  <c r="CP22" i="9" s="1"/>
  <c r="CP35" i="9" l="1"/>
  <c r="CP43" i="9" s="1"/>
  <c r="CK43" i="9"/>
  <c r="BN43" i="9" l="1"/>
  <c r="BT33" i="9"/>
  <c r="BU33" i="9" s="1"/>
  <c r="BR33" i="9"/>
  <c r="BT32" i="9"/>
  <c r="BU32" i="9" s="1"/>
  <c r="BR32" i="9"/>
  <c r="BS32" i="9" s="1"/>
  <c r="BT31" i="9"/>
  <c r="BU31" i="9" s="1"/>
  <c r="BR31" i="9"/>
  <c r="BO31" i="9"/>
  <c r="BN31" i="9"/>
  <c r="BM31" i="9"/>
  <c r="BT30" i="9"/>
  <c r="BU30" i="9" s="1"/>
  <c r="BR30" i="9"/>
  <c r="BP30" i="9"/>
  <c r="BO30" i="9"/>
  <c r="BN30" i="9"/>
  <c r="BM30" i="9"/>
  <c r="BP22" i="9"/>
  <c r="BO22" i="9"/>
  <c r="BN22" i="9"/>
  <c r="BM22" i="9"/>
  <c r="BR21" i="9"/>
  <c r="BQ21" i="9"/>
  <c r="BP21" i="9"/>
  <c r="BO21" i="9"/>
  <c r="BN21" i="9"/>
  <c r="BM21" i="9"/>
  <c r="BT21" i="9"/>
  <c r="BU21" i="9" s="1"/>
  <c r="BQ20" i="9"/>
  <c r="BP20" i="9"/>
  <c r="BO20" i="9"/>
  <c r="BN20" i="9"/>
  <c r="BM20" i="9"/>
  <c r="BR19" i="9"/>
  <c r="BQ19" i="9"/>
  <c r="BP19" i="9"/>
  <c r="BO19" i="9"/>
  <c r="BN19" i="9"/>
  <c r="BM19" i="9"/>
  <c r="BT19" i="9"/>
  <c r="BU19" i="9" s="1"/>
  <c r="BT17" i="9"/>
  <c r="BU17" i="9" s="1"/>
  <c r="BR17" i="9"/>
  <c r="BQ17" i="9"/>
  <c r="BP17" i="9"/>
  <c r="BO17" i="9"/>
  <c r="BN17" i="9"/>
  <c r="BM17" i="9"/>
  <c r="BT16" i="9"/>
  <c r="BU16" i="9" s="1"/>
  <c r="BR16" i="9"/>
  <c r="BQ16" i="9"/>
  <c r="BP16" i="9"/>
  <c r="BO16" i="9"/>
  <c r="BN16" i="9"/>
  <c r="BM16" i="9"/>
  <c r="BT15" i="9"/>
  <c r="BU15" i="9" s="1"/>
  <c r="BR15" i="9"/>
  <c r="BQ15" i="9"/>
  <c r="BP15" i="9"/>
  <c r="BO15" i="9"/>
  <c r="BN15" i="9"/>
  <c r="BM15" i="9"/>
  <c r="BT14" i="9"/>
  <c r="BU14" i="9" s="1"/>
  <c r="BR14" i="9"/>
  <c r="BQ14" i="9"/>
  <c r="BP14" i="9"/>
  <c r="BO14" i="9"/>
  <c r="BN14" i="9"/>
  <c r="BM14" i="9"/>
  <c r="BT13" i="9"/>
  <c r="BU13" i="9" s="1"/>
  <c r="BR13" i="9"/>
  <c r="BQ13" i="9"/>
  <c r="BP13" i="9"/>
  <c r="BO13" i="9"/>
  <c r="BN13" i="9"/>
  <c r="BM13" i="9"/>
  <c r="BT12" i="9"/>
  <c r="BU12" i="9" s="1"/>
  <c r="BR12" i="9"/>
  <c r="BQ12" i="9"/>
  <c r="BP12" i="9"/>
  <c r="BO12" i="9"/>
  <c r="BN12" i="9"/>
  <c r="BM12" i="9"/>
  <c r="BT11" i="9"/>
  <c r="BU11" i="9" s="1"/>
  <c r="BR11" i="9"/>
  <c r="BQ11" i="9"/>
  <c r="BP11" i="9"/>
  <c r="BO11" i="9"/>
  <c r="BN11" i="9"/>
  <c r="BM11" i="9"/>
  <c r="BF7" i="9"/>
  <c r="BF2" i="9"/>
  <c r="AS43" i="9"/>
  <c r="AV33" i="9"/>
  <c r="AU33" i="9"/>
  <c r="AT33" i="9"/>
  <c r="AS33" i="9"/>
  <c r="AR33" i="9"/>
  <c r="AW32" i="9"/>
  <c r="AV32" i="9"/>
  <c r="AU32" i="9"/>
  <c r="AT32" i="9"/>
  <c r="AS32" i="9"/>
  <c r="AR32" i="9"/>
  <c r="AV31" i="9"/>
  <c r="AU31" i="9"/>
  <c r="AT31" i="9"/>
  <c r="AS31" i="9"/>
  <c r="AR31" i="9"/>
  <c r="AY31" i="9"/>
  <c r="AZ31" i="9" s="1"/>
  <c r="AV30" i="9"/>
  <c r="AU30" i="9"/>
  <c r="AT30" i="9"/>
  <c r="AS30" i="9"/>
  <c r="AR30" i="9"/>
  <c r="AU22" i="9"/>
  <c r="AT22" i="9"/>
  <c r="AS22" i="9"/>
  <c r="AR22" i="9"/>
  <c r="AV21" i="9"/>
  <c r="AU21" i="9"/>
  <c r="AT21" i="9"/>
  <c r="AS21" i="9"/>
  <c r="AR21" i="9"/>
  <c r="AQ21" i="9"/>
  <c r="AY21" i="9" s="1"/>
  <c r="AZ21" i="9" s="1"/>
  <c r="AU20" i="9"/>
  <c r="AT20" i="9"/>
  <c r="AS20" i="9"/>
  <c r="AR20" i="9"/>
  <c r="AQ20" i="9"/>
  <c r="AW20" i="9" s="1"/>
  <c r="AV20" i="9"/>
  <c r="AU19" i="9"/>
  <c r="AT19" i="9"/>
  <c r="AS19" i="9"/>
  <c r="AR19" i="9"/>
  <c r="AV19" i="9"/>
  <c r="AV17" i="9"/>
  <c r="AU17" i="9"/>
  <c r="AT17" i="9"/>
  <c r="AS17" i="9"/>
  <c r="AR17" i="9"/>
  <c r="AV16" i="9"/>
  <c r="AU16" i="9"/>
  <c r="AT16" i="9"/>
  <c r="AS16" i="9"/>
  <c r="AR16" i="9"/>
  <c r="AY16" i="9"/>
  <c r="AZ16" i="9" s="1"/>
  <c r="AU15" i="9"/>
  <c r="AT15" i="9"/>
  <c r="AS15" i="9"/>
  <c r="AR15" i="9"/>
  <c r="AW15" i="9"/>
  <c r="AV15" i="9"/>
  <c r="AU14" i="9"/>
  <c r="AT14" i="9"/>
  <c r="AS14" i="9"/>
  <c r="AR14" i="9"/>
  <c r="AV14" i="9"/>
  <c r="AV13" i="9"/>
  <c r="AU13" i="9"/>
  <c r="AT13" i="9"/>
  <c r="AS13" i="9"/>
  <c r="AR13" i="9"/>
  <c r="AV12" i="9"/>
  <c r="AU12" i="9"/>
  <c r="AT12" i="9"/>
  <c r="AS12" i="9"/>
  <c r="AR12" i="9"/>
  <c r="AY12" i="9"/>
  <c r="AZ12" i="9" s="1"/>
  <c r="AU11" i="9"/>
  <c r="AT11" i="9"/>
  <c r="AS11" i="9"/>
  <c r="AR11" i="9"/>
  <c r="AY11" i="9"/>
  <c r="AV11" i="9"/>
  <c r="AK7" i="9"/>
  <c r="AK2" i="9"/>
  <c r="BS16" i="9" l="1"/>
  <c r="BS15" i="9"/>
  <c r="BS30" i="9"/>
  <c r="BS33" i="9"/>
  <c r="BS19" i="9"/>
  <c r="BS21" i="9"/>
  <c r="BS17" i="9"/>
  <c r="BS11" i="9"/>
  <c r="BS12" i="9"/>
  <c r="BS14" i="9"/>
  <c r="BS13" i="9"/>
  <c r="BT22" i="9"/>
  <c r="BU22" i="9" s="1"/>
  <c r="BR22" i="9"/>
  <c r="BS22" i="9" s="1"/>
  <c r="BR20" i="9"/>
  <c r="BS20" i="9" s="1"/>
  <c r="BT20" i="9"/>
  <c r="BU20" i="9" s="1"/>
  <c r="AX32" i="9"/>
  <c r="AW13" i="9"/>
  <c r="AX13" i="9" s="1"/>
  <c r="AY13" i="9"/>
  <c r="AZ13" i="9" s="1"/>
  <c r="AW17" i="9"/>
  <c r="AY17" i="9"/>
  <c r="AZ17" i="9" s="1"/>
  <c r="AY33" i="9"/>
  <c r="AZ33" i="9" s="1"/>
  <c r="AW33" i="9"/>
  <c r="AX33" i="9" s="1"/>
  <c r="AX17" i="9"/>
  <c r="AX15" i="9"/>
  <c r="AX20" i="9"/>
  <c r="AZ11" i="9"/>
  <c r="AW12" i="9"/>
  <c r="AX12" i="9" s="1"/>
  <c r="AW16" i="9"/>
  <c r="AX16" i="9" s="1"/>
  <c r="AQ19" i="9"/>
  <c r="AW21" i="9"/>
  <c r="AX21" i="9" s="1"/>
  <c r="AW31" i="9"/>
  <c r="AX31" i="9" s="1"/>
  <c r="AY32" i="9"/>
  <c r="AZ32" i="9" s="1"/>
  <c r="AY15" i="9"/>
  <c r="AZ15" i="9" s="1"/>
  <c r="AY20" i="9"/>
  <c r="AZ20" i="9" s="1"/>
  <c r="AY30" i="9"/>
  <c r="AZ30" i="9" s="1"/>
  <c r="AW11" i="9"/>
  <c r="AX11" i="9" s="1"/>
  <c r="AW30" i="9"/>
  <c r="AX30" i="9" s="1"/>
  <c r="X43" i="9"/>
  <c r="Z32" i="9"/>
  <c r="Y32" i="9"/>
  <c r="X32" i="9"/>
  <c r="W32" i="9"/>
  <c r="AA30" i="9"/>
  <c r="Z30" i="9"/>
  <c r="Y30" i="9"/>
  <c r="X30" i="9"/>
  <c r="W30" i="9"/>
  <c r="Z22" i="9"/>
  <c r="Y22" i="9"/>
  <c r="X22" i="9"/>
  <c r="W22" i="9"/>
  <c r="Z21" i="9"/>
  <c r="Y21" i="9"/>
  <c r="X21" i="9"/>
  <c r="W21" i="9"/>
  <c r="Z20" i="9"/>
  <c r="Y20" i="9"/>
  <c r="X20" i="9"/>
  <c r="W20" i="9"/>
  <c r="Z19" i="9"/>
  <c r="Y19" i="9"/>
  <c r="X19" i="9"/>
  <c r="W19" i="9"/>
  <c r="Z17" i="9"/>
  <c r="Y17" i="9"/>
  <c r="X17" i="9"/>
  <c r="W17" i="9"/>
  <c r="Z16" i="9"/>
  <c r="Y16" i="9"/>
  <c r="X16" i="9"/>
  <c r="W16" i="9"/>
  <c r="Z15" i="9"/>
  <c r="Y15" i="9"/>
  <c r="X15" i="9"/>
  <c r="W15" i="9"/>
  <c r="Z14" i="9"/>
  <c r="Y14" i="9"/>
  <c r="X14" i="9"/>
  <c r="W14" i="9"/>
  <c r="Z13" i="9"/>
  <c r="Y13" i="9"/>
  <c r="X13" i="9"/>
  <c r="W13" i="9"/>
  <c r="Z12" i="9"/>
  <c r="Y12" i="9"/>
  <c r="X12" i="9"/>
  <c r="W12" i="9"/>
  <c r="Z11" i="9"/>
  <c r="Y11" i="9"/>
  <c r="V32" i="9"/>
  <c r="AD32" i="9" s="1"/>
  <c r="AE32" i="9" s="1"/>
  <c r="Q31" i="9"/>
  <c r="V31" i="9" s="1"/>
  <c r="AD30" i="9"/>
  <c r="AE30" i="9" s="1"/>
  <c r="R21" i="9"/>
  <c r="AA21" i="9" s="1"/>
  <c r="R20" i="9"/>
  <c r="V20" i="9" s="1"/>
  <c r="AB20" i="9" s="1"/>
  <c r="R19" i="9"/>
  <c r="AA19" i="9" s="1"/>
  <c r="R17" i="9"/>
  <c r="V17" i="9" s="1"/>
  <c r="AB17" i="9" s="1"/>
  <c r="R16" i="9"/>
  <c r="AA16" i="9" s="1"/>
  <c r="R15" i="9"/>
  <c r="V15" i="9" s="1"/>
  <c r="AD15" i="9" s="1"/>
  <c r="AE15" i="9" s="1"/>
  <c r="R14" i="9"/>
  <c r="AA14" i="9" s="1"/>
  <c r="R13" i="9"/>
  <c r="V13" i="9" s="1"/>
  <c r="AD13" i="9" s="1"/>
  <c r="AE13" i="9" s="1"/>
  <c r="R12" i="9"/>
  <c r="V12" i="9" s="1"/>
  <c r="R11" i="9"/>
  <c r="V11" i="9" s="1"/>
  <c r="V16" i="9" l="1"/>
  <c r="AD16" i="9" s="1"/>
  <c r="AE16" i="9" s="1"/>
  <c r="AA13" i="9"/>
  <c r="AB32" i="9"/>
  <c r="AC32" i="9" s="1"/>
  <c r="AB13" i="9"/>
  <c r="AB30" i="9"/>
  <c r="AC30" i="9" s="1"/>
  <c r="AA12" i="9"/>
  <c r="AB15" i="9"/>
  <c r="BU35" i="9"/>
  <c r="BU43" i="9" s="1"/>
  <c r="BP43" i="9"/>
  <c r="AW19" i="9"/>
  <c r="AX19" i="9" s="1"/>
  <c r="AY19" i="9"/>
  <c r="AZ19" i="9" s="1"/>
  <c r="AQ22" i="9"/>
  <c r="AW14" i="9"/>
  <c r="AX14" i="9" s="1"/>
  <c r="AY14" i="9"/>
  <c r="AZ14" i="9" s="1"/>
  <c r="AB12" i="9"/>
  <c r="AC12" i="9" s="1"/>
  <c r="AD12" i="9"/>
  <c r="AE12" i="9" s="1"/>
  <c r="AD17" i="9"/>
  <c r="AE17" i="9" s="1"/>
  <c r="V14" i="9"/>
  <c r="V21" i="9"/>
  <c r="AA17" i="9"/>
  <c r="AC17" i="9" s="1"/>
  <c r="AD20" i="9"/>
  <c r="AE20" i="9" s="1"/>
  <c r="V19" i="9"/>
  <c r="AA15" i="9"/>
  <c r="AC15" i="9" s="1"/>
  <c r="AB16" i="9"/>
  <c r="AC16" i="9" s="1"/>
  <c r="AA20" i="9"/>
  <c r="AC20" i="9" s="1"/>
  <c r="V33" i="9"/>
  <c r="AC13" i="9" l="1"/>
  <c r="AB33" i="9"/>
  <c r="AC33" i="9" s="1"/>
  <c r="AD33" i="9"/>
  <c r="AE33" i="9" s="1"/>
  <c r="AQ24" i="9"/>
  <c r="AW22" i="9"/>
  <c r="AX22" i="9" s="1"/>
  <c r="AX43" i="9" s="1"/>
  <c r="AY22" i="9"/>
  <c r="AZ22" i="9" s="1"/>
  <c r="AD14" i="9"/>
  <c r="AE14" i="9" s="1"/>
  <c r="AB14" i="9"/>
  <c r="AC14" i="9" s="1"/>
  <c r="AD19" i="9"/>
  <c r="AE19" i="9" s="1"/>
  <c r="AB19" i="9"/>
  <c r="AC19" i="9" s="1"/>
  <c r="V22" i="9"/>
  <c r="AD21" i="9"/>
  <c r="AE21" i="9" s="1"/>
  <c r="AB21" i="9"/>
  <c r="AC21" i="9" s="1"/>
  <c r="AQ26" i="9" l="1"/>
  <c r="AZ35" i="9" s="1"/>
  <c r="AZ43" i="9" s="1"/>
  <c r="AU43" i="9"/>
  <c r="V24" i="9"/>
  <c r="AD22" i="9"/>
  <c r="AE22" i="9" s="1"/>
  <c r="AB22" i="9"/>
  <c r="AC22" i="9" s="1"/>
  <c r="V26" i="9" l="1"/>
  <c r="V35" i="9" s="1"/>
  <c r="V36" i="9" s="1"/>
  <c r="V37" i="9" s="1"/>
  <c r="V39" i="9" s="1"/>
  <c r="V40" i="9" s="1"/>
  <c r="Z43" i="9"/>
  <c r="AH43" i="9"/>
  <c r="AA11" i="9"/>
  <c r="W11" i="9"/>
  <c r="K32" i="9"/>
  <c r="F31" i="9"/>
  <c r="K30" i="9"/>
  <c r="G21" i="9"/>
  <c r="K21" i="9" s="1"/>
  <c r="G20" i="9"/>
  <c r="K20" i="9" s="1"/>
  <c r="G19" i="9"/>
  <c r="K19" i="9" s="1"/>
  <c r="G17" i="9"/>
  <c r="K17" i="9" s="1"/>
  <c r="G16" i="9"/>
  <c r="K16" i="9" s="1"/>
  <c r="G15" i="9"/>
  <c r="K15" i="9" s="1"/>
  <c r="G14" i="9"/>
  <c r="K14" i="9" s="1"/>
  <c r="G13" i="9"/>
  <c r="K13" i="9" s="1"/>
  <c r="G12" i="9"/>
  <c r="K12" i="9" s="1"/>
  <c r="G11" i="9"/>
  <c r="K11" i="9" s="1"/>
  <c r="K31" i="9" l="1"/>
  <c r="K33" i="9" s="1"/>
  <c r="CK31" i="9"/>
  <c r="CN31" i="9" s="1"/>
  <c r="CN43" i="9" s="1"/>
  <c r="BX43" i="9" s="1"/>
  <c r="BP31" i="9"/>
  <c r="BS31" i="9" s="1"/>
  <c r="BS43" i="9" s="1"/>
  <c r="BC43" i="9" s="1"/>
  <c r="K22" i="9"/>
  <c r="K24" i="9" s="1"/>
  <c r="K26" i="9" s="1"/>
  <c r="K35" i="9" l="1"/>
  <c r="K36" i="9" s="1"/>
  <c r="K37" i="9" s="1"/>
  <c r="K39" i="9" s="1"/>
  <c r="K40" i="9" s="1"/>
  <c r="X11" i="9"/>
  <c r="P7" i="9" l="1"/>
  <c r="N12" i="8"/>
  <c r="F11" i="14" l="1"/>
  <c r="F10" i="14"/>
  <c r="C32" i="13"/>
  <c r="C54" i="13" s="1"/>
  <c r="C76" i="13" s="1"/>
  <c r="C32" i="4"/>
  <c r="C54" i="4" s="1"/>
  <c r="C76" i="4" s="1"/>
  <c r="S314" i="13"/>
  <c r="K313" i="13"/>
  <c r="M312" i="13"/>
  <c r="K312" i="13"/>
  <c r="M311" i="13"/>
  <c r="U311" i="13" s="1"/>
  <c r="K311" i="13"/>
  <c r="S311" i="13" s="1"/>
  <c r="K310" i="13"/>
  <c r="M309" i="13"/>
  <c r="K309" i="13"/>
  <c r="M308" i="13"/>
  <c r="K308" i="13"/>
  <c r="K307" i="13"/>
  <c r="M306" i="13"/>
  <c r="K306" i="13"/>
  <c r="M305" i="13"/>
  <c r="K305" i="13"/>
  <c r="K304" i="13"/>
  <c r="M303" i="13"/>
  <c r="K303" i="13"/>
  <c r="M302" i="13"/>
  <c r="K302" i="13"/>
  <c r="K301" i="13"/>
  <c r="M300" i="13"/>
  <c r="K300" i="13"/>
  <c r="M299" i="13"/>
  <c r="K299" i="13"/>
  <c r="U297" i="13"/>
  <c r="T297" i="13"/>
  <c r="S296" i="13"/>
  <c r="F296" i="13"/>
  <c r="S292" i="13"/>
  <c r="K291" i="13"/>
  <c r="M290" i="13"/>
  <c r="K290" i="13"/>
  <c r="M289" i="13"/>
  <c r="K289" i="13"/>
  <c r="K288" i="13"/>
  <c r="M287" i="13"/>
  <c r="K287" i="13"/>
  <c r="M286" i="13"/>
  <c r="K286" i="13"/>
  <c r="K285" i="13"/>
  <c r="M284" i="13"/>
  <c r="K284" i="13"/>
  <c r="M283" i="13"/>
  <c r="K283" i="13"/>
  <c r="K282" i="13"/>
  <c r="M281" i="13"/>
  <c r="K281" i="13"/>
  <c r="M280" i="13"/>
  <c r="K280" i="13"/>
  <c r="K279" i="13"/>
  <c r="M278" i="13"/>
  <c r="K278" i="13"/>
  <c r="M277" i="13"/>
  <c r="K277" i="13"/>
  <c r="U275" i="13"/>
  <c r="T275" i="13"/>
  <c r="S274" i="13"/>
  <c r="F274" i="13"/>
  <c r="K269" i="13"/>
  <c r="M268" i="13"/>
  <c r="K268" i="13"/>
  <c r="M267" i="13"/>
  <c r="K267" i="13"/>
  <c r="K266" i="13"/>
  <c r="M265" i="13"/>
  <c r="K265" i="13"/>
  <c r="M264" i="13"/>
  <c r="K264" i="13"/>
  <c r="K263" i="13"/>
  <c r="M262" i="13"/>
  <c r="K262" i="13"/>
  <c r="M261" i="13"/>
  <c r="K261" i="13"/>
  <c r="K260" i="13"/>
  <c r="M259" i="13"/>
  <c r="K259" i="13"/>
  <c r="M258" i="13"/>
  <c r="K258" i="13"/>
  <c r="K257" i="13"/>
  <c r="M256" i="13"/>
  <c r="K256" i="13"/>
  <c r="M255" i="13"/>
  <c r="K255" i="13"/>
  <c r="U253" i="13"/>
  <c r="T253" i="13"/>
  <c r="S252" i="13"/>
  <c r="F252" i="13"/>
  <c r="S248" i="13"/>
  <c r="K247" i="13"/>
  <c r="M246" i="13"/>
  <c r="K246" i="13"/>
  <c r="M245" i="13"/>
  <c r="K245" i="13"/>
  <c r="K244" i="13"/>
  <c r="M243" i="13"/>
  <c r="K243" i="13"/>
  <c r="M242" i="13"/>
  <c r="K242" i="13"/>
  <c r="K241" i="13"/>
  <c r="M240" i="13"/>
  <c r="K240" i="13"/>
  <c r="M239" i="13"/>
  <c r="K239" i="13"/>
  <c r="K238" i="13"/>
  <c r="M237" i="13"/>
  <c r="K237" i="13"/>
  <c r="M236" i="13"/>
  <c r="K236" i="13"/>
  <c r="K235" i="13"/>
  <c r="M234" i="13"/>
  <c r="K234" i="13"/>
  <c r="M233" i="13"/>
  <c r="K233" i="13"/>
  <c r="U231" i="13"/>
  <c r="T231" i="13"/>
  <c r="S230" i="13"/>
  <c r="F230" i="13"/>
  <c r="S226" i="13"/>
  <c r="K225" i="13"/>
  <c r="M224" i="13"/>
  <c r="K224" i="13"/>
  <c r="M223" i="13"/>
  <c r="K223" i="13"/>
  <c r="K222" i="13"/>
  <c r="M221" i="13"/>
  <c r="K221" i="13"/>
  <c r="M220" i="13"/>
  <c r="K220" i="13"/>
  <c r="K219" i="13"/>
  <c r="M218" i="13"/>
  <c r="K218" i="13"/>
  <c r="M217" i="13"/>
  <c r="K217" i="13"/>
  <c r="K216" i="13"/>
  <c r="M215" i="13"/>
  <c r="K215" i="13"/>
  <c r="M214" i="13"/>
  <c r="K214" i="13"/>
  <c r="K213" i="13"/>
  <c r="M212" i="13"/>
  <c r="K212" i="13"/>
  <c r="M211" i="13"/>
  <c r="K211" i="13"/>
  <c r="U209" i="13"/>
  <c r="T209" i="13"/>
  <c r="S208" i="13"/>
  <c r="F208" i="13"/>
  <c r="K203" i="13"/>
  <c r="M202" i="13"/>
  <c r="K202" i="13"/>
  <c r="M201" i="13"/>
  <c r="K201" i="13"/>
  <c r="K200" i="13"/>
  <c r="M199" i="13"/>
  <c r="K199" i="13"/>
  <c r="M198" i="13"/>
  <c r="K198" i="13"/>
  <c r="K197" i="13"/>
  <c r="M196" i="13"/>
  <c r="K196" i="13"/>
  <c r="M195" i="13"/>
  <c r="K195" i="13"/>
  <c r="K194" i="13"/>
  <c r="M193" i="13"/>
  <c r="K193" i="13"/>
  <c r="M192" i="13"/>
  <c r="K192" i="13"/>
  <c r="K191" i="13"/>
  <c r="M190" i="13"/>
  <c r="K190" i="13"/>
  <c r="M189" i="13"/>
  <c r="K189" i="13"/>
  <c r="U187" i="13"/>
  <c r="T187" i="13"/>
  <c r="S186" i="13"/>
  <c r="F186" i="13"/>
  <c r="S182" i="13"/>
  <c r="K181" i="13"/>
  <c r="M180" i="13"/>
  <c r="K180" i="13"/>
  <c r="M179" i="13"/>
  <c r="K179" i="13"/>
  <c r="K178" i="13"/>
  <c r="M177" i="13"/>
  <c r="K177" i="13"/>
  <c r="M176" i="13"/>
  <c r="K176" i="13"/>
  <c r="K175" i="13"/>
  <c r="M174" i="13"/>
  <c r="K174" i="13"/>
  <c r="M173" i="13"/>
  <c r="K173" i="13"/>
  <c r="K172" i="13"/>
  <c r="M171" i="13"/>
  <c r="K171" i="13"/>
  <c r="M170" i="13"/>
  <c r="K170" i="13"/>
  <c r="K169" i="13"/>
  <c r="M168" i="13"/>
  <c r="K168" i="13"/>
  <c r="M167" i="13"/>
  <c r="K167" i="13"/>
  <c r="U165" i="13"/>
  <c r="T165" i="13"/>
  <c r="S164" i="13"/>
  <c r="F164" i="13"/>
  <c r="S160" i="13"/>
  <c r="K159" i="13"/>
  <c r="M158" i="13"/>
  <c r="K158" i="13"/>
  <c r="M157" i="13"/>
  <c r="K157" i="13"/>
  <c r="K156" i="13"/>
  <c r="M155" i="13"/>
  <c r="K155" i="13"/>
  <c r="M154" i="13"/>
  <c r="K154" i="13"/>
  <c r="K153" i="13"/>
  <c r="M152" i="13"/>
  <c r="K152" i="13"/>
  <c r="M151" i="13"/>
  <c r="K151" i="13"/>
  <c r="K150" i="13"/>
  <c r="M149" i="13"/>
  <c r="K149" i="13"/>
  <c r="M148" i="13"/>
  <c r="K148" i="13"/>
  <c r="K147" i="13"/>
  <c r="M146" i="13"/>
  <c r="K146" i="13"/>
  <c r="M145" i="13"/>
  <c r="K145" i="13"/>
  <c r="U143" i="13"/>
  <c r="T143" i="13"/>
  <c r="S142" i="13"/>
  <c r="F142" i="13"/>
  <c r="S138" i="13"/>
  <c r="K137" i="13"/>
  <c r="M136" i="13"/>
  <c r="K136" i="13"/>
  <c r="M135" i="13"/>
  <c r="K135" i="13"/>
  <c r="K134" i="13"/>
  <c r="M133" i="13"/>
  <c r="K133" i="13"/>
  <c r="M132" i="13"/>
  <c r="K132" i="13"/>
  <c r="K131" i="13"/>
  <c r="M130" i="13"/>
  <c r="K130" i="13"/>
  <c r="M129" i="13"/>
  <c r="K129" i="13"/>
  <c r="K128" i="13"/>
  <c r="M127" i="13"/>
  <c r="K127" i="13"/>
  <c r="M126" i="13"/>
  <c r="K126" i="13"/>
  <c r="K125" i="13"/>
  <c r="M124" i="13"/>
  <c r="K124" i="13"/>
  <c r="M123" i="13"/>
  <c r="K123" i="13"/>
  <c r="U121" i="13"/>
  <c r="T121" i="13"/>
  <c r="S120" i="13"/>
  <c r="F120" i="13"/>
  <c r="S116" i="13"/>
  <c r="K115" i="13"/>
  <c r="M114" i="13"/>
  <c r="K114" i="13"/>
  <c r="M113" i="13"/>
  <c r="K113" i="13"/>
  <c r="K112" i="13"/>
  <c r="M111" i="13"/>
  <c r="K111" i="13"/>
  <c r="M110" i="13"/>
  <c r="K110" i="13"/>
  <c r="K109" i="13"/>
  <c r="M108" i="13"/>
  <c r="K108" i="13"/>
  <c r="M107" i="13"/>
  <c r="K107" i="13"/>
  <c r="K106" i="13"/>
  <c r="M105" i="13"/>
  <c r="K105" i="13"/>
  <c r="M104" i="13"/>
  <c r="K104" i="13"/>
  <c r="K103" i="13"/>
  <c r="M102" i="13"/>
  <c r="K102" i="13"/>
  <c r="M101" i="13"/>
  <c r="K101" i="13"/>
  <c r="U99" i="13"/>
  <c r="T99" i="13"/>
  <c r="S98" i="13"/>
  <c r="F98" i="13"/>
  <c r="K93" i="13"/>
  <c r="M92" i="13"/>
  <c r="K92" i="13"/>
  <c r="M91" i="13"/>
  <c r="K91" i="13"/>
  <c r="K90" i="13"/>
  <c r="M89" i="13"/>
  <c r="K89" i="13"/>
  <c r="M88" i="13"/>
  <c r="K88" i="13"/>
  <c r="K87" i="13"/>
  <c r="M86" i="13"/>
  <c r="K86" i="13"/>
  <c r="M85" i="13"/>
  <c r="K85" i="13"/>
  <c r="K84" i="13"/>
  <c r="M83" i="13"/>
  <c r="K83" i="13"/>
  <c r="M82" i="13"/>
  <c r="K82" i="13"/>
  <c r="K81" i="13"/>
  <c r="M80" i="13"/>
  <c r="K80" i="13"/>
  <c r="M79" i="13"/>
  <c r="K79" i="13"/>
  <c r="U77" i="13"/>
  <c r="T77" i="13"/>
  <c r="S76" i="13"/>
  <c r="F76" i="13"/>
  <c r="K71" i="13"/>
  <c r="M70" i="13"/>
  <c r="K70" i="13"/>
  <c r="M69" i="13"/>
  <c r="K69" i="13"/>
  <c r="K68" i="13"/>
  <c r="M67" i="13"/>
  <c r="K67" i="13"/>
  <c r="M66" i="13"/>
  <c r="K66" i="13"/>
  <c r="K65" i="13"/>
  <c r="M64" i="13"/>
  <c r="K64" i="13"/>
  <c r="M63" i="13"/>
  <c r="K63" i="13"/>
  <c r="K62" i="13"/>
  <c r="M61" i="13"/>
  <c r="K61" i="13"/>
  <c r="M60" i="13"/>
  <c r="K60" i="13"/>
  <c r="K59" i="13"/>
  <c r="M58" i="13"/>
  <c r="K58" i="13"/>
  <c r="M57" i="13"/>
  <c r="K57" i="13"/>
  <c r="U55" i="13"/>
  <c r="T55" i="13"/>
  <c r="S54" i="13"/>
  <c r="F54" i="13"/>
  <c r="S50" i="13"/>
  <c r="K49" i="13"/>
  <c r="M48" i="13"/>
  <c r="K48" i="13"/>
  <c r="M47" i="13"/>
  <c r="K47" i="13"/>
  <c r="K46" i="13"/>
  <c r="M45" i="13"/>
  <c r="K45" i="13"/>
  <c r="M44" i="13"/>
  <c r="K44" i="13"/>
  <c r="K43" i="13"/>
  <c r="M42" i="13"/>
  <c r="K42" i="13"/>
  <c r="M41" i="13"/>
  <c r="K41" i="13"/>
  <c r="K40" i="13"/>
  <c r="M39" i="13"/>
  <c r="K39" i="13"/>
  <c r="M38" i="13"/>
  <c r="K38" i="13"/>
  <c r="K37" i="13"/>
  <c r="M36" i="13"/>
  <c r="K36" i="13"/>
  <c r="M35" i="13"/>
  <c r="K35" i="13"/>
  <c r="U33" i="13"/>
  <c r="T33" i="13"/>
  <c r="S32" i="13"/>
  <c r="F32" i="13"/>
  <c r="X28" i="13"/>
  <c r="AD28" i="13" s="1"/>
  <c r="S28" i="13"/>
  <c r="X27" i="13"/>
  <c r="AD27" i="13" s="1"/>
  <c r="K27" i="13"/>
  <c r="X26" i="13"/>
  <c r="AD26" i="13" s="1"/>
  <c r="K26" i="13"/>
  <c r="X25" i="13"/>
  <c r="AD25" i="13" s="1"/>
  <c r="U25" i="13"/>
  <c r="K25" i="13"/>
  <c r="X24" i="13"/>
  <c r="AD24" i="13" s="1"/>
  <c r="K24" i="13"/>
  <c r="X23" i="13"/>
  <c r="AD23" i="13" s="1"/>
  <c r="K23" i="13"/>
  <c r="X22" i="13"/>
  <c r="AD22" i="13" s="1"/>
  <c r="U22" i="13"/>
  <c r="K22" i="13"/>
  <c r="X21" i="13"/>
  <c r="AD21" i="13" s="1"/>
  <c r="X20" i="13"/>
  <c r="AD20" i="13" s="1"/>
  <c r="X19" i="13"/>
  <c r="AD19" i="13" s="1"/>
  <c r="U19" i="13"/>
  <c r="S19" i="13"/>
  <c r="X18" i="13"/>
  <c r="AD18" i="13" s="1"/>
  <c r="X17" i="13"/>
  <c r="AD17" i="13" s="1"/>
  <c r="X16" i="13"/>
  <c r="AD16" i="13" s="1"/>
  <c r="U16" i="13"/>
  <c r="S16" i="13"/>
  <c r="X15" i="13"/>
  <c r="AD15" i="13" s="1"/>
  <c r="X14" i="13"/>
  <c r="AD14" i="13" s="1"/>
  <c r="AH13" i="13"/>
  <c r="AH14" i="13" s="1"/>
  <c r="X13" i="13"/>
  <c r="AD13" i="13" s="1"/>
  <c r="U13" i="13"/>
  <c r="S13" i="13"/>
  <c r="X12" i="13"/>
  <c r="AD12" i="13" s="1"/>
  <c r="S10" i="13"/>
  <c r="F10" i="13"/>
  <c r="P6" i="13"/>
  <c r="S315" i="13" s="1"/>
  <c r="S13" i="4"/>
  <c r="K145" i="4"/>
  <c r="M145" i="4"/>
  <c r="K146" i="4"/>
  <c r="M146" i="4"/>
  <c r="K147" i="4"/>
  <c r="K148" i="4"/>
  <c r="M148" i="4"/>
  <c r="K149" i="4"/>
  <c r="M149" i="4"/>
  <c r="K150" i="4"/>
  <c r="K151" i="4"/>
  <c r="M151" i="4"/>
  <c r="K152" i="4"/>
  <c r="M152" i="4"/>
  <c r="K153" i="4"/>
  <c r="K154" i="4"/>
  <c r="M154" i="4"/>
  <c r="K155" i="4"/>
  <c r="M155" i="4"/>
  <c r="K156" i="4"/>
  <c r="K157" i="4"/>
  <c r="M157" i="4"/>
  <c r="K158" i="4"/>
  <c r="M158" i="4"/>
  <c r="K159" i="4"/>
  <c r="U302" i="13" l="1"/>
  <c r="U195" i="13"/>
  <c r="S198" i="13"/>
  <c r="U214" i="13"/>
  <c r="S217" i="13"/>
  <c r="U242" i="13"/>
  <c r="S305" i="13"/>
  <c r="U85" i="13"/>
  <c r="U101" i="13"/>
  <c r="U154" i="13"/>
  <c r="U192" i="13"/>
  <c r="S299" i="13"/>
  <c r="U305" i="13"/>
  <c r="S308" i="13"/>
  <c r="U60" i="13"/>
  <c r="S104" i="13"/>
  <c r="S242" i="13"/>
  <c r="U245" i="13"/>
  <c r="U299" i="13"/>
  <c r="U132" i="13"/>
  <c r="U148" i="13"/>
  <c r="S154" i="13"/>
  <c r="U157" i="13"/>
  <c r="U267" i="13"/>
  <c r="S66" i="13"/>
  <c r="U123" i="13"/>
  <c r="S220" i="13"/>
  <c r="U223" i="13"/>
  <c r="U277" i="13"/>
  <c r="U286" i="13"/>
  <c r="S289" i="13"/>
  <c r="U35" i="13"/>
  <c r="U47" i="13"/>
  <c r="U63" i="13"/>
  <c r="S161" i="13"/>
  <c r="T160" i="13" s="1"/>
  <c r="S170" i="13"/>
  <c r="S192" i="13"/>
  <c r="U198" i="13"/>
  <c r="U167" i="13"/>
  <c r="U179" i="13"/>
  <c r="S189" i="13"/>
  <c r="S117" i="13"/>
  <c r="T116" i="13" s="1"/>
  <c r="S29" i="13"/>
  <c r="T28" i="13" s="1"/>
  <c r="U135" i="13"/>
  <c r="S261" i="13"/>
  <c r="S25" i="13"/>
  <c r="U41" i="13"/>
  <c r="S47" i="13"/>
  <c r="U66" i="13"/>
  <c r="U79" i="13"/>
  <c r="S85" i="13"/>
  <c r="U104" i="13"/>
  <c r="S113" i="13"/>
  <c r="S151" i="13"/>
  <c r="S183" i="13"/>
  <c r="T182" i="13" s="1"/>
  <c r="U201" i="13"/>
  <c r="U211" i="13"/>
  <c r="U217" i="13"/>
  <c r="U233" i="13"/>
  <c r="S249" i="13"/>
  <c r="S258" i="13"/>
  <c r="U280" i="13"/>
  <c r="S22" i="13"/>
  <c r="S35" i="13"/>
  <c r="U44" i="13"/>
  <c r="U82" i="13"/>
  <c r="U129" i="13"/>
  <c r="S135" i="13"/>
  <c r="U151" i="13"/>
  <c r="U173" i="13"/>
  <c r="S201" i="13"/>
  <c r="U220" i="13"/>
  <c r="S223" i="13"/>
  <c r="U236" i="13"/>
  <c r="U255" i="13"/>
  <c r="U261" i="13"/>
  <c r="U289" i="13"/>
  <c r="U308" i="13"/>
  <c r="S280" i="13"/>
  <c r="U69" i="13"/>
  <c r="U88" i="13"/>
  <c r="U107" i="13"/>
  <c r="S123" i="13"/>
  <c r="S157" i="13"/>
  <c r="U170" i="13"/>
  <c r="S173" i="13"/>
  <c r="U189" i="13"/>
  <c r="S211" i="13"/>
  <c r="U239" i="13"/>
  <c r="S239" i="13"/>
  <c r="S245" i="13"/>
  <c r="U258" i="13"/>
  <c r="U283" i="13"/>
  <c r="S302" i="13"/>
  <c r="S44" i="13"/>
  <c r="S63" i="13"/>
  <c r="S82" i="13"/>
  <c r="U91" i="13"/>
  <c r="S101" i="13"/>
  <c r="U110" i="13"/>
  <c r="U126" i="13"/>
  <c r="S132" i="13"/>
  <c r="U145" i="13"/>
  <c r="U176" i="13"/>
  <c r="S195" i="13"/>
  <c r="S214" i="13"/>
  <c r="U264" i="13"/>
  <c r="S277" i="13"/>
  <c r="S286" i="13"/>
  <c r="U38" i="13"/>
  <c r="U57" i="13"/>
  <c r="U113" i="13"/>
  <c r="T314" i="13"/>
  <c r="B314" i="13"/>
  <c r="B160" i="13"/>
  <c r="B248" i="13"/>
  <c r="T248" i="13"/>
  <c r="S293" i="13"/>
  <c r="S41" i="13"/>
  <c r="S60" i="13"/>
  <c r="S79" i="13"/>
  <c r="S91" i="13"/>
  <c r="S110" i="13"/>
  <c r="S129" i="13"/>
  <c r="S148" i="13"/>
  <c r="S167" i="13"/>
  <c r="S179" i="13"/>
  <c r="S236" i="13"/>
  <c r="S255" i="13"/>
  <c r="S267" i="13"/>
  <c r="AH15" i="13"/>
  <c r="S38" i="13"/>
  <c r="S57" i="13"/>
  <c r="S69" i="13"/>
  <c r="S88" i="13"/>
  <c r="S107" i="13"/>
  <c r="S126" i="13"/>
  <c r="S145" i="13"/>
  <c r="S176" i="13"/>
  <c r="S233" i="13"/>
  <c r="S264" i="13"/>
  <c r="S283" i="13"/>
  <c r="S51" i="13"/>
  <c r="S139" i="13"/>
  <c r="S227" i="13"/>
  <c r="P26" i="8"/>
  <c r="AE12" i="13"/>
  <c r="AE14" i="13"/>
  <c r="S94" i="13" l="1"/>
  <c r="S95" i="13" s="1"/>
  <c r="B94" i="13" s="1"/>
  <c r="S72" i="13"/>
  <c r="S73" i="13" s="1"/>
  <c r="B72" i="13" s="1"/>
  <c r="B182" i="13"/>
  <c r="S204" i="13"/>
  <c r="S205" i="13" s="1"/>
  <c r="B204" i="13" s="1"/>
  <c r="B28" i="13"/>
  <c r="B116" i="13"/>
  <c r="T204" i="13"/>
  <c r="Y12" i="13"/>
  <c r="Z12" i="13" s="1"/>
  <c r="Y14" i="13"/>
  <c r="Z14" i="13" s="1"/>
  <c r="T292" i="13"/>
  <c r="B292" i="13"/>
  <c r="T226" i="13"/>
  <c r="B226" i="13"/>
  <c r="S270" i="13"/>
  <c r="S271" i="13" s="1"/>
  <c r="T138" i="13"/>
  <c r="B138" i="13"/>
  <c r="T50" i="13"/>
  <c r="B50" i="13"/>
  <c r="AH16" i="13"/>
  <c r="AM93" i="12"/>
  <c r="AM94" i="12"/>
  <c r="AM95" i="12"/>
  <c r="AM96" i="12"/>
  <c r="AM97" i="12"/>
  <c r="AM98" i="12"/>
  <c r="AM99" i="12"/>
  <c r="AM100" i="12"/>
  <c r="AL93" i="12"/>
  <c r="AN93" i="12" s="1"/>
  <c r="AL94" i="12"/>
  <c r="AL95" i="12"/>
  <c r="AL96" i="12"/>
  <c r="AO96" i="12" s="1"/>
  <c r="AL97" i="12"/>
  <c r="AL98" i="12"/>
  <c r="AL99" i="12"/>
  <c r="AO99" i="12" s="1"/>
  <c r="AL100" i="12"/>
  <c r="P15" i="8"/>
  <c r="P16" i="8"/>
  <c r="P17" i="8"/>
  <c r="P18" i="8"/>
  <c r="P19" i="8"/>
  <c r="P20" i="8"/>
  <c r="P21" i="8"/>
  <c r="P22" i="8"/>
  <c r="P23" i="8"/>
  <c r="P24" i="8"/>
  <c r="P25" i="8"/>
  <c r="P27" i="8"/>
  <c r="P14" i="8"/>
  <c r="AE13" i="13"/>
  <c r="AE15" i="13"/>
  <c r="AN94" i="12" l="1"/>
  <c r="AN95" i="12"/>
  <c r="AN96" i="12"/>
  <c r="AO98" i="12"/>
  <c r="AN98" i="12"/>
  <c r="Y13" i="13"/>
  <c r="Z13" i="13" s="1"/>
  <c r="Y15" i="13"/>
  <c r="Z15" i="13" s="1"/>
  <c r="B270" i="13"/>
  <c r="T270" i="13"/>
  <c r="AH17" i="13"/>
  <c r="AN100" i="12"/>
  <c r="AN99" i="12"/>
  <c r="AO95" i="12"/>
  <c r="AO97" i="12"/>
  <c r="AO93" i="12"/>
  <c r="AO94" i="12"/>
  <c r="AO100" i="12"/>
  <c r="AN97" i="12"/>
  <c r="AE16" i="13"/>
  <c r="Y26" i="13" l="1"/>
  <c r="Z26" i="13" s="1"/>
  <c r="Y25" i="13"/>
  <c r="Z25" i="13" s="1"/>
  <c r="Y18" i="13"/>
  <c r="Z18" i="13" s="1"/>
  <c r="Y24" i="13"/>
  <c r="Z24" i="13" s="1"/>
  <c r="Y27" i="13"/>
  <c r="Z27" i="13" s="1"/>
  <c r="Y20" i="13"/>
  <c r="Z20" i="13" s="1"/>
  <c r="Y16" i="13"/>
  <c r="Z16" i="13" s="1"/>
  <c r="Y19" i="13"/>
  <c r="Z19" i="13" s="1"/>
  <c r="Y23" i="13"/>
  <c r="Z23" i="13" s="1"/>
  <c r="Y22" i="13"/>
  <c r="Z22" i="13" s="1"/>
  <c r="Y28" i="13"/>
  <c r="Z28" i="13" s="1"/>
  <c r="Y17" i="13"/>
  <c r="Z17" i="13" s="1"/>
  <c r="Y21" i="13"/>
  <c r="Z21" i="13" s="1"/>
  <c r="AH18" i="13"/>
  <c r="U13" i="4"/>
  <c r="AE17" i="13"/>
  <c r="AH19" i="13" l="1"/>
  <c r="I31" i="8"/>
  <c r="AE18" i="13"/>
  <c r="AH20" i="13" l="1"/>
  <c r="AE19" i="13"/>
  <c r="AH21" i="13" l="1"/>
  <c r="AE20" i="13"/>
  <c r="AH22" i="13" l="1"/>
  <c r="AE21" i="13"/>
  <c r="AH23" i="13" l="1"/>
  <c r="AE22" i="13"/>
  <c r="AH24" i="13" l="1"/>
  <c r="AE23" i="13"/>
  <c r="AH25" i="13" l="1"/>
  <c r="AE24" i="13"/>
  <c r="AH26" i="13" l="1"/>
  <c r="AE25" i="13"/>
  <c r="AH27" i="13" l="1"/>
  <c r="AE26" i="13"/>
  <c r="AH28" i="13" l="1"/>
  <c r="AE27" i="13"/>
  <c r="AE28" i="13"/>
  <c r="E13" i="5" l="1"/>
  <c r="K12" i="6" l="1"/>
  <c r="L12" i="6" s="1"/>
  <c r="M17" i="6"/>
  <c r="M16" i="6"/>
  <c r="M15" i="6"/>
  <c r="M14" i="6"/>
  <c r="M13" i="6"/>
  <c r="M12" i="6"/>
  <c r="M11" i="6"/>
  <c r="L11" i="6"/>
  <c r="K13" i="6" l="1"/>
  <c r="L13" i="6" l="1"/>
  <c r="K14" i="6"/>
  <c r="K15" i="6" l="1"/>
  <c r="L14" i="6"/>
  <c r="K27" i="4"/>
  <c r="K26" i="4"/>
  <c r="K25" i="4"/>
  <c r="K24" i="4"/>
  <c r="K23" i="4"/>
  <c r="K22" i="4"/>
  <c r="S22" i="4" s="1"/>
  <c r="K21" i="4"/>
  <c r="K20" i="4"/>
  <c r="K19" i="4"/>
  <c r="K18" i="4"/>
  <c r="K17" i="4"/>
  <c r="K16" i="4"/>
  <c r="U297" i="4"/>
  <c r="T297" i="4"/>
  <c r="U275" i="4"/>
  <c r="T275" i="4"/>
  <c r="U253" i="4"/>
  <c r="T253" i="4"/>
  <c r="U231" i="4"/>
  <c r="T231" i="4"/>
  <c r="U209" i="4"/>
  <c r="T209" i="4"/>
  <c r="U187" i="4"/>
  <c r="T187" i="4"/>
  <c r="U165" i="4"/>
  <c r="T165" i="4"/>
  <c r="U143" i="4"/>
  <c r="T143" i="4"/>
  <c r="U121" i="4"/>
  <c r="T121" i="4"/>
  <c r="U99" i="4"/>
  <c r="T99" i="4"/>
  <c r="S25" i="4" l="1"/>
  <c r="S19" i="4"/>
  <c r="S16" i="4"/>
  <c r="K16" i="6"/>
  <c r="F17" i="10" s="1"/>
  <c r="L15" i="6"/>
  <c r="B18" i="10"/>
  <c r="B17" i="10"/>
  <c r="F16" i="10"/>
  <c r="B16" i="10"/>
  <c r="F15" i="10"/>
  <c r="B15" i="10"/>
  <c r="A17" i="6"/>
  <c r="B17" i="6" s="1"/>
  <c r="A16" i="6"/>
  <c r="B16" i="6" s="1"/>
  <c r="A15" i="6"/>
  <c r="B15" i="6" s="1"/>
  <c r="A14" i="6"/>
  <c r="B14" i="6" s="1"/>
  <c r="R19" i="5"/>
  <c r="R18" i="5"/>
  <c r="R17" i="5"/>
  <c r="R16" i="5"/>
  <c r="I19" i="5"/>
  <c r="E19" i="5"/>
  <c r="A19" i="5"/>
  <c r="B19" i="5" s="1"/>
  <c r="I18" i="5"/>
  <c r="E18" i="5"/>
  <c r="A18" i="5"/>
  <c r="B18" i="5" s="1"/>
  <c r="I17" i="5"/>
  <c r="E17" i="5"/>
  <c r="A17" i="5"/>
  <c r="B17" i="5" s="1"/>
  <c r="I16" i="5"/>
  <c r="E16" i="5"/>
  <c r="A16" i="5"/>
  <c r="B16" i="5" s="1"/>
  <c r="K313" i="4"/>
  <c r="M312" i="4"/>
  <c r="K312" i="4"/>
  <c r="M311" i="4"/>
  <c r="U311" i="4" s="1"/>
  <c r="K311" i="4"/>
  <c r="K310" i="4"/>
  <c r="M309" i="4"/>
  <c r="K309" i="4"/>
  <c r="M308" i="4"/>
  <c r="K308" i="4"/>
  <c r="K307" i="4"/>
  <c r="M306" i="4"/>
  <c r="K306" i="4"/>
  <c r="M305" i="4"/>
  <c r="K305" i="4"/>
  <c r="K304" i="4"/>
  <c r="M303" i="4"/>
  <c r="K303" i="4"/>
  <c r="M302" i="4"/>
  <c r="K302" i="4"/>
  <c r="S302" i="4" s="1"/>
  <c r="K301" i="4"/>
  <c r="M300" i="4"/>
  <c r="K300" i="4"/>
  <c r="M299" i="4"/>
  <c r="U299" i="4" s="1"/>
  <c r="K299" i="4"/>
  <c r="S296" i="4"/>
  <c r="F296" i="4"/>
  <c r="K291" i="4"/>
  <c r="M290" i="4"/>
  <c r="K290" i="4"/>
  <c r="M289" i="4"/>
  <c r="K289" i="4"/>
  <c r="K288" i="4"/>
  <c r="M287" i="4"/>
  <c r="K287" i="4"/>
  <c r="M286" i="4"/>
  <c r="K286" i="4"/>
  <c r="K285" i="4"/>
  <c r="M284" i="4"/>
  <c r="K284" i="4"/>
  <c r="M283" i="4"/>
  <c r="K283" i="4"/>
  <c r="K282" i="4"/>
  <c r="M281" i="4"/>
  <c r="K281" i="4"/>
  <c r="M280" i="4"/>
  <c r="K280" i="4"/>
  <c r="K279" i="4"/>
  <c r="M278" i="4"/>
  <c r="K278" i="4"/>
  <c r="M277" i="4"/>
  <c r="K277" i="4"/>
  <c r="S274" i="4"/>
  <c r="F274" i="4"/>
  <c r="K269" i="4"/>
  <c r="M268" i="4"/>
  <c r="K268" i="4"/>
  <c r="M267" i="4"/>
  <c r="K267" i="4"/>
  <c r="K266" i="4"/>
  <c r="M265" i="4"/>
  <c r="K265" i="4"/>
  <c r="M264" i="4"/>
  <c r="K264" i="4"/>
  <c r="K263" i="4"/>
  <c r="M262" i="4"/>
  <c r="K262" i="4"/>
  <c r="M261" i="4"/>
  <c r="K261" i="4"/>
  <c r="K260" i="4"/>
  <c r="M259" i="4"/>
  <c r="K259" i="4"/>
  <c r="M258" i="4"/>
  <c r="K258" i="4"/>
  <c r="K257" i="4"/>
  <c r="M256" i="4"/>
  <c r="K256" i="4"/>
  <c r="M255" i="4"/>
  <c r="K255" i="4"/>
  <c r="S252" i="4"/>
  <c r="F252" i="4"/>
  <c r="K247" i="4"/>
  <c r="M246" i="4"/>
  <c r="K246" i="4"/>
  <c r="M245" i="4"/>
  <c r="K245" i="4"/>
  <c r="K244" i="4"/>
  <c r="M243" i="4"/>
  <c r="K243" i="4"/>
  <c r="M242" i="4"/>
  <c r="K242" i="4"/>
  <c r="K241" i="4"/>
  <c r="M240" i="4"/>
  <c r="K240" i="4"/>
  <c r="M239" i="4"/>
  <c r="K239" i="4"/>
  <c r="K238" i="4"/>
  <c r="M237" i="4"/>
  <c r="K237" i="4"/>
  <c r="M236" i="4"/>
  <c r="K236" i="4"/>
  <c r="K235" i="4"/>
  <c r="M234" i="4"/>
  <c r="K234" i="4"/>
  <c r="M233" i="4"/>
  <c r="K233" i="4"/>
  <c r="S230" i="4"/>
  <c r="F230" i="4"/>
  <c r="A17" i="2"/>
  <c r="C17" i="2" s="1"/>
  <c r="A18" i="2"/>
  <c r="C18" i="2" s="1"/>
  <c r="A19" i="2"/>
  <c r="C19" i="2" s="1"/>
  <c r="A20" i="2"/>
  <c r="C20" i="2" s="1"/>
  <c r="A21" i="2"/>
  <c r="C21" i="2" s="1"/>
  <c r="P4" i="3"/>
  <c r="O4" i="3"/>
  <c r="N4" i="3"/>
  <c r="M4" i="3"/>
  <c r="U280" i="4" l="1"/>
  <c r="U258" i="4"/>
  <c r="U236" i="4"/>
  <c r="U255" i="4"/>
  <c r="U267" i="4"/>
  <c r="U277" i="4"/>
  <c r="U286" i="4"/>
  <c r="S289" i="4"/>
  <c r="U233" i="4"/>
  <c r="S233" i="4"/>
  <c r="U239" i="4"/>
  <c r="U261" i="4"/>
  <c r="U283" i="4"/>
  <c r="S242" i="4"/>
  <c r="U264" i="4"/>
  <c r="U308" i="4"/>
  <c r="U242" i="4"/>
  <c r="S236" i="4"/>
  <c r="U245" i="4"/>
  <c r="U289" i="4"/>
  <c r="S283" i="4"/>
  <c r="U302" i="4"/>
  <c r="S305" i="4"/>
  <c r="S264" i="4"/>
  <c r="U305" i="4"/>
  <c r="S308" i="4"/>
  <c r="L16" i="6"/>
  <c r="K17" i="6"/>
  <c r="S245" i="4"/>
  <c r="S258" i="4"/>
  <c r="S286" i="4"/>
  <c r="S299" i="4"/>
  <c r="S277" i="4"/>
  <c r="S311" i="4"/>
  <c r="S239" i="4"/>
  <c r="S267" i="4"/>
  <c r="S255" i="4"/>
  <c r="S261" i="4"/>
  <c r="S280" i="4"/>
  <c r="F18" i="5"/>
  <c r="F17" i="5"/>
  <c r="F16" i="5"/>
  <c r="F19" i="5"/>
  <c r="R15" i="5"/>
  <c r="R14" i="5"/>
  <c r="R13" i="5"/>
  <c r="A11" i="6"/>
  <c r="B11" i="6" s="1"/>
  <c r="A12" i="6"/>
  <c r="B12" i="6" s="1"/>
  <c r="A13" i="6"/>
  <c r="B13" i="6" s="1"/>
  <c r="S314" i="4" l="1"/>
  <c r="S270" i="4"/>
  <c r="S248" i="4"/>
  <c r="S292" i="4"/>
  <c r="L17" i="6"/>
  <c r="F18" i="10"/>
  <c r="AD31" i="9"/>
  <c r="AE31" i="9" s="1"/>
  <c r="AB31" i="9"/>
  <c r="AA31" i="9"/>
  <c r="Z31" i="9"/>
  <c r="Y31" i="9"/>
  <c r="X31" i="9"/>
  <c r="W31" i="9"/>
  <c r="AC31" i="9" l="1"/>
  <c r="M48" i="4"/>
  <c r="M47" i="4"/>
  <c r="M45" i="4"/>
  <c r="M44" i="4"/>
  <c r="M42" i="4"/>
  <c r="M41" i="4"/>
  <c r="M39" i="4"/>
  <c r="M38" i="4"/>
  <c r="M36" i="4"/>
  <c r="M35" i="4"/>
  <c r="K225" i="4"/>
  <c r="M224" i="4"/>
  <c r="K224" i="4"/>
  <c r="M223" i="4"/>
  <c r="U223" i="4" s="1"/>
  <c r="K223" i="4"/>
  <c r="K222" i="4"/>
  <c r="M221" i="4"/>
  <c r="K221" i="4"/>
  <c r="M220" i="4"/>
  <c r="K220" i="4"/>
  <c r="K219" i="4"/>
  <c r="M218" i="4"/>
  <c r="K218" i="4"/>
  <c r="M217" i="4"/>
  <c r="K217" i="4"/>
  <c r="K216" i="4"/>
  <c r="M215" i="4"/>
  <c r="K215" i="4"/>
  <c r="M214" i="4"/>
  <c r="K214" i="4"/>
  <c r="K213" i="4"/>
  <c r="M212" i="4"/>
  <c r="K212" i="4"/>
  <c r="M211" i="4"/>
  <c r="K211" i="4"/>
  <c r="U211" i="4" s="1"/>
  <c r="S208" i="4"/>
  <c r="F208" i="4"/>
  <c r="K191" i="4"/>
  <c r="K190" i="4"/>
  <c r="K189" i="4"/>
  <c r="K169" i="4"/>
  <c r="K168" i="4"/>
  <c r="K167" i="4"/>
  <c r="U220" i="4" l="1"/>
  <c r="U167" i="4"/>
  <c r="S223" i="4"/>
  <c r="S189" i="4"/>
  <c r="U189" i="4"/>
  <c r="S217" i="4"/>
  <c r="U214" i="4"/>
  <c r="U217" i="4"/>
  <c r="S211" i="4"/>
  <c r="S220" i="4"/>
  <c r="S214" i="4"/>
  <c r="L4" i="3"/>
  <c r="K4" i="3"/>
  <c r="J4" i="3"/>
  <c r="S226" i="4" l="1"/>
  <c r="F14" i="10"/>
  <c r="B14" i="10"/>
  <c r="F13" i="10"/>
  <c r="B13" i="10"/>
  <c r="F12" i="10"/>
  <c r="B12" i="10"/>
  <c r="I15" i="5"/>
  <c r="E15" i="5"/>
  <c r="A15" i="5"/>
  <c r="B15" i="5" s="1"/>
  <c r="I14" i="5"/>
  <c r="E14" i="5"/>
  <c r="A14" i="5"/>
  <c r="B14" i="5" s="1"/>
  <c r="I13" i="5"/>
  <c r="A13" i="5"/>
  <c r="B13" i="5" s="1"/>
  <c r="K125" i="4"/>
  <c r="K124" i="4"/>
  <c r="K123" i="4"/>
  <c r="K103" i="4"/>
  <c r="K102" i="4"/>
  <c r="K101" i="4"/>
  <c r="K81" i="4"/>
  <c r="K80" i="4"/>
  <c r="K79" i="4"/>
  <c r="K59" i="4"/>
  <c r="K58" i="4"/>
  <c r="K57" i="4"/>
  <c r="K37" i="4"/>
  <c r="K36" i="4"/>
  <c r="K35" i="4"/>
  <c r="A16" i="2"/>
  <c r="C16" i="2" s="1"/>
  <c r="A15" i="2"/>
  <c r="C15" i="2" s="1"/>
  <c r="A14" i="2"/>
  <c r="C14" i="2" s="1"/>
  <c r="S79" i="4" l="1"/>
  <c r="U57" i="4"/>
  <c r="S57" i="4"/>
  <c r="U35" i="4"/>
  <c r="S35" i="4"/>
  <c r="U101" i="4"/>
  <c r="U79" i="4"/>
  <c r="U145" i="4"/>
  <c r="U123" i="4"/>
  <c r="F15" i="5"/>
  <c r="F14" i="5"/>
  <c r="F13" i="5"/>
  <c r="F76" i="9" l="1"/>
  <c r="E76" i="9" s="1"/>
  <c r="F77" i="9" l="1"/>
  <c r="E77" i="9" s="1"/>
  <c r="D76" i="9"/>
  <c r="F78" i="9" l="1"/>
  <c r="E78" i="9" s="1"/>
  <c r="D77" i="9"/>
  <c r="F79" i="9" l="1"/>
  <c r="E79" i="9" s="1"/>
  <c r="D78" i="9"/>
  <c r="F80" i="9" l="1"/>
  <c r="E80" i="9" s="1"/>
  <c r="J4" i="5"/>
  <c r="M202" i="4"/>
  <c r="M201" i="4"/>
  <c r="M199" i="4"/>
  <c r="M198" i="4"/>
  <c r="M196" i="4"/>
  <c r="M195" i="4"/>
  <c r="M193" i="4"/>
  <c r="M192" i="4"/>
  <c r="M190" i="4"/>
  <c r="M189" i="4"/>
  <c r="M180" i="4"/>
  <c r="M179" i="4"/>
  <c r="M177" i="4"/>
  <c r="M176" i="4"/>
  <c r="M174" i="4"/>
  <c r="M173" i="4"/>
  <c r="M171" i="4"/>
  <c r="M170" i="4"/>
  <c r="M168" i="4"/>
  <c r="M167" i="4"/>
  <c r="M136" i="4"/>
  <c r="M135" i="4"/>
  <c r="M133" i="4"/>
  <c r="M132" i="4"/>
  <c r="M130" i="4"/>
  <c r="M129" i="4"/>
  <c r="M127" i="4"/>
  <c r="M126" i="4"/>
  <c r="M124" i="4"/>
  <c r="M123" i="4"/>
  <c r="M114" i="4"/>
  <c r="M113" i="4"/>
  <c r="M111" i="4"/>
  <c r="M110" i="4"/>
  <c r="M108" i="4"/>
  <c r="M107" i="4"/>
  <c r="M105" i="4"/>
  <c r="M104" i="4"/>
  <c r="M102" i="4"/>
  <c r="M101" i="4"/>
  <c r="M92" i="4"/>
  <c r="M91" i="4"/>
  <c r="M89" i="4"/>
  <c r="M88" i="4"/>
  <c r="M86" i="4"/>
  <c r="M85" i="4"/>
  <c r="M83" i="4"/>
  <c r="M82" i="4"/>
  <c r="M80" i="4"/>
  <c r="M79" i="4"/>
  <c r="M70" i="4"/>
  <c r="M69" i="4"/>
  <c r="M67" i="4"/>
  <c r="M66" i="4"/>
  <c r="M64" i="4"/>
  <c r="M63" i="4"/>
  <c r="M61" i="4"/>
  <c r="M60" i="4"/>
  <c r="M58" i="4"/>
  <c r="M57" i="4"/>
  <c r="U77" i="4"/>
  <c r="U55" i="4"/>
  <c r="U33" i="4"/>
  <c r="K203" i="4"/>
  <c r="K202" i="4"/>
  <c r="K201" i="4"/>
  <c r="K200" i="4"/>
  <c r="K199" i="4"/>
  <c r="K198" i="4"/>
  <c r="K197" i="4"/>
  <c r="K196" i="4"/>
  <c r="K195" i="4"/>
  <c r="K194" i="4"/>
  <c r="K193" i="4"/>
  <c r="K192" i="4"/>
  <c r="K181" i="4"/>
  <c r="K180" i="4"/>
  <c r="K179" i="4"/>
  <c r="K178" i="4"/>
  <c r="K177" i="4"/>
  <c r="K176" i="4"/>
  <c r="K175" i="4"/>
  <c r="K174" i="4"/>
  <c r="K173" i="4"/>
  <c r="K172" i="4"/>
  <c r="K171" i="4"/>
  <c r="K170" i="4"/>
  <c r="K137" i="4"/>
  <c r="K136" i="4"/>
  <c r="K135" i="4"/>
  <c r="K134" i="4"/>
  <c r="K133" i="4"/>
  <c r="K132" i="4"/>
  <c r="K131" i="4"/>
  <c r="K130" i="4"/>
  <c r="K129" i="4"/>
  <c r="K128" i="4"/>
  <c r="K127" i="4"/>
  <c r="K126" i="4"/>
  <c r="K115" i="4"/>
  <c r="K114" i="4"/>
  <c r="K113" i="4"/>
  <c r="K112" i="4"/>
  <c r="K111" i="4"/>
  <c r="K110" i="4"/>
  <c r="K109" i="4"/>
  <c r="K108" i="4"/>
  <c r="K107" i="4"/>
  <c r="K106" i="4"/>
  <c r="K105" i="4"/>
  <c r="K104" i="4"/>
  <c r="K93" i="4"/>
  <c r="K92" i="4"/>
  <c r="K91" i="4"/>
  <c r="S91" i="4" s="1"/>
  <c r="K90" i="4"/>
  <c r="K89" i="4"/>
  <c r="K88" i="4"/>
  <c r="K87" i="4"/>
  <c r="K86" i="4"/>
  <c r="K85" i="4"/>
  <c r="K84" i="4"/>
  <c r="K83" i="4"/>
  <c r="K82" i="4"/>
  <c r="K71" i="4"/>
  <c r="K70" i="4"/>
  <c r="K69" i="4"/>
  <c r="S69" i="4" s="1"/>
  <c r="K68" i="4"/>
  <c r="K67" i="4"/>
  <c r="K66" i="4"/>
  <c r="K65" i="4"/>
  <c r="K64" i="4"/>
  <c r="K63" i="4"/>
  <c r="K62" i="4"/>
  <c r="K61" i="4"/>
  <c r="K60" i="4"/>
  <c r="K49" i="4"/>
  <c r="K48" i="4"/>
  <c r="K47" i="4"/>
  <c r="S47" i="4" s="1"/>
  <c r="K46" i="4"/>
  <c r="K45" i="4"/>
  <c r="K44" i="4"/>
  <c r="K43" i="4"/>
  <c r="K42" i="4"/>
  <c r="K41" i="4"/>
  <c r="K40" i="4"/>
  <c r="K39" i="4"/>
  <c r="K38" i="4"/>
  <c r="T77" i="4"/>
  <c r="T55" i="4"/>
  <c r="T33" i="4"/>
  <c r="B2" i="2"/>
  <c r="B3" i="2"/>
  <c r="D79" i="9"/>
  <c r="S38" i="4" l="1"/>
  <c r="S44" i="4"/>
  <c r="S66" i="4"/>
  <c r="S88" i="4"/>
  <c r="S41" i="4"/>
  <c r="S63" i="4"/>
  <c r="S85" i="4"/>
  <c r="S60" i="4"/>
  <c r="S82" i="4"/>
  <c r="U44" i="4"/>
  <c r="U66" i="4"/>
  <c r="U47" i="4"/>
  <c r="U69" i="4"/>
  <c r="U113" i="4"/>
  <c r="U88" i="4"/>
  <c r="U110" i="4"/>
  <c r="U38" i="4"/>
  <c r="U60" i="4"/>
  <c r="U82" i="4"/>
  <c r="U104" i="4"/>
  <c r="U91" i="4"/>
  <c r="U135" i="4"/>
  <c r="U179" i="4"/>
  <c r="U154" i="4"/>
  <c r="U41" i="4"/>
  <c r="U63" i="4"/>
  <c r="U85" i="4"/>
  <c r="U107" i="4"/>
  <c r="U132" i="4"/>
  <c r="U176" i="4"/>
  <c r="U173" i="4"/>
  <c r="U126" i="4"/>
  <c r="U148" i="4"/>
  <c r="U170" i="4"/>
  <c r="U129" i="4"/>
  <c r="U192" i="4"/>
  <c r="U198" i="4"/>
  <c r="U151" i="4"/>
  <c r="U157" i="4"/>
  <c r="U195" i="4"/>
  <c r="U201" i="4"/>
  <c r="J17" i="5"/>
  <c r="S17" i="5" s="1"/>
  <c r="E16" i="10" s="1"/>
  <c r="J19" i="5"/>
  <c r="S19" i="5" s="1"/>
  <c r="E18" i="10" s="1"/>
  <c r="J18" i="5"/>
  <c r="S18" i="5" s="1"/>
  <c r="E17" i="10" s="1"/>
  <c r="J16" i="5"/>
  <c r="S16" i="5" s="1"/>
  <c r="E15" i="10" s="1"/>
  <c r="F81" i="9"/>
  <c r="E81" i="9" s="1"/>
  <c r="J15" i="5"/>
  <c r="S15" i="5" s="1"/>
  <c r="E14" i="10" s="1"/>
  <c r="J13" i="5"/>
  <c r="S13" i="5" s="1"/>
  <c r="E12" i="10" s="1"/>
  <c r="J14" i="5"/>
  <c r="S14" i="5" s="1"/>
  <c r="E13" i="10" s="1"/>
  <c r="I7" i="5"/>
  <c r="I8" i="5"/>
  <c r="I9" i="5"/>
  <c r="I10" i="5"/>
  <c r="I11" i="5"/>
  <c r="I12" i="5"/>
  <c r="E7" i="5"/>
  <c r="E9" i="5"/>
  <c r="E10" i="5"/>
  <c r="E11" i="5"/>
  <c r="E12" i="5"/>
  <c r="D80" i="9"/>
  <c r="F82" i="9" l="1"/>
  <c r="E82" i="9" s="1"/>
  <c r="M4" i="6"/>
  <c r="F5" i="10" s="1"/>
  <c r="B2" i="8"/>
  <c r="B3" i="8"/>
  <c r="B4" i="8"/>
  <c r="B6" i="10"/>
  <c r="B7" i="10"/>
  <c r="B8" i="10"/>
  <c r="B9" i="10"/>
  <c r="B10" i="10"/>
  <c r="B11" i="10"/>
  <c r="B5" i="10"/>
  <c r="O51" i="9"/>
  <c r="O52" i="9"/>
  <c r="O53" i="9"/>
  <c r="O54" i="9"/>
  <c r="O55" i="9"/>
  <c r="O56" i="9"/>
  <c r="O57" i="9"/>
  <c r="O58" i="9"/>
  <c r="O59" i="9"/>
  <c r="O60" i="9"/>
  <c r="O61" i="9"/>
  <c r="O62" i="9"/>
  <c r="O63" i="9"/>
  <c r="O64" i="9"/>
  <c r="O65" i="9"/>
  <c r="O66" i="9"/>
  <c r="O50" i="9"/>
  <c r="D81" i="9"/>
  <c r="F83" i="9" l="1"/>
  <c r="E83" i="9" s="1"/>
  <c r="G50" i="9"/>
  <c r="F50" i="9" s="1"/>
  <c r="D50" i="9"/>
  <c r="D51" i="9"/>
  <c r="D52" i="9"/>
  <c r="D53" i="9"/>
  <c r="D54" i="9"/>
  <c r="D55" i="9"/>
  <c r="D56" i="9"/>
  <c r="D57" i="9"/>
  <c r="D58" i="9"/>
  <c r="D59" i="9"/>
  <c r="D60" i="9"/>
  <c r="D61" i="9"/>
  <c r="D62" i="9"/>
  <c r="D63" i="9"/>
  <c r="D64" i="9"/>
  <c r="D65" i="9"/>
  <c r="D66" i="9"/>
  <c r="D82" i="9"/>
  <c r="F84" i="9" l="1"/>
  <c r="E84" i="9" s="1"/>
  <c r="G51" i="9"/>
  <c r="F51" i="9" s="1"/>
  <c r="D83" i="9"/>
  <c r="G52" i="9" l="1"/>
  <c r="F52" i="9" s="1"/>
  <c r="F85" i="9"/>
  <c r="D84" i="9"/>
  <c r="E52" i="9"/>
  <c r="E85" i="9" l="1"/>
  <c r="F86" i="9"/>
  <c r="G53" i="9"/>
  <c r="F53" i="9" s="1"/>
  <c r="P2" i="9"/>
  <c r="E51" i="9"/>
  <c r="E53" i="9"/>
  <c r="D85" i="9"/>
  <c r="G54" i="9" l="1"/>
  <c r="F54" i="9" s="1"/>
  <c r="F87" i="9"/>
  <c r="E86" i="9"/>
  <c r="P52" i="9"/>
  <c r="P56" i="9"/>
  <c r="G11" i="10" s="1"/>
  <c r="P60" i="9"/>
  <c r="G15" i="10" s="1"/>
  <c r="P64" i="9"/>
  <c r="P55" i="9"/>
  <c r="G10" i="10" s="1"/>
  <c r="P63" i="9"/>
  <c r="G18" i="10" s="1"/>
  <c r="P53" i="9"/>
  <c r="P57" i="9"/>
  <c r="G12" i="10" s="1"/>
  <c r="P61" i="9"/>
  <c r="G16" i="10" s="1"/>
  <c r="P65" i="9"/>
  <c r="P54" i="9"/>
  <c r="G9" i="10" s="1"/>
  <c r="P58" i="9"/>
  <c r="G13" i="10" s="1"/>
  <c r="P62" i="9"/>
  <c r="G17" i="10" s="1"/>
  <c r="P66" i="9"/>
  <c r="P59" i="9"/>
  <c r="G14" i="10" s="1"/>
  <c r="P51" i="9"/>
  <c r="D86" i="9"/>
  <c r="E54" i="9"/>
  <c r="G55" i="9" l="1"/>
  <c r="F55" i="9" s="1"/>
  <c r="F88" i="9"/>
  <c r="E87" i="9"/>
  <c r="AD11" i="9"/>
  <c r="AE11" i="9" s="1"/>
  <c r="AE35" i="9" s="1"/>
  <c r="AE43" i="9" s="1"/>
  <c r="AB11" i="9"/>
  <c r="AC11" i="9" s="1"/>
  <c r="AC43" i="9" s="1"/>
  <c r="E50" i="9"/>
  <c r="E55" i="9"/>
  <c r="D87" i="9"/>
  <c r="M43" i="9" l="1"/>
  <c r="G56" i="9"/>
  <c r="F56" i="9" s="1"/>
  <c r="E88" i="9"/>
  <c r="F89" i="9"/>
  <c r="E89" i="9" s="1"/>
  <c r="G57" i="9"/>
  <c r="F57" i="9" s="1"/>
  <c r="E56" i="9"/>
  <c r="D88" i="9"/>
  <c r="D89" i="9"/>
  <c r="G58" i="9" l="1"/>
  <c r="F58" i="9" s="1"/>
  <c r="P50" i="9"/>
  <c r="Q7" i="8"/>
  <c r="B30" i="8"/>
  <c r="F30" i="8" s="1"/>
  <c r="B29" i="8"/>
  <c r="B28" i="8"/>
  <c r="F28" i="8" s="1"/>
  <c r="B27" i="8"/>
  <c r="B26" i="8"/>
  <c r="B25" i="8"/>
  <c r="B24" i="8"/>
  <c r="B23" i="8"/>
  <c r="B22" i="8"/>
  <c r="B21" i="8"/>
  <c r="B20" i="8"/>
  <c r="C20" i="8" s="1"/>
  <c r="B19" i="8"/>
  <c r="C19" i="8" s="1"/>
  <c r="B18" i="8"/>
  <c r="C18" i="8" s="1"/>
  <c r="B17" i="8"/>
  <c r="B16" i="8"/>
  <c r="C16" i="8" s="1"/>
  <c r="B15" i="8"/>
  <c r="B14" i="8"/>
  <c r="H8" i="8"/>
  <c r="E57" i="9"/>
  <c r="J28" i="8" l="1"/>
  <c r="L28" i="8"/>
  <c r="J30" i="8"/>
  <c r="L30" i="8"/>
  <c r="H28" i="8"/>
  <c r="H30" i="8"/>
  <c r="F29" i="8"/>
  <c r="C24" i="8"/>
  <c r="C22" i="8"/>
  <c r="C26" i="8"/>
  <c r="C30" i="8"/>
  <c r="C28" i="8"/>
  <c r="C23" i="8"/>
  <c r="C27" i="8"/>
  <c r="G59" i="9"/>
  <c r="F59" i="9" s="1"/>
  <c r="I8" i="8"/>
  <c r="K4" i="12" s="1"/>
  <c r="C15" i="8"/>
  <c r="C14" i="8"/>
  <c r="C17" i="8"/>
  <c r="C21" i="8"/>
  <c r="C25" i="8"/>
  <c r="C29" i="8"/>
  <c r="E58" i="9"/>
  <c r="L29" i="8" l="1"/>
  <c r="J29" i="8"/>
  <c r="H29" i="8"/>
  <c r="G60" i="9"/>
  <c r="F60" i="9" s="1"/>
  <c r="M10" i="6"/>
  <c r="F11" i="10" s="1"/>
  <c r="L10" i="6"/>
  <c r="A10" i="6"/>
  <c r="B10" i="6" s="1"/>
  <c r="M9" i="6"/>
  <c r="F10" i="10" s="1"/>
  <c r="L9" i="6"/>
  <c r="A9" i="6"/>
  <c r="B9" i="6" s="1"/>
  <c r="M8" i="6"/>
  <c r="F9" i="10" s="1"/>
  <c r="L8" i="6"/>
  <c r="A8" i="6"/>
  <c r="B8" i="6" s="1"/>
  <c r="M7" i="6"/>
  <c r="L7" i="6"/>
  <c r="A7" i="6"/>
  <c r="B7" i="6" s="1"/>
  <c r="M6" i="6"/>
  <c r="L6" i="6"/>
  <c r="A6" i="6"/>
  <c r="B6" i="6" s="1"/>
  <c r="M5" i="6"/>
  <c r="F6" i="10" s="1"/>
  <c r="L5" i="6"/>
  <c r="A5" i="6"/>
  <c r="B5" i="6" s="1"/>
  <c r="L4" i="6"/>
  <c r="A4" i="6"/>
  <c r="B4" i="6" s="1"/>
  <c r="R12" i="5"/>
  <c r="A12" i="5"/>
  <c r="B12" i="5" s="1"/>
  <c r="J12" i="5" s="1"/>
  <c r="R11" i="5"/>
  <c r="A11" i="5"/>
  <c r="B11" i="5" s="1"/>
  <c r="J11" i="5" s="1"/>
  <c r="R10" i="5"/>
  <c r="A10" i="5"/>
  <c r="B10" i="5" s="1"/>
  <c r="J10" i="5" s="1"/>
  <c r="R9" i="5"/>
  <c r="A9" i="5"/>
  <c r="B9" i="5" s="1"/>
  <c r="J9" i="5" s="1"/>
  <c r="R8" i="5"/>
  <c r="A8" i="5"/>
  <c r="B8" i="5" s="1"/>
  <c r="J8" i="5" s="1"/>
  <c r="R7" i="5"/>
  <c r="A7" i="5"/>
  <c r="B7" i="5" s="1"/>
  <c r="J7" i="5" s="1"/>
  <c r="R6" i="5"/>
  <c r="I6" i="5"/>
  <c r="E6" i="5"/>
  <c r="A6" i="5"/>
  <c r="B6" i="5" s="1"/>
  <c r="S201" i="4"/>
  <c r="S198" i="4"/>
  <c r="S195" i="4"/>
  <c r="S192" i="4"/>
  <c r="S186" i="4"/>
  <c r="F186" i="4"/>
  <c r="S179" i="4"/>
  <c r="S176" i="4"/>
  <c r="S173" i="4"/>
  <c r="S170" i="4"/>
  <c r="S167" i="4"/>
  <c r="S164" i="4"/>
  <c r="F164" i="4"/>
  <c r="S157" i="4"/>
  <c r="S154" i="4"/>
  <c r="S151" i="4"/>
  <c r="S148" i="4"/>
  <c r="S145" i="4"/>
  <c r="S142" i="4"/>
  <c r="F142" i="4"/>
  <c r="S135" i="4"/>
  <c r="S132" i="4"/>
  <c r="S129" i="4"/>
  <c r="S126" i="4"/>
  <c r="S123" i="4"/>
  <c r="S120" i="4"/>
  <c r="F120" i="4"/>
  <c r="S113" i="4"/>
  <c r="S110" i="4"/>
  <c r="S107" i="4"/>
  <c r="S104" i="4"/>
  <c r="S101" i="4"/>
  <c r="S98" i="4"/>
  <c r="F98" i="4"/>
  <c r="S76" i="4"/>
  <c r="F76" i="4"/>
  <c r="S54" i="4"/>
  <c r="F54" i="4"/>
  <c r="S32" i="4"/>
  <c r="F32" i="4"/>
  <c r="X28" i="4"/>
  <c r="X27" i="4"/>
  <c r="AD27" i="4" s="1"/>
  <c r="X26" i="4"/>
  <c r="AD26" i="4" s="1"/>
  <c r="X25" i="4"/>
  <c r="AD25" i="4" s="1"/>
  <c r="U25" i="4"/>
  <c r="X24" i="4"/>
  <c r="AD24" i="4" s="1"/>
  <c r="X23" i="4"/>
  <c r="AD23" i="4" s="1"/>
  <c r="X22" i="4"/>
  <c r="AD22" i="4" s="1"/>
  <c r="U22" i="4"/>
  <c r="X21" i="4"/>
  <c r="AD21" i="4" s="1"/>
  <c r="X20" i="4"/>
  <c r="AD20" i="4" s="1"/>
  <c r="X19" i="4"/>
  <c r="AD19" i="4" s="1"/>
  <c r="U19" i="4"/>
  <c r="X18" i="4"/>
  <c r="AD18" i="4" s="1"/>
  <c r="X17" i="4"/>
  <c r="AD17" i="4" s="1"/>
  <c r="X16" i="4"/>
  <c r="AD16" i="4" s="1"/>
  <c r="U16" i="4"/>
  <c r="X15" i="4"/>
  <c r="AD15" i="4" s="1"/>
  <c r="X14" i="4"/>
  <c r="AD14" i="4" s="1"/>
  <c r="AH13" i="4"/>
  <c r="AH14" i="4" s="1"/>
  <c r="X13" i="4"/>
  <c r="AD13" i="4" s="1"/>
  <c r="X12" i="4"/>
  <c r="AD12" i="4" s="1"/>
  <c r="S10" i="4"/>
  <c r="F10" i="4"/>
  <c r="P6" i="4"/>
  <c r="I4" i="3"/>
  <c r="H4" i="3"/>
  <c r="G4" i="3"/>
  <c r="F4" i="3"/>
  <c r="E4" i="3"/>
  <c r="D4" i="3"/>
  <c r="C4" i="3"/>
  <c r="A13" i="2"/>
  <c r="C13" i="2" s="1"/>
  <c r="A12" i="2"/>
  <c r="C12" i="2" s="1"/>
  <c r="A11" i="2"/>
  <c r="C11" i="2" s="1"/>
  <c r="A10" i="2"/>
  <c r="C10" i="2" s="1"/>
  <c r="A9" i="2"/>
  <c r="C9" i="2" s="1"/>
  <c r="A8" i="2"/>
  <c r="E59" i="9"/>
  <c r="S227" i="4" l="1"/>
  <c r="T226" i="4" s="1"/>
  <c r="S315" i="4"/>
  <c r="S293" i="4"/>
  <c r="S271" i="4"/>
  <c r="S249" i="4"/>
  <c r="J6" i="5"/>
  <c r="O5" i="3"/>
  <c r="M5" i="3"/>
  <c r="P5" i="3"/>
  <c r="N5" i="3"/>
  <c r="L5" i="3"/>
  <c r="J5" i="3"/>
  <c r="K5" i="3"/>
  <c r="F5" i="3"/>
  <c r="C8" i="2"/>
  <c r="I5" i="3"/>
  <c r="E5" i="3"/>
  <c r="H5" i="3"/>
  <c r="C5" i="3"/>
  <c r="D5" i="3"/>
  <c r="G5" i="3"/>
  <c r="G61" i="9"/>
  <c r="F61" i="9" s="1"/>
  <c r="S204" i="4"/>
  <c r="S205" i="4" s="1"/>
  <c r="S182" i="4"/>
  <c r="S183" i="4" s="1"/>
  <c r="S160" i="4"/>
  <c r="S161" i="4" s="1"/>
  <c r="B160" i="4" s="1"/>
  <c r="S138" i="4"/>
  <c r="S139" i="4" s="1"/>
  <c r="T138" i="4" s="1"/>
  <c r="S116" i="4"/>
  <c r="S117" i="4" s="1"/>
  <c r="T116" i="4" s="1"/>
  <c r="S72" i="4"/>
  <c r="S73" i="4" s="1"/>
  <c r="B72" i="4" s="1"/>
  <c r="S28" i="4"/>
  <c r="S29" i="4" s="1"/>
  <c r="B28" i="4" s="1"/>
  <c r="S50" i="4"/>
  <c r="S51" i="4" s="1"/>
  <c r="B50" i="4" s="1"/>
  <c r="F7" i="5"/>
  <c r="N7" i="5" s="1"/>
  <c r="F9" i="5"/>
  <c r="N9" i="5" s="1"/>
  <c r="F11" i="5"/>
  <c r="F6" i="5"/>
  <c r="N6" i="5" s="1"/>
  <c r="F8" i="5"/>
  <c r="N8" i="5" s="1"/>
  <c r="F10" i="5"/>
  <c r="F12" i="5"/>
  <c r="S94" i="4"/>
  <c r="S95" i="4" s="1"/>
  <c r="B94" i="4" s="1"/>
  <c r="AD28" i="4"/>
  <c r="AH15" i="4"/>
  <c r="E60" i="9"/>
  <c r="S6" i="5" l="1"/>
  <c r="B226" i="4"/>
  <c r="T270" i="4"/>
  <c r="B270" i="4"/>
  <c r="T292" i="4"/>
  <c r="B292" i="4"/>
  <c r="T314" i="4"/>
  <c r="B314" i="4"/>
  <c r="T248" i="4"/>
  <c r="B248" i="4"/>
  <c r="B204" i="4"/>
  <c r="T204" i="4"/>
  <c r="B182" i="4"/>
  <c r="T182" i="4"/>
  <c r="T160" i="4"/>
  <c r="G62" i="9"/>
  <c r="F62" i="9" s="1"/>
  <c r="B138" i="4"/>
  <c r="B116" i="4"/>
  <c r="T72" i="4"/>
  <c r="T50" i="4"/>
  <c r="T28" i="4"/>
  <c r="S12" i="5"/>
  <c r="E11" i="10" s="1"/>
  <c r="S9" i="5"/>
  <c r="E8" i="10" s="1"/>
  <c r="S8" i="5"/>
  <c r="E7" i="10" s="1"/>
  <c r="S10" i="5"/>
  <c r="E9" i="10" s="1"/>
  <c r="S11" i="5"/>
  <c r="E10" i="10" s="1"/>
  <c r="S7" i="5"/>
  <c r="T94" i="4"/>
  <c r="AH16" i="4"/>
  <c r="AE13" i="4"/>
  <c r="AE14" i="4"/>
  <c r="AE12" i="4"/>
  <c r="E61" i="9"/>
  <c r="AE15" i="4"/>
  <c r="G63" i="9" l="1"/>
  <c r="F63" i="9" s="1"/>
  <c r="Y14" i="4"/>
  <c r="Z14" i="4" s="1"/>
  <c r="D7" i="10" s="1"/>
  <c r="Y13" i="4"/>
  <c r="Z13" i="4" s="1"/>
  <c r="Y12" i="4"/>
  <c r="Y15" i="4"/>
  <c r="Z15" i="4" s="1"/>
  <c r="D8" i="10" s="1"/>
  <c r="AH17" i="4"/>
  <c r="E62" i="9"/>
  <c r="AE16" i="4"/>
  <c r="F15" i="8" l="1"/>
  <c r="H8" i="10"/>
  <c r="F17" i="8" s="1"/>
  <c r="Z12" i="4"/>
  <c r="G64" i="9"/>
  <c r="F64" i="9" s="1"/>
  <c r="H7" i="10"/>
  <c r="F16" i="8" s="1"/>
  <c r="Y16" i="4"/>
  <c r="Z16" i="4" s="1"/>
  <c r="D9" i="10" s="1"/>
  <c r="AH18" i="4"/>
  <c r="E63" i="9"/>
  <c r="AE17" i="4"/>
  <c r="H16" i="8" l="1"/>
  <c r="G17" i="8"/>
  <c r="H17" i="8"/>
  <c r="F14" i="8"/>
  <c r="H9" i="10"/>
  <c r="F18" i="8" s="1"/>
  <c r="G16" i="8"/>
  <c r="G8" i="12"/>
  <c r="G65" i="9"/>
  <c r="F65" i="9" s="1"/>
  <c r="I8" i="12"/>
  <c r="E8" i="12"/>
  <c r="Y17" i="4"/>
  <c r="Z17" i="4" s="1"/>
  <c r="D10" i="10" s="1"/>
  <c r="AH19" i="4"/>
  <c r="E64" i="9"/>
  <c r="AE18" i="4"/>
  <c r="C8" i="12" l="1"/>
  <c r="C110" i="12" s="1"/>
  <c r="I106" i="12"/>
  <c r="I110" i="12"/>
  <c r="I114" i="12"/>
  <c r="I118" i="12"/>
  <c r="I122" i="12"/>
  <c r="I126" i="12"/>
  <c r="I130" i="12"/>
  <c r="I134" i="12"/>
  <c r="I138" i="12"/>
  <c r="I108" i="12"/>
  <c r="I113" i="12"/>
  <c r="I119" i="12"/>
  <c r="I124" i="12"/>
  <c r="I129" i="12"/>
  <c r="I135" i="12"/>
  <c r="I140" i="12"/>
  <c r="I109" i="12"/>
  <c r="I115" i="12"/>
  <c r="I120" i="12"/>
  <c r="I125" i="12"/>
  <c r="I131" i="12"/>
  <c r="I136" i="12"/>
  <c r="I111" i="12"/>
  <c r="I121" i="12"/>
  <c r="I132" i="12"/>
  <c r="I112" i="12"/>
  <c r="I123" i="12"/>
  <c r="I133" i="12"/>
  <c r="I105" i="12"/>
  <c r="I116" i="12"/>
  <c r="I127" i="12"/>
  <c r="I137" i="12"/>
  <c r="I128" i="12"/>
  <c r="I107" i="12"/>
  <c r="I139" i="12"/>
  <c r="I117" i="12"/>
  <c r="G18" i="8"/>
  <c r="H18" i="8"/>
  <c r="H10" i="10"/>
  <c r="F19" i="8" s="1"/>
  <c r="G91" i="12"/>
  <c r="H91" i="12" s="1"/>
  <c r="G87" i="12"/>
  <c r="H87" i="12" s="1"/>
  <c r="G89" i="12"/>
  <c r="H89" i="12" s="1"/>
  <c r="G85" i="12"/>
  <c r="H85" i="12" s="1"/>
  <c r="G92" i="12"/>
  <c r="H92" i="12" s="1"/>
  <c r="G88" i="12"/>
  <c r="H88" i="12" s="1"/>
  <c r="G84" i="12"/>
  <c r="H84" i="12" s="1"/>
  <c r="G86" i="12"/>
  <c r="H86" i="12" s="1"/>
  <c r="G83" i="12"/>
  <c r="H83" i="12" s="1"/>
  <c r="G90" i="12"/>
  <c r="H90" i="12" s="1"/>
  <c r="E89" i="12"/>
  <c r="F89" i="12" s="1"/>
  <c r="E85" i="12"/>
  <c r="F85" i="12" s="1"/>
  <c r="E91" i="12"/>
  <c r="F91" i="12" s="1"/>
  <c r="E87" i="12"/>
  <c r="F87" i="12" s="1"/>
  <c r="E83" i="12"/>
  <c r="F83" i="12" s="1"/>
  <c r="E90" i="12"/>
  <c r="F90" i="12" s="1"/>
  <c r="E86" i="12"/>
  <c r="F86" i="12" s="1"/>
  <c r="E88" i="12"/>
  <c r="F88" i="12" s="1"/>
  <c r="E92" i="12"/>
  <c r="F92" i="12" s="1"/>
  <c r="E84" i="12"/>
  <c r="F84" i="12" s="1"/>
  <c r="I89" i="12"/>
  <c r="J89" i="12" s="1"/>
  <c r="I85" i="12"/>
  <c r="J85" i="12" s="1"/>
  <c r="I91" i="12"/>
  <c r="J91" i="12" s="1"/>
  <c r="I87" i="12"/>
  <c r="J87" i="12" s="1"/>
  <c r="I83" i="12"/>
  <c r="J83" i="12" s="1"/>
  <c r="I90" i="12"/>
  <c r="J90" i="12" s="1"/>
  <c r="I86" i="12"/>
  <c r="J86" i="12" s="1"/>
  <c r="I88" i="12"/>
  <c r="J88" i="12" s="1"/>
  <c r="I84" i="12"/>
  <c r="J84" i="12" s="1"/>
  <c r="I92" i="12"/>
  <c r="J92" i="12" s="1"/>
  <c r="E140" i="12"/>
  <c r="E136" i="12"/>
  <c r="E139" i="12"/>
  <c r="E138" i="12"/>
  <c r="E137" i="12"/>
  <c r="G138" i="12"/>
  <c r="G137" i="12"/>
  <c r="G140" i="12"/>
  <c r="G136" i="12"/>
  <c r="G139" i="12"/>
  <c r="E69" i="12"/>
  <c r="F69" i="12" s="1"/>
  <c r="E72" i="12"/>
  <c r="E75" i="12"/>
  <c r="F75" i="12" s="1"/>
  <c r="E71" i="12"/>
  <c r="E74" i="12"/>
  <c r="F74" i="12" s="1"/>
  <c r="E70" i="12"/>
  <c r="F70" i="12" s="1"/>
  <c r="E73" i="12"/>
  <c r="F73" i="12" s="1"/>
  <c r="E76" i="12"/>
  <c r="F76" i="12" s="1"/>
  <c r="G29" i="12"/>
  <c r="G75" i="12"/>
  <c r="H75" i="12" s="1"/>
  <c r="G74" i="12"/>
  <c r="H74" i="12" s="1"/>
  <c r="G73" i="12"/>
  <c r="H73" i="12" s="1"/>
  <c r="G69" i="12"/>
  <c r="H69" i="12" s="1"/>
  <c r="G76" i="12"/>
  <c r="H76" i="12" s="1"/>
  <c r="G72" i="12"/>
  <c r="H72" i="12" s="1"/>
  <c r="G71" i="12"/>
  <c r="H71" i="12" s="1"/>
  <c r="G70" i="12"/>
  <c r="H70" i="12" s="1"/>
  <c r="I75" i="12"/>
  <c r="J75" i="12" s="1"/>
  <c r="I71" i="12"/>
  <c r="J71" i="12" s="1"/>
  <c r="I74" i="12"/>
  <c r="J74" i="12" s="1"/>
  <c r="I70" i="12"/>
  <c r="J70" i="12" s="1"/>
  <c r="I73" i="12"/>
  <c r="J73" i="12" s="1"/>
  <c r="I69" i="12"/>
  <c r="J69" i="12" s="1"/>
  <c r="I76" i="12"/>
  <c r="J76" i="12" s="1"/>
  <c r="I72" i="12"/>
  <c r="J72" i="12" s="1"/>
  <c r="E14" i="12"/>
  <c r="E17" i="12"/>
  <c r="E21" i="12"/>
  <c r="E25" i="12"/>
  <c r="E29" i="12"/>
  <c r="E33" i="12"/>
  <c r="E37" i="12"/>
  <c r="E41" i="12"/>
  <c r="E45" i="12"/>
  <c r="E49" i="12"/>
  <c r="E53" i="12"/>
  <c r="E57" i="12"/>
  <c r="E61" i="12"/>
  <c r="E65" i="12"/>
  <c r="E77" i="12"/>
  <c r="E81" i="12"/>
  <c r="E18" i="12"/>
  <c r="E22" i="12"/>
  <c r="E26" i="12"/>
  <c r="E30" i="12"/>
  <c r="E34" i="12"/>
  <c r="E38" i="12"/>
  <c r="E42" i="12"/>
  <c r="E46" i="12"/>
  <c r="E50" i="12"/>
  <c r="E54" i="12"/>
  <c r="E58" i="12"/>
  <c r="E62" i="12"/>
  <c r="E66" i="12"/>
  <c r="E78" i="12"/>
  <c r="E82" i="12"/>
  <c r="E15" i="12"/>
  <c r="E19" i="12"/>
  <c r="E23" i="12"/>
  <c r="E27" i="12"/>
  <c r="E31" i="12"/>
  <c r="E35" i="12"/>
  <c r="E39" i="12"/>
  <c r="E43" i="12"/>
  <c r="E47" i="12"/>
  <c r="E51" i="12"/>
  <c r="E55" i="12"/>
  <c r="E59" i="12"/>
  <c r="E63" i="12"/>
  <c r="E67" i="12"/>
  <c r="E79" i="12"/>
  <c r="E16" i="12"/>
  <c r="E20" i="12"/>
  <c r="E24" i="12"/>
  <c r="E28" i="12"/>
  <c r="E32" i="12"/>
  <c r="E36" i="12"/>
  <c r="E40" i="12"/>
  <c r="E44" i="12"/>
  <c r="E48" i="12"/>
  <c r="E52" i="12"/>
  <c r="E56" i="12"/>
  <c r="E60" i="12"/>
  <c r="E64" i="12"/>
  <c r="E68" i="12"/>
  <c r="E80" i="12"/>
  <c r="E101" i="12"/>
  <c r="G34" i="12"/>
  <c r="G82" i="12"/>
  <c r="G51" i="12"/>
  <c r="G52" i="12"/>
  <c r="G30" i="12"/>
  <c r="G101" i="12"/>
  <c r="G54" i="12"/>
  <c r="G31" i="12"/>
  <c r="G57" i="12"/>
  <c r="G55" i="12"/>
  <c r="G32" i="12"/>
  <c r="G80" i="12"/>
  <c r="G41" i="12"/>
  <c r="G25" i="12"/>
  <c r="G81" i="12"/>
  <c r="E105" i="12"/>
  <c r="E109" i="12"/>
  <c r="E113" i="12"/>
  <c r="E117" i="12"/>
  <c r="E121" i="12"/>
  <c r="E125" i="12"/>
  <c r="E129" i="12"/>
  <c r="E133" i="12"/>
  <c r="E106" i="12"/>
  <c r="E110" i="12"/>
  <c r="E114" i="12"/>
  <c r="E118" i="12"/>
  <c r="E122" i="12"/>
  <c r="E126" i="12"/>
  <c r="E130" i="12"/>
  <c r="E134" i="12"/>
  <c r="E111" i="12"/>
  <c r="E119" i="12"/>
  <c r="E127" i="12"/>
  <c r="E135" i="12"/>
  <c r="E115" i="12"/>
  <c r="E131" i="12"/>
  <c r="E112" i="12"/>
  <c r="E120" i="12"/>
  <c r="E128" i="12"/>
  <c r="E104" i="12"/>
  <c r="E107" i="12"/>
  <c r="E123" i="12"/>
  <c r="E108" i="12"/>
  <c r="E116" i="12"/>
  <c r="E124" i="12"/>
  <c r="E132" i="12"/>
  <c r="G79" i="12"/>
  <c r="G50" i="12"/>
  <c r="G28" i="12"/>
  <c r="G78" i="12"/>
  <c r="G48" i="12"/>
  <c r="G27" i="12"/>
  <c r="G68" i="12"/>
  <c r="G47" i="12"/>
  <c r="G26" i="12"/>
  <c r="G67" i="12"/>
  <c r="G46" i="12"/>
  <c r="G24" i="12"/>
  <c r="G77" i="12"/>
  <c r="G53" i="12"/>
  <c r="G37" i="12"/>
  <c r="G21" i="12"/>
  <c r="G66" i="12"/>
  <c r="G44" i="12"/>
  <c r="G23" i="12"/>
  <c r="G64" i="12"/>
  <c r="G43" i="12"/>
  <c r="G22" i="12"/>
  <c r="G63" i="12"/>
  <c r="G42" i="12"/>
  <c r="G20" i="12"/>
  <c r="G62" i="12"/>
  <c r="G40" i="12"/>
  <c r="G19" i="12"/>
  <c r="G65" i="12"/>
  <c r="G49" i="12"/>
  <c r="G33" i="12"/>
  <c r="G17" i="12"/>
  <c r="I104" i="12"/>
  <c r="G60" i="12"/>
  <c r="G39" i="12"/>
  <c r="G18" i="12"/>
  <c r="G59" i="12"/>
  <c r="G38" i="12"/>
  <c r="G16" i="12"/>
  <c r="G58" i="12"/>
  <c r="G36" i="12"/>
  <c r="G15" i="12"/>
  <c r="G56" i="12"/>
  <c r="G35" i="12"/>
  <c r="G14" i="12"/>
  <c r="G61" i="12"/>
  <c r="G45" i="12"/>
  <c r="G105" i="12"/>
  <c r="G109" i="12"/>
  <c r="G113" i="12"/>
  <c r="G117" i="12"/>
  <c r="G121" i="12"/>
  <c r="G125" i="12"/>
  <c r="G129" i="12"/>
  <c r="G133" i="12"/>
  <c r="G106" i="12"/>
  <c r="G110" i="12"/>
  <c r="G114" i="12"/>
  <c r="G118" i="12"/>
  <c r="G122" i="12"/>
  <c r="G126" i="12"/>
  <c r="G130" i="12"/>
  <c r="G134" i="12"/>
  <c r="G111" i="12"/>
  <c r="G119" i="12"/>
  <c r="G127" i="12"/>
  <c r="G135" i="12"/>
  <c r="G115" i="12"/>
  <c r="G131" i="12"/>
  <c r="G112" i="12"/>
  <c r="G120" i="12"/>
  <c r="G128" i="12"/>
  <c r="G104" i="12"/>
  <c r="G107" i="12"/>
  <c r="G123" i="12"/>
  <c r="G108" i="12"/>
  <c r="G116" i="12"/>
  <c r="G124" i="12"/>
  <c r="G132" i="12"/>
  <c r="I16" i="12"/>
  <c r="I20" i="12"/>
  <c r="I24" i="12"/>
  <c r="I28" i="12"/>
  <c r="I32" i="12"/>
  <c r="I36" i="12"/>
  <c r="I40" i="12"/>
  <c r="I44" i="12"/>
  <c r="I48" i="12"/>
  <c r="I52" i="12"/>
  <c r="I56" i="12"/>
  <c r="I60" i="12"/>
  <c r="I64" i="12"/>
  <c r="I68" i="12"/>
  <c r="I80" i="12"/>
  <c r="I101" i="12"/>
  <c r="I18" i="12"/>
  <c r="I23" i="12"/>
  <c r="I29" i="12"/>
  <c r="I34" i="12"/>
  <c r="I39" i="12"/>
  <c r="I45" i="12"/>
  <c r="I50" i="12"/>
  <c r="I55" i="12"/>
  <c r="I61" i="12"/>
  <c r="I66" i="12"/>
  <c r="I79" i="12"/>
  <c r="I14" i="12"/>
  <c r="I19" i="12"/>
  <c r="I25" i="12"/>
  <c r="I30" i="12"/>
  <c r="I35" i="12"/>
  <c r="I41" i="12"/>
  <c r="I46" i="12"/>
  <c r="I51" i="12"/>
  <c r="I57" i="12"/>
  <c r="I62" i="12"/>
  <c r="I67" i="12"/>
  <c r="I81" i="12"/>
  <c r="I15" i="12"/>
  <c r="I21" i="12"/>
  <c r="I26" i="12"/>
  <c r="I31" i="12"/>
  <c r="I37" i="12"/>
  <c r="I42" i="12"/>
  <c r="I47" i="12"/>
  <c r="I53" i="12"/>
  <c r="I58" i="12"/>
  <c r="I63" i="12"/>
  <c r="I77" i="12"/>
  <c r="I82" i="12"/>
  <c r="I17" i="12"/>
  <c r="I22" i="12"/>
  <c r="I27" i="12"/>
  <c r="I33" i="12"/>
  <c r="I38" i="12"/>
  <c r="I43" i="12"/>
  <c r="I49" i="12"/>
  <c r="I54" i="12"/>
  <c r="I59" i="12"/>
  <c r="I65" i="12"/>
  <c r="I78" i="12"/>
  <c r="G66" i="9"/>
  <c r="F66" i="9" s="1"/>
  <c r="K8" i="12"/>
  <c r="Y18" i="4"/>
  <c r="Z18" i="4" s="1"/>
  <c r="D11" i="10" s="1"/>
  <c r="AH20" i="4"/>
  <c r="AE19" i="4"/>
  <c r="E65" i="9"/>
  <c r="E66" i="9"/>
  <c r="C119" i="12" l="1"/>
  <c r="C135" i="12"/>
  <c r="C122" i="12"/>
  <c r="C83" i="12"/>
  <c r="C113" i="12"/>
  <c r="C72" i="12"/>
  <c r="C138" i="12"/>
  <c r="C71" i="12"/>
  <c r="C70" i="12"/>
  <c r="C85" i="12"/>
  <c r="C132" i="12"/>
  <c r="C136" i="12"/>
  <c r="C131" i="12"/>
  <c r="C130" i="12"/>
  <c r="C118" i="12"/>
  <c r="C73" i="12"/>
  <c r="C92" i="12"/>
  <c r="C84" i="12"/>
  <c r="C123" i="12"/>
  <c r="C128" i="12"/>
  <c r="C116" i="12"/>
  <c r="C120" i="12"/>
  <c r="C114" i="12"/>
  <c r="C90" i="12"/>
  <c r="C76" i="12"/>
  <c r="C89" i="12"/>
  <c r="C124" i="12"/>
  <c r="C137" i="12"/>
  <c r="C139" i="12"/>
  <c r="C111" i="12"/>
  <c r="C115" i="12"/>
  <c r="C87" i="12"/>
  <c r="C91" i="12"/>
  <c r="C74" i="12"/>
  <c r="C140" i="12"/>
  <c r="C129" i="12"/>
  <c r="C117" i="12"/>
  <c r="C121" i="12"/>
  <c r="C134" i="12"/>
  <c r="C109" i="12"/>
  <c r="C106" i="12"/>
  <c r="C88" i="12"/>
  <c r="C86" i="12"/>
  <c r="C75" i="12"/>
  <c r="C69" i="12"/>
  <c r="C133" i="12"/>
  <c r="C112" i="12"/>
  <c r="C108" i="12"/>
  <c r="C107" i="12"/>
  <c r="C127" i="12"/>
  <c r="C105" i="12"/>
  <c r="C125" i="12"/>
  <c r="C126" i="12"/>
  <c r="D91" i="12"/>
  <c r="D90" i="12"/>
  <c r="D70" i="12"/>
  <c r="D76" i="12"/>
  <c r="D74" i="12"/>
  <c r="D85" i="12"/>
  <c r="D89" i="12"/>
  <c r="D88" i="12"/>
  <c r="D86" i="12"/>
  <c r="D75" i="12"/>
  <c r="D69" i="12"/>
  <c r="D73" i="12"/>
  <c r="D87" i="12"/>
  <c r="D92" i="12"/>
  <c r="D83" i="12"/>
  <c r="D84" i="12"/>
  <c r="G19" i="8"/>
  <c r="H19" i="8"/>
  <c r="K91" i="12"/>
  <c r="L91" i="12" s="1"/>
  <c r="K87" i="12"/>
  <c r="K89" i="12"/>
  <c r="K85" i="12"/>
  <c r="L85" i="12" s="1"/>
  <c r="K92" i="12"/>
  <c r="K88" i="12"/>
  <c r="L88" i="12" s="1"/>
  <c r="K84" i="12"/>
  <c r="L84" i="12" s="1"/>
  <c r="K90" i="12"/>
  <c r="K83" i="12"/>
  <c r="K86" i="12"/>
  <c r="L86" i="12" s="1"/>
  <c r="K138" i="12"/>
  <c r="K137" i="12"/>
  <c r="K140" i="12"/>
  <c r="K136" i="12"/>
  <c r="K139" i="12"/>
  <c r="K75" i="12"/>
  <c r="L75" i="12" s="1"/>
  <c r="K70" i="12"/>
  <c r="L70" i="12" s="1"/>
  <c r="K73" i="12"/>
  <c r="L73" i="12" s="1"/>
  <c r="K69" i="12"/>
  <c r="K76" i="12"/>
  <c r="L76" i="12" s="1"/>
  <c r="K72" i="12"/>
  <c r="L72" i="12" s="1"/>
  <c r="K71" i="12"/>
  <c r="L71" i="12" s="1"/>
  <c r="K74" i="12"/>
  <c r="L74" i="12" s="1"/>
  <c r="H11" i="10"/>
  <c r="F20" i="8" s="1"/>
  <c r="K105" i="12"/>
  <c r="K109" i="12"/>
  <c r="K113" i="12"/>
  <c r="K117" i="12"/>
  <c r="K121" i="12"/>
  <c r="K125" i="12"/>
  <c r="K129" i="12"/>
  <c r="K133" i="12"/>
  <c r="K106" i="12"/>
  <c r="K110" i="12"/>
  <c r="K114" i="12"/>
  <c r="K118" i="12"/>
  <c r="K122" i="12"/>
  <c r="K126" i="12"/>
  <c r="K130" i="12"/>
  <c r="K134" i="12"/>
  <c r="K107" i="12"/>
  <c r="K111" i="12"/>
  <c r="K115" i="12"/>
  <c r="K119" i="12"/>
  <c r="K123" i="12"/>
  <c r="K127" i="12"/>
  <c r="K131" i="12"/>
  <c r="K135" i="12"/>
  <c r="K112" i="12"/>
  <c r="K128" i="12"/>
  <c r="K120" i="12"/>
  <c r="K116" i="12"/>
  <c r="K132" i="12"/>
  <c r="K108" i="12"/>
  <c r="K124" i="12"/>
  <c r="K104" i="12"/>
  <c r="K15" i="12"/>
  <c r="K19" i="12"/>
  <c r="K23" i="12"/>
  <c r="K27" i="12"/>
  <c r="K31" i="12"/>
  <c r="K35" i="12"/>
  <c r="K39" i="12"/>
  <c r="K43" i="12"/>
  <c r="K47" i="12"/>
  <c r="K51" i="12"/>
  <c r="K55" i="12"/>
  <c r="K59" i="12"/>
  <c r="K63" i="12"/>
  <c r="K67" i="12"/>
  <c r="K79" i="12"/>
  <c r="K17" i="12"/>
  <c r="K22" i="12"/>
  <c r="K28" i="12"/>
  <c r="K33" i="12"/>
  <c r="K38" i="12"/>
  <c r="K44" i="12"/>
  <c r="K49" i="12"/>
  <c r="K54" i="12"/>
  <c r="K60" i="12"/>
  <c r="K65" i="12"/>
  <c r="K78" i="12"/>
  <c r="K101" i="12"/>
  <c r="K18" i="12"/>
  <c r="K24" i="12"/>
  <c r="K29" i="12"/>
  <c r="K34" i="12"/>
  <c r="K40" i="12"/>
  <c r="K45" i="12"/>
  <c r="K50" i="12"/>
  <c r="K56" i="12"/>
  <c r="K61" i="12"/>
  <c r="K66" i="12"/>
  <c r="K80" i="12"/>
  <c r="K14" i="12"/>
  <c r="K20" i="12"/>
  <c r="K25" i="12"/>
  <c r="K30" i="12"/>
  <c r="K36" i="12"/>
  <c r="K41" i="12"/>
  <c r="K46" i="12"/>
  <c r="K52" i="12"/>
  <c r="K57" i="12"/>
  <c r="K62" i="12"/>
  <c r="K68" i="12"/>
  <c r="K81" i="12"/>
  <c r="K16" i="12"/>
  <c r="K21" i="12"/>
  <c r="K26" i="12"/>
  <c r="K32" i="12"/>
  <c r="K37" i="12"/>
  <c r="K42" i="12"/>
  <c r="K48" i="12"/>
  <c r="K53" i="12"/>
  <c r="K58" i="12"/>
  <c r="K64" i="12"/>
  <c r="K77" i="12"/>
  <c r="K82" i="12"/>
  <c r="M8" i="12"/>
  <c r="Y19" i="4"/>
  <c r="Z19" i="4" s="1"/>
  <c r="D12" i="10" s="1"/>
  <c r="AH21" i="4"/>
  <c r="AE20" i="4"/>
  <c r="M17" i="12" l="1"/>
  <c r="M21" i="12"/>
  <c r="M25" i="12"/>
  <c r="M29" i="12"/>
  <c r="M33" i="12"/>
  <c r="M37" i="12"/>
  <c r="M41" i="12"/>
  <c r="M45" i="12"/>
  <c r="M49" i="12"/>
  <c r="M53" i="12"/>
  <c r="M57" i="12"/>
  <c r="M61" i="12"/>
  <c r="M65" i="12"/>
  <c r="M69" i="12"/>
  <c r="M73" i="12"/>
  <c r="M77" i="12"/>
  <c r="M81" i="12"/>
  <c r="M85" i="12"/>
  <c r="M89" i="12"/>
  <c r="M18" i="12"/>
  <c r="M22" i="12"/>
  <c r="M26" i="12"/>
  <c r="M30" i="12"/>
  <c r="M34" i="12"/>
  <c r="M38" i="12"/>
  <c r="M42" i="12"/>
  <c r="M46" i="12"/>
  <c r="M50" i="12"/>
  <c r="M54" i="12"/>
  <c r="M58" i="12"/>
  <c r="M62" i="12"/>
  <c r="M66" i="12"/>
  <c r="M70" i="12"/>
  <c r="M74" i="12"/>
  <c r="M78" i="12"/>
  <c r="M82" i="12"/>
  <c r="M86" i="12"/>
  <c r="M90" i="12"/>
  <c r="M15" i="12"/>
  <c r="M23" i="12"/>
  <c r="M31" i="12"/>
  <c r="M39" i="12"/>
  <c r="M47" i="12"/>
  <c r="M55" i="12"/>
  <c r="M63" i="12"/>
  <c r="M71" i="12"/>
  <c r="M79" i="12"/>
  <c r="M87" i="12"/>
  <c r="M27" i="12"/>
  <c r="M43" i="12"/>
  <c r="M59" i="12"/>
  <c r="M75" i="12"/>
  <c r="M91" i="12"/>
  <c r="M60" i="12"/>
  <c r="M16" i="12"/>
  <c r="M24" i="12"/>
  <c r="M32" i="12"/>
  <c r="M40" i="12"/>
  <c r="M48" i="12"/>
  <c r="M56" i="12"/>
  <c r="M64" i="12"/>
  <c r="M72" i="12"/>
  <c r="M80" i="12"/>
  <c r="M88" i="12"/>
  <c r="M19" i="12"/>
  <c r="M35" i="12"/>
  <c r="M51" i="12"/>
  <c r="M67" i="12"/>
  <c r="M83" i="12"/>
  <c r="M20" i="12"/>
  <c r="M28" i="12"/>
  <c r="M36" i="12"/>
  <c r="M44" i="12"/>
  <c r="M52" i="12"/>
  <c r="M68" i="12"/>
  <c r="M76" i="12"/>
  <c r="M84" i="12"/>
  <c r="M92" i="12"/>
  <c r="G20" i="8"/>
  <c r="H20" i="8"/>
  <c r="L89" i="12"/>
  <c r="L90" i="12"/>
  <c r="L87" i="12"/>
  <c r="N89" i="12"/>
  <c r="N85" i="12"/>
  <c r="N87" i="12"/>
  <c r="N83" i="12"/>
  <c r="N90" i="12"/>
  <c r="N86" i="12"/>
  <c r="N92" i="12"/>
  <c r="N88" i="12"/>
  <c r="L83" i="12"/>
  <c r="L92" i="12"/>
  <c r="L69" i="12"/>
  <c r="M140" i="12"/>
  <c r="M136" i="12"/>
  <c r="M139" i="12"/>
  <c r="M138" i="12"/>
  <c r="M137" i="12"/>
  <c r="N72" i="12"/>
  <c r="N71" i="12"/>
  <c r="N74" i="12"/>
  <c r="N70" i="12"/>
  <c r="N73" i="12"/>
  <c r="N69" i="12"/>
  <c r="N76" i="12"/>
  <c r="H12" i="10"/>
  <c r="F21" i="8" s="1"/>
  <c r="M105" i="12"/>
  <c r="M109" i="12"/>
  <c r="M113" i="12"/>
  <c r="M117" i="12"/>
  <c r="M121" i="12"/>
  <c r="M125" i="12"/>
  <c r="M129" i="12"/>
  <c r="M133" i="12"/>
  <c r="M106" i="12"/>
  <c r="M110" i="12"/>
  <c r="M114" i="12"/>
  <c r="M118" i="12"/>
  <c r="M122" i="12"/>
  <c r="M126" i="12"/>
  <c r="M130" i="12"/>
  <c r="M134" i="12"/>
  <c r="M107" i="12"/>
  <c r="M111" i="12"/>
  <c r="M115" i="12"/>
  <c r="M119" i="12"/>
  <c r="M123" i="12"/>
  <c r="M127" i="12"/>
  <c r="M131" i="12"/>
  <c r="M135" i="12"/>
  <c r="M112" i="12"/>
  <c r="M128" i="12"/>
  <c r="M120" i="12"/>
  <c r="M116" i="12"/>
  <c r="M132" i="12"/>
  <c r="M104" i="12"/>
  <c r="M108" i="12"/>
  <c r="M124" i="12"/>
  <c r="C104" i="12"/>
  <c r="C17" i="12"/>
  <c r="C21" i="12"/>
  <c r="C25" i="12"/>
  <c r="C29" i="12"/>
  <c r="C33" i="12"/>
  <c r="C37" i="12"/>
  <c r="C41" i="12"/>
  <c r="C45" i="12"/>
  <c r="C49" i="12"/>
  <c r="C53" i="12"/>
  <c r="C57" i="12"/>
  <c r="C61" i="12"/>
  <c r="C65" i="12"/>
  <c r="C77" i="12"/>
  <c r="C81" i="12"/>
  <c r="C14" i="12"/>
  <c r="C18" i="12"/>
  <c r="C22" i="12"/>
  <c r="C26" i="12"/>
  <c r="C30" i="12"/>
  <c r="C34" i="12"/>
  <c r="C38" i="12"/>
  <c r="C42" i="12"/>
  <c r="C46" i="12"/>
  <c r="C50" i="12"/>
  <c r="C54" i="12"/>
  <c r="C58" i="12"/>
  <c r="C62" i="12"/>
  <c r="C66" i="12"/>
  <c r="C78" i="12"/>
  <c r="C82" i="12"/>
  <c r="C15" i="12"/>
  <c r="C19" i="12"/>
  <c r="C23" i="12"/>
  <c r="C27" i="12"/>
  <c r="C31" i="12"/>
  <c r="C35" i="12"/>
  <c r="C39" i="12"/>
  <c r="C43" i="12"/>
  <c r="C47" i="12"/>
  <c r="C51" i="12"/>
  <c r="C55" i="12"/>
  <c r="C59" i="12"/>
  <c r="C63" i="12"/>
  <c r="C67" i="12"/>
  <c r="C79" i="12"/>
  <c r="C16" i="12"/>
  <c r="C20" i="12"/>
  <c r="C24" i="12"/>
  <c r="C28" i="12"/>
  <c r="C32" i="12"/>
  <c r="C36" i="12"/>
  <c r="C40" i="12"/>
  <c r="C44" i="12"/>
  <c r="C48" i="12"/>
  <c r="C52" i="12"/>
  <c r="C56" i="12"/>
  <c r="C60" i="12"/>
  <c r="C64" i="12"/>
  <c r="C68" i="12"/>
  <c r="C80" i="12"/>
  <c r="C101" i="12"/>
  <c r="M101" i="12"/>
  <c r="M14" i="12"/>
  <c r="O8" i="12"/>
  <c r="Y20" i="4"/>
  <c r="Z20" i="4" s="1"/>
  <c r="D13" i="10" s="1"/>
  <c r="AH22" i="4"/>
  <c r="AE21" i="4"/>
  <c r="H21" i="8" l="1"/>
  <c r="Q8" i="12"/>
  <c r="G21" i="8"/>
  <c r="O91" i="12"/>
  <c r="O87" i="12"/>
  <c r="P87" i="12" s="1"/>
  <c r="O89" i="12"/>
  <c r="O85" i="12"/>
  <c r="O92" i="12"/>
  <c r="P92" i="12" s="1"/>
  <c r="O88" i="12"/>
  <c r="O84" i="12"/>
  <c r="O90" i="12"/>
  <c r="P90" i="12" s="1"/>
  <c r="O86" i="12"/>
  <c r="O83" i="12"/>
  <c r="N91" i="12"/>
  <c r="N84" i="12"/>
  <c r="N75" i="12"/>
  <c r="O138" i="12"/>
  <c r="O137" i="12"/>
  <c r="O140" i="12"/>
  <c r="O136" i="12"/>
  <c r="O139" i="12"/>
  <c r="O75" i="12"/>
  <c r="O73" i="12"/>
  <c r="P73" i="12" s="1"/>
  <c r="O69" i="12"/>
  <c r="P69" i="12" s="1"/>
  <c r="O76" i="12"/>
  <c r="P76" i="12" s="1"/>
  <c r="O72" i="12"/>
  <c r="O71" i="12"/>
  <c r="P71" i="12" s="1"/>
  <c r="O74" i="12"/>
  <c r="P74" i="12" s="1"/>
  <c r="O70" i="12"/>
  <c r="P70" i="12" s="1"/>
  <c r="R101" i="12"/>
  <c r="H13" i="10"/>
  <c r="F22" i="8" s="1"/>
  <c r="O105" i="12"/>
  <c r="O109" i="12"/>
  <c r="O113" i="12"/>
  <c r="O117" i="12"/>
  <c r="O121" i="12"/>
  <c r="O125" i="12"/>
  <c r="O129" i="12"/>
  <c r="O133" i="12"/>
  <c r="O106" i="12"/>
  <c r="O110" i="12"/>
  <c r="O114" i="12"/>
  <c r="O118" i="12"/>
  <c r="O122" i="12"/>
  <c r="O126" i="12"/>
  <c r="O130" i="12"/>
  <c r="O134" i="12"/>
  <c r="O107" i="12"/>
  <c r="O111" i="12"/>
  <c r="O115" i="12"/>
  <c r="O119" i="12"/>
  <c r="O123" i="12"/>
  <c r="O127" i="12"/>
  <c r="O131" i="12"/>
  <c r="O135" i="12"/>
  <c r="O108" i="12"/>
  <c r="O112" i="12"/>
  <c r="O128" i="12"/>
  <c r="O116" i="12"/>
  <c r="O132" i="12"/>
  <c r="O120" i="12"/>
  <c r="O124" i="12"/>
  <c r="O104" i="12"/>
  <c r="O17" i="12"/>
  <c r="O21" i="12"/>
  <c r="O25" i="12"/>
  <c r="O29" i="12"/>
  <c r="O33" i="12"/>
  <c r="O37" i="12"/>
  <c r="O41" i="12"/>
  <c r="O45" i="12"/>
  <c r="O49" i="12"/>
  <c r="O53" i="12"/>
  <c r="O57" i="12"/>
  <c r="O61" i="12"/>
  <c r="O65" i="12"/>
  <c r="O77" i="12"/>
  <c r="O81" i="12"/>
  <c r="O14" i="12"/>
  <c r="O15" i="12"/>
  <c r="O20" i="12"/>
  <c r="O26" i="12"/>
  <c r="O31" i="12"/>
  <c r="O36" i="12"/>
  <c r="O42" i="12"/>
  <c r="O47" i="12"/>
  <c r="O52" i="12"/>
  <c r="O58" i="12"/>
  <c r="O63" i="12"/>
  <c r="O68" i="12"/>
  <c r="O82" i="12"/>
  <c r="O16" i="12"/>
  <c r="O22" i="12"/>
  <c r="O27" i="12"/>
  <c r="O32" i="12"/>
  <c r="O38" i="12"/>
  <c r="O43" i="12"/>
  <c r="O48" i="12"/>
  <c r="O54" i="12"/>
  <c r="O59" i="12"/>
  <c r="O64" i="12"/>
  <c r="O78" i="12"/>
  <c r="O18" i="12"/>
  <c r="O23" i="12"/>
  <c r="O28" i="12"/>
  <c r="O34" i="12"/>
  <c r="O39" i="12"/>
  <c r="O44" i="12"/>
  <c r="O50" i="12"/>
  <c r="O55" i="12"/>
  <c r="O60" i="12"/>
  <c r="O66" i="12"/>
  <c r="O79" i="12"/>
  <c r="O101" i="12"/>
  <c r="O19" i="12"/>
  <c r="O24" i="12"/>
  <c r="O30" i="12"/>
  <c r="O35" i="12"/>
  <c r="O40" i="12"/>
  <c r="O46" i="12"/>
  <c r="O51" i="12"/>
  <c r="O56" i="12"/>
  <c r="O62" i="12"/>
  <c r="O67" i="12"/>
  <c r="O80" i="12"/>
  <c r="Y21" i="4"/>
  <c r="Z21" i="4" s="1"/>
  <c r="D14" i="10" s="1"/>
  <c r="AH23" i="4"/>
  <c r="AE22" i="4"/>
  <c r="P75" i="12" l="1"/>
  <c r="P88" i="12"/>
  <c r="P91" i="12"/>
  <c r="P85" i="12"/>
  <c r="P84" i="12"/>
  <c r="P89" i="12"/>
  <c r="H22" i="8"/>
  <c r="R92" i="12"/>
  <c r="Q107" i="12"/>
  <c r="Q111" i="12"/>
  <c r="Q115" i="12"/>
  <c r="Q119" i="12"/>
  <c r="Q123" i="12"/>
  <c r="Q127" i="12"/>
  <c r="Q131" i="12"/>
  <c r="Q135" i="12"/>
  <c r="Q139" i="12"/>
  <c r="Q108" i="12"/>
  <c r="Q113" i="12"/>
  <c r="Q118" i="12"/>
  <c r="Q124" i="12"/>
  <c r="Q129" i="12"/>
  <c r="Q134" i="12"/>
  <c r="Q140" i="12"/>
  <c r="Q109" i="12"/>
  <c r="Q114" i="12"/>
  <c r="Q120" i="12"/>
  <c r="Q125" i="12"/>
  <c r="Q130" i="12"/>
  <c r="Q136" i="12"/>
  <c r="Q104" i="12"/>
  <c r="Q105" i="12"/>
  <c r="Q116" i="12"/>
  <c r="Q126" i="12"/>
  <c r="Q137" i="12"/>
  <c r="Q16" i="12"/>
  <c r="Q20" i="12"/>
  <c r="Q24" i="12"/>
  <c r="Q28" i="12"/>
  <c r="Q32" i="12"/>
  <c r="Q36" i="12"/>
  <c r="Q40" i="12"/>
  <c r="Q44" i="12"/>
  <c r="Q48" i="12"/>
  <c r="Q52" i="12"/>
  <c r="Q56" i="12"/>
  <c r="Q60" i="12"/>
  <c r="Q64" i="12"/>
  <c r="Q68" i="12"/>
  <c r="Q72" i="12"/>
  <c r="Q76" i="12"/>
  <c r="Q80" i="12"/>
  <c r="Q84" i="12"/>
  <c r="Q88" i="12"/>
  <c r="Q92" i="12"/>
  <c r="Q106" i="12"/>
  <c r="Q117" i="12"/>
  <c r="Q128" i="12"/>
  <c r="Q138" i="12"/>
  <c r="Q17" i="12"/>
  <c r="Q21" i="12"/>
  <c r="Q25" i="12"/>
  <c r="Q29" i="12"/>
  <c r="Q33" i="12"/>
  <c r="Q37" i="12"/>
  <c r="Q41" i="12"/>
  <c r="Q45" i="12"/>
  <c r="Q49" i="12"/>
  <c r="Q53" i="12"/>
  <c r="Q57" i="12"/>
  <c r="Q61" i="12"/>
  <c r="Q65" i="12"/>
  <c r="Q69" i="12"/>
  <c r="Q73" i="12"/>
  <c r="Q77" i="12"/>
  <c r="Q81" i="12"/>
  <c r="Q85" i="12"/>
  <c r="Q89" i="12"/>
  <c r="Q14" i="12"/>
  <c r="Q110" i="12"/>
  <c r="Q121" i="12"/>
  <c r="Q132" i="12"/>
  <c r="Q122" i="12"/>
  <c r="Q22" i="12"/>
  <c r="Q30" i="12"/>
  <c r="Q38" i="12"/>
  <c r="Q46" i="12"/>
  <c r="Q54" i="12"/>
  <c r="Q62" i="12"/>
  <c r="Q70" i="12"/>
  <c r="Q78" i="12"/>
  <c r="Q86" i="12"/>
  <c r="Q18" i="12"/>
  <c r="Q34" i="12"/>
  <c r="Q50" i="12"/>
  <c r="Q66" i="12"/>
  <c r="Q90" i="12"/>
  <c r="Q133" i="12"/>
  <c r="Q15" i="12"/>
  <c r="Q23" i="12"/>
  <c r="Q31" i="12"/>
  <c r="Q39" i="12"/>
  <c r="Q47" i="12"/>
  <c r="Q55" i="12"/>
  <c r="Q63" i="12"/>
  <c r="Q71" i="12"/>
  <c r="Q79" i="12"/>
  <c r="Q87" i="12"/>
  <c r="Q26" i="12"/>
  <c r="Q42" i="12"/>
  <c r="Q58" i="12"/>
  <c r="Q74" i="12"/>
  <c r="Q82" i="12"/>
  <c r="Q112" i="12"/>
  <c r="Q19" i="12"/>
  <c r="Q27" i="12"/>
  <c r="Q35" i="12"/>
  <c r="Q43" i="12"/>
  <c r="Q51" i="12"/>
  <c r="Q59" i="12"/>
  <c r="Q67" i="12"/>
  <c r="Q75" i="12"/>
  <c r="Q83" i="12"/>
  <c r="Q91" i="12"/>
  <c r="R67" i="12"/>
  <c r="R59" i="12"/>
  <c r="R42" i="12"/>
  <c r="R61" i="12"/>
  <c r="R71" i="12"/>
  <c r="R73" i="12"/>
  <c r="R76" i="12"/>
  <c r="R44" i="12"/>
  <c r="R79" i="12"/>
  <c r="R63" i="12"/>
  <c r="R80" i="12"/>
  <c r="R65" i="12"/>
  <c r="R75" i="12"/>
  <c r="R48" i="12"/>
  <c r="R54" i="12"/>
  <c r="R51" i="12"/>
  <c r="R49" i="12"/>
  <c r="R74" i="12"/>
  <c r="R91" i="12"/>
  <c r="R83" i="12"/>
  <c r="Q101" i="12"/>
  <c r="R43" i="12"/>
  <c r="R58" i="12"/>
  <c r="R46" i="12"/>
  <c r="R45" i="12"/>
  <c r="R85" i="12"/>
  <c r="R84" i="12"/>
  <c r="R89" i="12"/>
  <c r="G22" i="8"/>
  <c r="R66" i="12"/>
  <c r="R60" i="12"/>
  <c r="R82" i="12"/>
  <c r="R52" i="12"/>
  <c r="R62" i="12"/>
  <c r="R81" i="12"/>
  <c r="R57" i="12"/>
  <c r="R41" i="12"/>
  <c r="R70" i="12"/>
  <c r="R87" i="12"/>
  <c r="R88" i="12"/>
  <c r="R90" i="12"/>
  <c r="S8" i="12"/>
  <c r="R78" i="12"/>
  <c r="R55" i="12"/>
  <c r="R64" i="12"/>
  <c r="R50" i="12"/>
  <c r="R68" i="12"/>
  <c r="R47" i="12"/>
  <c r="R56" i="12"/>
  <c r="R77" i="12"/>
  <c r="R53" i="12"/>
  <c r="R69" i="12"/>
  <c r="R72" i="12"/>
  <c r="R86" i="12"/>
  <c r="P83" i="12"/>
  <c r="P86" i="12"/>
  <c r="P72" i="12"/>
  <c r="H14" i="10"/>
  <c r="F23" i="8" s="1"/>
  <c r="N42" i="12"/>
  <c r="J42" i="12"/>
  <c r="N62" i="12"/>
  <c r="J62" i="12"/>
  <c r="N58" i="12"/>
  <c r="J58" i="12"/>
  <c r="N46" i="12"/>
  <c r="J46" i="12"/>
  <c r="N51" i="12"/>
  <c r="J51" i="12"/>
  <c r="D51" i="12"/>
  <c r="H51" i="12"/>
  <c r="F51" i="12"/>
  <c r="L51" i="12"/>
  <c r="D46" i="12"/>
  <c r="F46" i="12"/>
  <c r="H46" i="12"/>
  <c r="L46" i="12"/>
  <c r="D42" i="12"/>
  <c r="F42" i="12"/>
  <c r="H42" i="12"/>
  <c r="L42" i="12"/>
  <c r="H62" i="12"/>
  <c r="L62" i="12"/>
  <c r="D58" i="12"/>
  <c r="H58" i="12"/>
  <c r="F58" i="12"/>
  <c r="L58" i="12"/>
  <c r="P46" i="12"/>
  <c r="P42" i="12"/>
  <c r="P58" i="12"/>
  <c r="P62" i="12"/>
  <c r="P51" i="12"/>
  <c r="Y22" i="4"/>
  <c r="Z22" i="4" s="1"/>
  <c r="D15" i="10" s="1"/>
  <c r="AH24" i="4"/>
  <c r="AE23" i="4"/>
  <c r="H23" i="8" l="1"/>
  <c r="T90" i="12"/>
  <c r="S108" i="12"/>
  <c r="S112" i="12"/>
  <c r="S116" i="12"/>
  <c r="S120" i="12"/>
  <c r="S124" i="12"/>
  <c r="S128" i="12"/>
  <c r="S132" i="12"/>
  <c r="S136" i="12"/>
  <c r="S140" i="12"/>
  <c r="S107" i="12"/>
  <c r="S113" i="12"/>
  <c r="S118" i="12"/>
  <c r="S123" i="12"/>
  <c r="S129" i="12"/>
  <c r="S134" i="12"/>
  <c r="S139" i="12"/>
  <c r="S109" i="12"/>
  <c r="S114" i="12"/>
  <c r="S119" i="12"/>
  <c r="S125" i="12"/>
  <c r="S130" i="12"/>
  <c r="S135" i="12"/>
  <c r="S104" i="12"/>
  <c r="S110" i="12"/>
  <c r="S121" i="12"/>
  <c r="S131" i="12"/>
  <c r="S15" i="12"/>
  <c r="S19" i="12"/>
  <c r="S23" i="12"/>
  <c r="S27" i="12"/>
  <c r="S31" i="12"/>
  <c r="S35" i="12"/>
  <c r="S39" i="12"/>
  <c r="S43" i="12"/>
  <c r="S47" i="12"/>
  <c r="S51" i="12"/>
  <c r="S55" i="12"/>
  <c r="S59" i="12"/>
  <c r="S63" i="12"/>
  <c r="S67" i="12"/>
  <c r="S71" i="12"/>
  <c r="S75" i="12"/>
  <c r="S79" i="12"/>
  <c r="S83" i="12"/>
  <c r="S87" i="12"/>
  <c r="S91" i="12"/>
  <c r="S111" i="12"/>
  <c r="S122" i="12"/>
  <c r="S133" i="12"/>
  <c r="S16" i="12"/>
  <c r="S20" i="12"/>
  <c r="S24" i="12"/>
  <c r="S28" i="12"/>
  <c r="S32" i="12"/>
  <c r="S36" i="12"/>
  <c r="S40" i="12"/>
  <c r="S44" i="12"/>
  <c r="S48" i="12"/>
  <c r="S52" i="12"/>
  <c r="S56" i="12"/>
  <c r="S60" i="12"/>
  <c r="S64" i="12"/>
  <c r="S68" i="12"/>
  <c r="S72" i="12"/>
  <c r="S76" i="12"/>
  <c r="S80" i="12"/>
  <c r="S84" i="12"/>
  <c r="S88" i="12"/>
  <c r="S92" i="12"/>
  <c r="S105" i="12"/>
  <c r="S115" i="12"/>
  <c r="S126" i="12"/>
  <c r="S137" i="12"/>
  <c r="S117" i="12"/>
  <c r="S21" i="12"/>
  <c r="S29" i="12"/>
  <c r="S37" i="12"/>
  <c r="S45" i="12"/>
  <c r="S53" i="12"/>
  <c r="S61" i="12"/>
  <c r="S69" i="12"/>
  <c r="S77" i="12"/>
  <c r="S85" i="12"/>
  <c r="S14" i="12"/>
  <c r="S138" i="12"/>
  <c r="S17" i="12"/>
  <c r="S25" i="12"/>
  <c r="S41" i="12"/>
  <c r="S49" i="12"/>
  <c r="S65" i="12"/>
  <c r="S81" i="12"/>
  <c r="S127" i="12"/>
  <c r="S22" i="12"/>
  <c r="S30" i="12"/>
  <c r="S38" i="12"/>
  <c r="S46" i="12"/>
  <c r="S54" i="12"/>
  <c r="S62" i="12"/>
  <c r="S70" i="12"/>
  <c r="S78" i="12"/>
  <c r="S86" i="12"/>
  <c r="S33" i="12"/>
  <c r="S57" i="12"/>
  <c r="S73" i="12"/>
  <c r="S89" i="12"/>
  <c r="S106" i="12"/>
  <c r="S18" i="12"/>
  <c r="S26" i="12"/>
  <c r="S34" i="12"/>
  <c r="S42" i="12"/>
  <c r="S50" i="12"/>
  <c r="S58" i="12"/>
  <c r="S66" i="12"/>
  <c r="S74" i="12"/>
  <c r="S82" i="12"/>
  <c r="S90" i="12"/>
  <c r="T91" i="12"/>
  <c r="T79" i="12"/>
  <c r="T58" i="12"/>
  <c r="T86" i="12"/>
  <c r="T48" i="12"/>
  <c r="T41" i="12"/>
  <c r="T42" i="12"/>
  <c r="T49" i="12"/>
  <c r="T73" i="12"/>
  <c r="T54" i="12"/>
  <c r="T50" i="12"/>
  <c r="T72" i="12"/>
  <c r="U8" i="12"/>
  <c r="T77" i="12"/>
  <c r="T82" i="12"/>
  <c r="T57" i="12"/>
  <c r="T64" i="12"/>
  <c r="T89" i="12"/>
  <c r="T47" i="12"/>
  <c r="T45" i="12"/>
  <c r="T44" i="12"/>
  <c r="T84" i="12"/>
  <c r="S101" i="12"/>
  <c r="T71" i="12"/>
  <c r="T92" i="12"/>
  <c r="T43" i="12"/>
  <c r="T63" i="12"/>
  <c r="T59" i="12"/>
  <c r="T66" i="12"/>
  <c r="T60" i="12"/>
  <c r="T70" i="12"/>
  <c r="T87" i="12"/>
  <c r="G23" i="8"/>
  <c r="T65" i="12"/>
  <c r="T53" i="12"/>
  <c r="T78" i="12"/>
  <c r="T81" i="12"/>
  <c r="T51" i="12"/>
  <c r="T61" i="12"/>
  <c r="T80" i="12"/>
  <c r="T56" i="12"/>
  <c r="T75" i="12"/>
  <c r="T74" i="12"/>
  <c r="T88" i="12"/>
  <c r="T85" i="12"/>
  <c r="T67" i="12"/>
  <c r="T46" i="12"/>
  <c r="T55" i="12"/>
  <c r="T68" i="12"/>
  <c r="T52" i="12"/>
  <c r="T69" i="12"/>
  <c r="T76" i="12"/>
  <c r="T83" i="12"/>
  <c r="H15" i="10"/>
  <c r="F24" i="8" s="1"/>
  <c r="N56" i="12"/>
  <c r="J56" i="12"/>
  <c r="N60" i="12"/>
  <c r="J60" i="12"/>
  <c r="N61" i="12"/>
  <c r="J61" i="12"/>
  <c r="N47" i="12"/>
  <c r="J47" i="12"/>
  <c r="N64" i="12"/>
  <c r="J64" i="12"/>
  <c r="N45" i="12"/>
  <c r="J45" i="12"/>
  <c r="N54" i="12"/>
  <c r="J54" i="12"/>
  <c r="N65" i="12"/>
  <c r="J65" i="12"/>
  <c r="N68" i="12"/>
  <c r="J68" i="12"/>
  <c r="N43" i="12"/>
  <c r="J43" i="12"/>
  <c r="P44" i="12"/>
  <c r="N44" i="12"/>
  <c r="P55" i="12"/>
  <c r="N55" i="12"/>
  <c r="P50" i="12"/>
  <c r="N50" i="12"/>
  <c r="P49" i="12"/>
  <c r="N49" i="12"/>
  <c r="P57" i="12"/>
  <c r="N57" i="12"/>
  <c r="P52" i="12"/>
  <c r="N52" i="12"/>
  <c r="P53" i="12"/>
  <c r="N53" i="12"/>
  <c r="P59" i="12"/>
  <c r="N59" i="12"/>
  <c r="P67" i="12"/>
  <c r="N67" i="12"/>
  <c r="P48" i="12"/>
  <c r="N48" i="12"/>
  <c r="P63" i="12"/>
  <c r="N63" i="12"/>
  <c r="P41" i="12"/>
  <c r="N41" i="12"/>
  <c r="P66" i="12"/>
  <c r="N66" i="12"/>
  <c r="D65" i="12"/>
  <c r="F65" i="12"/>
  <c r="H65" i="12"/>
  <c r="L65" i="12"/>
  <c r="D68" i="12"/>
  <c r="H68" i="12"/>
  <c r="F68" i="12"/>
  <c r="L68" i="12"/>
  <c r="H63" i="12"/>
  <c r="L63" i="12"/>
  <c r="D43" i="12"/>
  <c r="F43" i="12"/>
  <c r="H43" i="12"/>
  <c r="L43" i="12"/>
  <c r="D44" i="12"/>
  <c r="H44" i="12"/>
  <c r="F44" i="12"/>
  <c r="L44" i="12"/>
  <c r="P65" i="12"/>
  <c r="P43" i="12"/>
  <c r="D47" i="12"/>
  <c r="H47" i="12"/>
  <c r="F47" i="12"/>
  <c r="L47" i="12"/>
  <c r="D66" i="12"/>
  <c r="H66" i="12"/>
  <c r="F66" i="12"/>
  <c r="L66" i="12"/>
  <c r="D48" i="12"/>
  <c r="F48" i="12"/>
  <c r="H48" i="12"/>
  <c r="L48" i="12"/>
  <c r="H64" i="12"/>
  <c r="L64" i="12"/>
  <c r="D60" i="12"/>
  <c r="H60" i="12"/>
  <c r="F60" i="12"/>
  <c r="L60" i="12"/>
  <c r="H45" i="12"/>
  <c r="L45" i="12"/>
  <c r="H55" i="12"/>
  <c r="L55" i="12"/>
  <c r="P64" i="12"/>
  <c r="P47" i="12"/>
  <c r="P45" i="12"/>
  <c r="H41" i="12"/>
  <c r="L41" i="12"/>
  <c r="D50" i="12"/>
  <c r="H50" i="12"/>
  <c r="F50" i="12"/>
  <c r="L50" i="12"/>
  <c r="D49" i="12"/>
  <c r="H49" i="12"/>
  <c r="F49" i="12"/>
  <c r="L49" i="12"/>
  <c r="D54" i="12"/>
  <c r="H54" i="12"/>
  <c r="F54" i="12"/>
  <c r="L54" i="12"/>
  <c r="H61" i="12"/>
  <c r="L61" i="12"/>
  <c r="D56" i="12"/>
  <c r="F56" i="12"/>
  <c r="H56" i="12"/>
  <c r="L56" i="12"/>
  <c r="D57" i="12"/>
  <c r="F57" i="12"/>
  <c r="H57" i="12"/>
  <c r="L57" i="12"/>
  <c r="D52" i="12"/>
  <c r="F52" i="12"/>
  <c r="H52" i="12"/>
  <c r="L52" i="12"/>
  <c r="D53" i="12"/>
  <c r="H53" i="12"/>
  <c r="F53" i="12"/>
  <c r="L53" i="12"/>
  <c r="D59" i="12"/>
  <c r="H59" i="12"/>
  <c r="F59" i="12"/>
  <c r="L59" i="12"/>
  <c r="D67" i="12"/>
  <c r="H67" i="12"/>
  <c r="F67" i="12"/>
  <c r="L67" i="12"/>
  <c r="P60" i="12"/>
  <c r="P68" i="12"/>
  <c r="P61" i="12"/>
  <c r="P54" i="12"/>
  <c r="P56" i="12"/>
  <c r="Y23" i="4"/>
  <c r="Z23" i="4" s="1"/>
  <c r="D16" i="10" s="1"/>
  <c r="AH25" i="4"/>
  <c r="AE24" i="4"/>
  <c r="T101" i="12" l="1"/>
  <c r="U105" i="12"/>
  <c r="U109" i="12"/>
  <c r="U113" i="12"/>
  <c r="U117" i="12"/>
  <c r="U121" i="12"/>
  <c r="U125" i="12"/>
  <c r="U129" i="12"/>
  <c r="U133" i="12"/>
  <c r="U137" i="12"/>
  <c r="U104" i="12"/>
  <c r="U107" i="12"/>
  <c r="U112" i="12"/>
  <c r="U118" i="12"/>
  <c r="U123" i="12"/>
  <c r="U128" i="12"/>
  <c r="U134" i="12"/>
  <c r="U139" i="12"/>
  <c r="U108" i="12"/>
  <c r="U114" i="12"/>
  <c r="U119" i="12"/>
  <c r="U124" i="12"/>
  <c r="U130" i="12"/>
  <c r="U135" i="12"/>
  <c r="U140" i="12"/>
  <c r="U115" i="12"/>
  <c r="U126" i="12"/>
  <c r="U136" i="12"/>
  <c r="U18" i="12"/>
  <c r="U22" i="12"/>
  <c r="U26" i="12"/>
  <c r="U30" i="12"/>
  <c r="U34" i="12"/>
  <c r="U38" i="12"/>
  <c r="U42" i="12"/>
  <c r="U46" i="12"/>
  <c r="U50" i="12"/>
  <c r="U54" i="12"/>
  <c r="U58" i="12"/>
  <c r="U62" i="12"/>
  <c r="U66" i="12"/>
  <c r="U70" i="12"/>
  <c r="U74" i="12"/>
  <c r="U78" i="12"/>
  <c r="U82" i="12"/>
  <c r="U86" i="12"/>
  <c r="AL86" i="12" s="1"/>
  <c r="U90" i="12"/>
  <c r="AL90" i="12" s="1"/>
  <c r="U106" i="12"/>
  <c r="U116" i="12"/>
  <c r="U127" i="12"/>
  <c r="U138" i="12"/>
  <c r="U15" i="12"/>
  <c r="U19" i="12"/>
  <c r="U23" i="12"/>
  <c r="U27" i="12"/>
  <c r="U31" i="12"/>
  <c r="U35" i="12"/>
  <c r="U39" i="12"/>
  <c r="U43" i="12"/>
  <c r="U47" i="12"/>
  <c r="U51" i="12"/>
  <c r="U55" i="12"/>
  <c r="U59" i="12"/>
  <c r="U63" i="12"/>
  <c r="U67" i="12"/>
  <c r="U71" i="12"/>
  <c r="U75" i="12"/>
  <c r="U79" i="12"/>
  <c r="U83" i="12"/>
  <c r="U87" i="12"/>
  <c r="AM87" i="12" s="1"/>
  <c r="U91" i="12"/>
  <c r="AL91" i="12" s="1"/>
  <c r="U110" i="12"/>
  <c r="U120" i="12"/>
  <c r="U131" i="12"/>
  <c r="U111" i="12"/>
  <c r="U20" i="12"/>
  <c r="U28" i="12"/>
  <c r="U36" i="12"/>
  <c r="U44" i="12"/>
  <c r="U52" i="12"/>
  <c r="U60" i="12"/>
  <c r="U68" i="12"/>
  <c r="U76" i="12"/>
  <c r="U84" i="12"/>
  <c r="AL84" i="12" s="1"/>
  <c r="U92" i="12"/>
  <c r="AM92" i="12" s="1"/>
  <c r="U132" i="12"/>
  <c r="U16" i="12"/>
  <c r="U24" i="12"/>
  <c r="U32" i="12"/>
  <c r="U40" i="12"/>
  <c r="U56" i="12"/>
  <c r="U64" i="12"/>
  <c r="U72" i="12"/>
  <c r="U80" i="12"/>
  <c r="U122" i="12"/>
  <c r="U21" i="12"/>
  <c r="U29" i="12"/>
  <c r="U37" i="12"/>
  <c r="U45" i="12"/>
  <c r="U53" i="12"/>
  <c r="U61" i="12"/>
  <c r="U69" i="12"/>
  <c r="U77" i="12"/>
  <c r="U85" i="12"/>
  <c r="U14" i="12"/>
  <c r="U48" i="12"/>
  <c r="U88" i="12"/>
  <c r="AL88" i="12" s="1"/>
  <c r="U17" i="12"/>
  <c r="U25" i="12"/>
  <c r="U33" i="12"/>
  <c r="U41" i="12"/>
  <c r="U49" i="12"/>
  <c r="U57" i="12"/>
  <c r="U65" i="12"/>
  <c r="U73" i="12"/>
  <c r="U81" i="12"/>
  <c r="U89" i="12"/>
  <c r="H24" i="8"/>
  <c r="T62" i="12"/>
  <c r="V74" i="12"/>
  <c r="V66" i="12"/>
  <c r="V57" i="12"/>
  <c r="V78" i="12"/>
  <c r="B90" i="12"/>
  <c r="V50" i="12"/>
  <c r="V54" i="12"/>
  <c r="V43" i="12"/>
  <c r="V69" i="12"/>
  <c r="V89" i="12"/>
  <c r="V58" i="12"/>
  <c r="V42" i="12"/>
  <c r="V49" i="12"/>
  <c r="V79" i="12"/>
  <c r="V73" i="12"/>
  <c r="V91" i="12"/>
  <c r="V53" i="12"/>
  <c r="V62" i="12"/>
  <c r="V80" i="12"/>
  <c r="U101" i="12"/>
  <c r="V59" i="12"/>
  <c r="V72" i="12"/>
  <c r="V85" i="12"/>
  <c r="B92" i="12"/>
  <c r="V77" i="12"/>
  <c r="V81" i="12"/>
  <c r="V52" i="12"/>
  <c r="V61" i="12"/>
  <c r="V65" i="12"/>
  <c r="V44" i="12"/>
  <c r="V67" i="12"/>
  <c r="V51" i="12"/>
  <c r="V75" i="12"/>
  <c r="V76" i="12"/>
  <c r="B84" i="12"/>
  <c r="V83" i="12"/>
  <c r="V82" i="12"/>
  <c r="V48" i="12"/>
  <c r="V68" i="12"/>
  <c r="V46" i="12"/>
  <c r="V56" i="12"/>
  <c r="V60" i="12"/>
  <c r="V47" i="12"/>
  <c r="V70" i="12"/>
  <c r="V71" i="12"/>
  <c r="B86" i="12"/>
  <c r="V88" i="12"/>
  <c r="W8" i="12"/>
  <c r="G24" i="8"/>
  <c r="H16" i="10"/>
  <c r="F25" i="8" s="1"/>
  <c r="V87" i="12"/>
  <c r="B87" i="12"/>
  <c r="Y24" i="4"/>
  <c r="Z24" i="4" s="1"/>
  <c r="D17" i="10" s="1"/>
  <c r="AH26" i="4"/>
  <c r="AE25" i="4"/>
  <c r="AL87" i="12" l="1"/>
  <c r="AO87" i="12" s="1"/>
  <c r="AM86" i="12"/>
  <c r="AO86" i="12" s="1"/>
  <c r="V101" i="12"/>
  <c r="AM84" i="12"/>
  <c r="AN84" i="12" s="1"/>
  <c r="AL92" i="12"/>
  <c r="AL89" i="12"/>
  <c r="AM89" i="12"/>
  <c r="AM91" i="12"/>
  <c r="AO91" i="12" s="1"/>
  <c r="AM88" i="12"/>
  <c r="AN88" i="12" s="1"/>
  <c r="AM90" i="12"/>
  <c r="AO90" i="12" s="1"/>
  <c r="AL85" i="12"/>
  <c r="AM85" i="12"/>
  <c r="H25" i="8"/>
  <c r="W106" i="12"/>
  <c r="W110" i="12"/>
  <c r="W114" i="12"/>
  <c r="W118" i="12"/>
  <c r="W122" i="12"/>
  <c r="W126" i="12"/>
  <c r="W130" i="12"/>
  <c r="W134" i="12"/>
  <c r="W138" i="12"/>
  <c r="W107" i="12"/>
  <c r="W112" i="12"/>
  <c r="W117" i="12"/>
  <c r="W123" i="12"/>
  <c r="W128" i="12"/>
  <c r="W133" i="12"/>
  <c r="W139" i="12"/>
  <c r="W108" i="12"/>
  <c r="W113" i="12"/>
  <c r="W119" i="12"/>
  <c r="W124" i="12"/>
  <c r="W129" i="12"/>
  <c r="W135" i="12"/>
  <c r="W140" i="12"/>
  <c r="W109" i="12"/>
  <c r="W120" i="12"/>
  <c r="W131" i="12"/>
  <c r="W104" i="12"/>
  <c r="W16" i="12"/>
  <c r="W20" i="12"/>
  <c r="W24" i="12"/>
  <c r="W28" i="12"/>
  <c r="W32" i="12"/>
  <c r="W36" i="12"/>
  <c r="W40" i="12"/>
  <c r="W44" i="12"/>
  <c r="W48" i="12"/>
  <c r="W52" i="12"/>
  <c r="W56" i="12"/>
  <c r="W60" i="12"/>
  <c r="W64" i="12"/>
  <c r="W68" i="12"/>
  <c r="W72" i="12"/>
  <c r="W76" i="12"/>
  <c r="W80" i="12"/>
  <c r="W14" i="12"/>
  <c r="W111" i="12"/>
  <c r="W121" i="12"/>
  <c r="W132" i="12"/>
  <c r="W17" i="12"/>
  <c r="W21" i="12"/>
  <c r="W25" i="12"/>
  <c r="W29" i="12"/>
  <c r="W33" i="12"/>
  <c r="W37" i="12"/>
  <c r="W41" i="12"/>
  <c r="W45" i="12"/>
  <c r="W49" i="12"/>
  <c r="W53" i="12"/>
  <c r="W57" i="12"/>
  <c r="W61" i="12"/>
  <c r="W65" i="12"/>
  <c r="W69" i="12"/>
  <c r="W73" i="12"/>
  <c r="W77" i="12"/>
  <c r="W81" i="12"/>
  <c r="W115" i="12"/>
  <c r="W125" i="12"/>
  <c r="W136" i="12"/>
  <c r="W105" i="12"/>
  <c r="W18" i="12"/>
  <c r="W26" i="12"/>
  <c r="W34" i="12"/>
  <c r="W42" i="12"/>
  <c r="W50" i="12"/>
  <c r="W58" i="12"/>
  <c r="W66" i="12"/>
  <c r="W74" i="12"/>
  <c r="W82" i="12"/>
  <c r="W127" i="12"/>
  <c r="W22" i="12"/>
  <c r="W30" i="12"/>
  <c r="W38" i="12"/>
  <c r="W46" i="12"/>
  <c r="W62" i="12"/>
  <c r="W70" i="12"/>
  <c r="W78" i="12"/>
  <c r="W116" i="12"/>
  <c r="W19" i="12"/>
  <c r="W27" i="12"/>
  <c r="W35" i="12"/>
  <c r="W43" i="12"/>
  <c r="W51" i="12"/>
  <c r="W59" i="12"/>
  <c r="W67" i="12"/>
  <c r="W75" i="12"/>
  <c r="W83" i="12"/>
  <c r="W54" i="12"/>
  <c r="W137" i="12"/>
  <c r="W15" i="12"/>
  <c r="W23" i="12"/>
  <c r="W31" i="12"/>
  <c r="W39" i="12"/>
  <c r="W47" i="12"/>
  <c r="W55" i="12"/>
  <c r="W63" i="12"/>
  <c r="W71" i="12"/>
  <c r="W79" i="12"/>
  <c r="B91" i="12"/>
  <c r="V92" i="12"/>
  <c r="V55" i="12"/>
  <c r="V63" i="12"/>
  <c r="V41" i="12"/>
  <c r="V45" i="12"/>
  <c r="V64" i="12"/>
  <c r="V84" i="12"/>
  <c r="V86" i="12"/>
  <c r="V90" i="12"/>
  <c r="B89" i="12"/>
  <c r="B85" i="12"/>
  <c r="B88" i="12"/>
  <c r="J63" i="12"/>
  <c r="X79" i="12"/>
  <c r="J55" i="12"/>
  <c r="X77" i="12"/>
  <c r="G25" i="8"/>
  <c r="X78" i="12"/>
  <c r="X81" i="12"/>
  <c r="X82" i="12"/>
  <c r="Y8" i="12"/>
  <c r="X83" i="12"/>
  <c r="W101" i="12"/>
  <c r="X101" i="12" s="1"/>
  <c r="X80" i="12"/>
  <c r="H17" i="10"/>
  <c r="F26" i="8" s="1"/>
  <c r="Y25" i="4"/>
  <c r="Z25" i="4" s="1"/>
  <c r="D18" i="10" s="1"/>
  <c r="AH27" i="4"/>
  <c r="AE26" i="4"/>
  <c r="AN87" i="12" l="1"/>
  <c r="AO84" i="12"/>
  <c r="AN86" i="12"/>
  <c r="AO89" i="12"/>
  <c r="AN89" i="12"/>
  <c r="AO85" i="12"/>
  <c r="AN85" i="12"/>
  <c r="AO88" i="12"/>
  <c r="AN90" i="12"/>
  <c r="AN91" i="12"/>
  <c r="AN92" i="12"/>
  <c r="AO92" i="12"/>
  <c r="J26" i="8"/>
  <c r="L26" i="8"/>
  <c r="H26" i="8"/>
  <c r="Y107" i="12"/>
  <c r="Y111" i="12"/>
  <c r="Y115" i="12"/>
  <c r="Y119" i="12"/>
  <c r="Y123" i="12"/>
  <c r="Y127" i="12"/>
  <c r="Y131" i="12"/>
  <c r="Y135" i="12"/>
  <c r="Y139" i="12"/>
  <c r="Y108" i="12"/>
  <c r="Y112" i="12"/>
  <c r="Y110" i="12"/>
  <c r="Y117" i="12"/>
  <c r="Y122" i="12"/>
  <c r="Y128" i="12"/>
  <c r="Y133" i="12"/>
  <c r="Y138" i="12"/>
  <c r="Y105" i="12"/>
  <c r="Y113" i="12"/>
  <c r="Y118" i="12"/>
  <c r="Y124" i="12"/>
  <c r="Y129" i="12"/>
  <c r="Y134" i="12"/>
  <c r="Y140" i="12"/>
  <c r="Y114" i="12"/>
  <c r="Y125" i="12"/>
  <c r="Y136" i="12"/>
  <c r="Y18" i="12"/>
  <c r="Y22" i="12"/>
  <c r="Y26" i="12"/>
  <c r="Y30" i="12"/>
  <c r="Y34" i="12"/>
  <c r="Y38" i="12"/>
  <c r="Y42" i="12"/>
  <c r="Y46" i="12"/>
  <c r="Y50" i="12"/>
  <c r="Y54" i="12"/>
  <c r="Y58" i="12"/>
  <c r="Y62" i="12"/>
  <c r="Y66" i="12"/>
  <c r="Y70" i="12"/>
  <c r="Y74" i="12"/>
  <c r="Y78" i="12"/>
  <c r="Y82" i="12"/>
  <c r="Y116" i="12"/>
  <c r="Y126" i="12"/>
  <c r="Y137" i="12"/>
  <c r="Y15" i="12"/>
  <c r="Y19" i="12"/>
  <c r="Y23" i="12"/>
  <c r="Y27" i="12"/>
  <c r="Y31" i="12"/>
  <c r="Y35" i="12"/>
  <c r="Y39" i="12"/>
  <c r="Y43" i="12"/>
  <c r="Y47" i="12"/>
  <c r="Y51" i="12"/>
  <c r="Y55" i="12"/>
  <c r="Y59" i="12"/>
  <c r="Y63" i="12"/>
  <c r="Y67" i="12"/>
  <c r="Y71" i="12"/>
  <c r="Y75" i="12"/>
  <c r="Y79" i="12"/>
  <c r="Y83" i="12"/>
  <c r="Y106" i="12"/>
  <c r="Y120" i="12"/>
  <c r="Y130" i="12"/>
  <c r="Y104" i="12"/>
  <c r="Y16" i="12"/>
  <c r="Y20" i="12"/>
  <c r="Y24" i="12"/>
  <c r="Y28" i="12"/>
  <c r="Y32" i="12"/>
  <c r="Y36" i="12"/>
  <c r="Y40" i="12"/>
  <c r="Y44" i="12"/>
  <c r="Y48" i="12"/>
  <c r="Y52" i="12"/>
  <c r="Y56" i="12"/>
  <c r="Y60" i="12"/>
  <c r="Y64" i="12"/>
  <c r="Y68" i="12"/>
  <c r="Y25" i="12"/>
  <c r="Y41" i="12"/>
  <c r="Y57" i="12"/>
  <c r="Y72" i="12"/>
  <c r="Y80" i="12"/>
  <c r="Y121" i="12"/>
  <c r="Y17" i="12"/>
  <c r="Y33" i="12"/>
  <c r="Y49" i="12"/>
  <c r="Y65" i="12"/>
  <c r="Y76" i="12"/>
  <c r="Y14" i="12"/>
  <c r="Y109" i="12"/>
  <c r="Y29" i="12"/>
  <c r="Y45" i="12"/>
  <c r="Y61" i="12"/>
  <c r="Y73" i="12"/>
  <c r="Y81" i="12"/>
  <c r="Y132" i="12"/>
  <c r="Y21" i="12"/>
  <c r="Y37" i="12"/>
  <c r="Y53" i="12"/>
  <c r="Y69" i="12"/>
  <c r="Y77" i="12"/>
  <c r="Z41" i="12"/>
  <c r="Z43" i="12"/>
  <c r="Z45" i="12"/>
  <c r="Z47" i="12"/>
  <c r="Z49" i="12"/>
  <c r="Z51" i="12"/>
  <c r="Z53" i="12"/>
  <c r="Z57" i="12"/>
  <c r="Z59" i="12"/>
  <c r="Z61" i="12"/>
  <c r="Z65" i="12"/>
  <c r="Z67" i="12"/>
  <c r="Z69" i="12"/>
  <c r="Z73" i="12"/>
  <c r="Z75" i="12"/>
  <c r="Z42" i="12"/>
  <c r="Z44" i="12"/>
  <c r="Z46" i="12"/>
  <c r="Z48" i="12"/>
  <c r="Z50" i="12"/>
  <c r="Z52" i="12"/>
  <c r="Z54" i="12"/>
  <c r="Z56" i="12"/>
  <c r="Z58" i="12"/>
  <c r="Z60" i="12"/>
  <c r="Z62" i="12"/>
  <c r="Z64" i="12"/>
  <c r="Z66" i="12"/>
  <c r="Z68" i="12"/>
  <c r="Z70" i="12"/>
  <c r="Z72" i="12"/>
  <c r="Z74" i="12"/>
  <c r="Z76" i="12"/>
  <c r="X53" i="12"/>
  <c r="X76" i="12"/>
  <c r="X60" i="12"/>
  <c r="X44" i="12"/>
  <c r="X75" i="12"/>
  <c r="X73" i="12"/>
  <c r="X59" i="12"/>
  <c r="X51" i="12"/>
  <c r="X43" i="12"/>
  <c r="X74" i="12"/>
  <c r="X66" i="12"/>
  <c r="X58" i="12"/>
  <c r="X50" i="12"/>
  <c r="X42" i="12"/>
  <c r="X63" i="12"/>
  <c r="X52" i="12"/>
  <c r="X71" i="12"/>
  <c r="X69" i="12"/>
  <c r="X57" i="12"/>
  <c r="X49" i="12"/>
  <c r="X41" i="12"/>
  <c r="X72" i="12"/>
  <c r="X64" i="12"/>
  <c r="X56" i="12"/>
  <c r="X48" i="12"/>
  <c r="X61" i="12"/>
  <c r="X45" i="12"/>
  <c r="X68" i="12"/>
  <c r="X67" i="12"/>
  <c r="X65" i="12"/>
  <c r="X55" i="12"/>
  <c r="X47" i="12"/>
  <c r="X70" i="12"/>
  <c r="X62" i="12"/>
  <c r="X54" i="12"/>
  <c r="X46" i="12"/>
  <c r="Y101" i="12"/>
  <c r="AA8" i="12"/>
  <c r="G26" i="8"/>
  <c r="H18" i="10"/>
  <c r="F27" i="8" s="1"/>
  <c r="Y26" i="4"/>
  <c r="Z26" i="4" s="1"/>
  <c r="G28" i="8" s="1"/>
  <c r="AH28" i="4"/>
  <c r="AE27" i="4"/>
  <c r="AA108" i="12" l="1"/>
  <c r="AA112" i="12"/>
  <c r="AA116" i="12"/>
  <c r="AA120" i="12"/>
  <c r="AA124" i="12"/>
  <c r="AA128" i="12"/>
  <c r="AA132" i="12"/>
  <c r="AA136" i="12"/>
  <c r="AB136" i="12" s="1"/>
  <c r="AA140" i="12"/>
  <c r="AA105" i="12"/>
  <c r="AA109" i="12"/>
  <c r="AA113" i="12"/>
  <c r="AA117" i="12"/>
  <c r="AA121" i="12"/>
  <c r="AA125" i="12"/>
  <c r="AA129" i="12"/>
  <c r="AA133" i="12"/>
  <c r="AA137" i="12"/>
  <c r="AB137" i="12" s="1"/>
  <c r="AA104" i="12"/>
  <c r="AA10" i="12" s="1"/>
  <c r="AA107" i="12"/>
  <c r="AA115" i="12"/>
  <c r="AA123" i="12"/>
  <c r="AA131" i="12"/>
  <c r="AA139" i="12"/>
  <c r="AA110" i="12"/>
  <c r="AA118" i="12"/>
  <c r="AA126" i="12"/>
  <c r="AA134" i="12"/>
  <c r="AA15" i="12"/>
  <c r="AA19" i="12"/>
  <c r="AA23" i="12"/>
  <c r="AA27" i="12"/>
  <c r="AA31" i="12"/>
  <c r="AA35" i="12"/>
  <c r="AA39" i="12"/>
  <c r="AA43" i="12"/>
  <c r="AA119" i="12"/>
  <c r="AA135" i="12"/>
  <c r="AA17" i="12"/>
  <c r="AA22" i="12"/>
  <c r="AA28" i="12"/>
  <c r="AA33" i="12"/>
  <c r="AA38" i="12"/>
  <c r="AA44" i="12"/>
  <c r="AA48" i="12"/>
  <c r="AA52" i="12"/>
  <c r="AA56" i="12"/>
  <c r="AA60" i="12"/>
  <c r="AA64" i="12"/>
  <c r="AA68" i="12"/>
  <c r="AA72" i="12"/>
  <c r="AA76" i="12"/>
  <c r="AA80" i="12"/>
  <c r="AA14" i="12"/>
  <c r="AA9" i="12" s="1"/>
  <c r="AA106" i="12"/>
  <c r="AA122" i="12"/>
  <c r="AA138" i="12"/>
  <c r="AA18" i="12"/>
  <c r="AA24" i="12"/>
  <c r="AA29" i="12"/>
  <c r="AA34" i="12"/>
  <c r="AA40" i="12"/>
  <c r="AA45" i="12"/>
  <c r="AA49" i="12"/>
  <c r="AA53" i="12"/>
  <c r="AA57" i="12"/>
  <c r="AA61" i="12"/>
  <c r="AA65" i="12"/>
  <c r="AA69" i="12"/>
  <c r="AA73" i="12"/>
  <c r="AA77" i="12"/>
  <c r="AA81" i="12"/>
  <c r="AA111" i="12"/>
  <c r="AA127" i="12"/>
  <c r="AA20" i="12"/>
  <c r="AA25" i="12"/>
  <c r="AA30" i="12"/>
  <c r="AA36" i="12"/>
  <c r="AA41" i="12"/>
  <c r="AA46" i="12"/>
  <c r="AA50" i="12"/>
  <c r="AA54" i="12"/>
  <c r="AA58" i="12"/>
  <c r="AA62" i="12"/>
  <c r="AA66" i="12"/>
  <c r="AA70" i="12"/>
  <c r="AA74" i="12"/>
  <c r="AA78" i="12"/>
  <c r="AA82" i="12"/>
  <c r="AA130" i="12"/>
  <c r="AA26" i="12"/>
  <c r="AA47" i="12"/>
  <c r="AA63" i="12"/>
  <c r="AA79" i="12"/>
  <c r="AA16" i="12"/>
  <c r="AA37" i="12"/>
  <c r="AA55" i="12"/>
  <c r="AA71" i="12"/>
  <c r="AA32" i="12"/>
  <c r="AA51" i="12"/>
  <c r="AA67" i="12"/>
  <c r="AA83" i="12"/>
  <c r="AA114" i="12"/>
  <c r="AA21" i="12"/>
  <c r="AA42" i="12"/>
  <c r="AA59" i="12"/>
  <c r="AA75" i="12"/>
  <c r="H27" i="8"/>
  <c r="Z71" i="12"/>
  <c r="Z63" i="12"/>
  <c r="Z55" i="12"/>
  <c r="AA101" i="12"/>
  <c r="AB46" i="12"/>
  <c r="AB54" i="12"/>
  <c r="AB62" i="12"/>
  <c r="AB70" i="12"/>
  <c r="AB43" i="12"/>
  <c r="AB51" i="12"/>
  <c r="AB59" i="12"/>
  <c r="AB67" i="12"/>
  <c r="AB75" i="12"/>
  <c r="G27" i="8"/>
  <c r="AC8" i="12"/>
  <c r="AE8" i="12"/>
  <c r="Y27" i="4"/>
  <c r="Z27" i="4" s="1"/>
  <c r="G29" i="8" s="1"/>
  <c r="AE28" i="4"/>
  <c r="L16" i="8" l="1"/>
  <c r="L17" i="8"/>
  <c r="L27" i="8"/>
  <c r="L18" i="8"/>
  <c r="L20" i="8"/>
  <c r="L19" i="8"/>
  <c r="H34" i="8"/>
  <c r="H35" i="8"/>
  <c r="L23" i="8"/>
  <c r="L21" i="8"/>
  <c r="L22" i="8"/>
  <c r="L24" i="8"/>
  <c r="L25" i="8"/>
  <c r="AB14" i="12"/>
  <c r="AB138" i="12"/>
  <c r="AB140" i="12"/>
  <c r="AC105" i="12"/>
  <c r="AC109" i="12"/>
  <c r="AC113" i="12"/>
  <c r="AC117" i="12"/>
  <c r="AC121" i="12"/>
  <c r="AC125" i="12"/>
  <c r="AC129" i="12"/>
  <c r="AC133" i="12"/>
  <c r="AC137" i="12"/>
  <c r="AC104" i="12"/>
  <c r="AC106" i="12"/>
  <c r="AC110" i="12"/>
  <c r="AC114" i="12"/>
  <c r="AC118" i="12"/>
  <c r="AC122" i="12"/>
  <c r="AC126" i="12"/>
  <c r="AC130" i="12"/>
  <c r="AC134" i="12"/>
  <c r="AC138" i="12"/>
  <c r="AC112" i="12"/>
  <c r="AC120" i="12"/>
  <c r="AC128" i="12"/>
  <c r="AC136" i="12"/>
  <c r="AC16" i="12"/>
  <c r="AC20" i="12"/>
  <c r="AC24" i="12"/>
  <c r="AC28" i="12"/>
  <c r="AC32" i="12"/>
  <c r="AC36" i="12"/>
  <c r="AC40" i="12"/>
  <c r="AC44" i="12"/>
  <c r="AC48" i="12"/>
  <c r="AC52" i="12"/>
  <c r="AC56" i="12"/>
  <c r="AC60" i="12"/>
  <c r="AC64" i="12"/>
  <c r="AC68" i="12"/>
  <c r="AC72" i="12"/>
  <c r="AC76" i="12"/>
  <c r="AC80" i="12"/>
  <c r="AC107" i="12"/>
  <c r="AC115" i="12"/>
  <c r="AC123" i="12"/>
  <c r="AC131" i="12"/>
  <c r="AC139" i="12"/>
  <c r="AC17" i="12"/>
  <c r="AC21" i="12"/>
  <c r="AC25" i="12"/>
  <c r="AC29" i="12"/>
  <c r="AC33" i="12"/>
  <c r="AC37" i="12"/>
  <c r="AC41" i="12"/>
  <c r="AC45" i="12"/>
  <c r="AC49" i="12"/>
  <c r="AC53" i="12"/>
  <c r="AC57" i="12"/>
  <c r="AC61" i="12"/>
  <c r="AC65" i="12"/>
  <c r="AC69" i="12"/>
  <c r="AC73" i="12"/>
  <c r="AC77" i="12"/>
  <c r="AC81" i="12"/>
  <c r="AC108" i="12"/>
  <c r="AC124" i="12"/>
  <c r="AC140" i="12"/>
  <c r="AC18" i="12"/>
  <c r="AC26" i="12"/>
  <c r="AC34" i="12"/>
  <c r="AC42" i="12"/>
  <c r="AC50" i="12"/>
  <c r="AC58" i="12"/>
  <c r="AC66" i="12"/>
  <c r="AC74" i="12"/>
  <c r="AC82" i="12"/>
  <c r="AC111" i="12"/>
  <c r="AC127" i="12"/>
  <c r="AC19" i="12"/>
  <c r="AC27" i="12"/>
  <c r="AC35" i="12"/>
  <c r="AC43" i="12"/>
  <c r="AC51" i="12"/>
  <c r="AC59" i="12"/>
  <c r="AC67" i="12"/>
  <c r="AC75" i="12"/>
  <c r="AC83" i="12"/>
  <c r="AC116" i="12"/>
  <c r="AC132" i="12"/>
  <c r="AC22" i="12"/>
  <c r="AC30" i="12"/>
  <c r="AC38" i="12"/>
  <c r="AC46" i="12"/>
  <c r="AC54" i="12"/>
  <c r="AC62" i="12"/>
  <c r="AC70" i="12"/>
  <c r="AC78" i="12"/>
  <c r="AC14" i="12"/>
  <c r="AC39" i="12"/>
  <c r="AC71" i="12"/>
  <c r="AC23" i="12"/>
  <c r="AC55" i="12"/>
  <c r="AC119" i="12"/>
  <c r="AC15" i="12"/>
  <c r="AC47" i="12"/>
  <c r="AC79" i="12"/>
  <c r="AC135" i="12"/>
  <c r="AC31" i="12"/>
  <c r="AC63" i="12"/>
  <c r="AB139" i="12"/>
  <c r="B137" i="12"/>
  <c r="T137" i="12" s="1"/>
  <c r="AB35" i="12"/>
  <c r="AB27" i="12"/>
  <c r="AB19" i="12"/>
  <c r="AB38" i="12"/>
  <c r="AB30" i="12"/>
  <c r="AB22" i="12"/>
  <c r="AD42" i="12"/>
  <c r="AD44" i="12"/>
  <c r="AD48" i="12"/>
  <c r="AD50" i="12"/>
  <c r="AD52" i="12"/>
  <c r="AD54" i="12"/>
  <c r="AD56" i="12"/>
  <c r="AD58" i="12"/>
  <c r="AD60" i="12"/>
  <c r="AD64" i="12"/>
  <c r="AD66" i="12"/>
  <c r="AD68" i="12"/>
  <c r="AD70" i="12"/>
  <c r="AD74" i="12"/>
  <c r="AD76" i="12"/>
  <c r="AD43" i="12"/>
  <c r="AD45" i="12"/>
  <c r="AD47" i="12"/>
  <c r="AD49" i="12"/>
  <c r="AD51" i="12"/>
  <c r="AD53" i="12"/>
  <c r="AD55" i="12"/>
  <c r="AD57" i="12"/>
  <c r="AD59" i="12"/>
  <c r="AD61" i="12"/>
  <c r="AD65" i="12"/>
  <c r="AD69" i="12"/>
  <c r="AD73" i="12"/>
  <c r="AD63" i="12"/>
  <c r="AD67" i="12"/>
  <c r="AD71" i="12"/>
  <c r="AD75" i="12"/>
  <c r="AB58" i="12"/>
  <c r="AB42" i="12"/>
  <c r="AB18" i="12"/>
  <c r="AB71" i="12"/>
  <c r="AB69" i="12"/>
  <c r="AB57" i="12"/>
  <c r="AB49" i="12"/>
  <c r="AB41" i="12"/>
  <c r="AB33" i="12"/>
  <c r="AB25" i="12"/>
  <c r="AB17" i="12"/>
  <c r="AB72" i="12"/>
  <c r="AB64" i="12"/>
  <c r="AB56" i="12"/>
  <c r="AB48" i="12"/>
  <c r="AB40" i="12"/>
  <c r="AB32" i="12"/>
  <c r="AB24" i="12"/>
  <c r="AB16" i="12"/>
  <c r="AB73" i="12"/>
  <c r="AB66" i="12"/>
  <c r="AB50" i="12"/>
  <c r="AB34" i="12"/>
  <c r="AB26" i="12"/>
  <c r="AB65" i="12"/>
  <c r="AB55" i="12"/>
  <c r="AB47" i="12"/>
  <c r="AB39" i="12"/>
  <c r="AB31" i="12"/>
  <c r="AB23" i="12"/>
  <c r="AB15" i="12"/>
  <c r="AB74" i="12"/>
  <c r="AB63" i="12"/>
  <c r="AB61" i="12"/>
  <c r="AB53" i="12"/>
  <c r="AB45" i="12"/>
  <c r="AB37" i="12"/>
  <c r="AB29" i="12"/>
  <c r="AB21" i="12"/>
  <c r="AB76" i="12"/>
  <c r="AB68" i="12"/>
  <c r="AB60" i="12"/>
  <c r="AB52" i="12"/>
  <c r="AB44" i="12"/>
  <c r="AB36" i="12"/>
  <c r="AB28" i="12"/>
  <c r="AB20" i="12"/>
  <c r="AC101" i="12"/>
  <c r="AG8" i="12"/>
  <c r="O29" i="8"/>
  <c r="AE120" i="12"/>
  <c r="AE105" i="12"/>
  <c r="AE121" i="12"/>
  <c r="AE106" i="12"/>
  <c r="AE122" i="12"/>
  <c r="AE104" i="12"/>
  <c r="AE83" i="12"/>
  <c r="AE108" i="12"/>
  <c r="AE124" i="12"/>
  <c r="AE109" i="12"/>
  <c r="AE125" i="12"/>
  <c r="AE110" i="12"/>
  <c r="AE126" i="12"/>
  <c r="AE107" i="12"/>
  <c r="AE81" i="12"/>
  <c r="AE77" i="12"/>
  <c r="AE78" i="12"/>
  <c r="AE112" i="12"/>
  <c r="AE128" i="12"/>
  <c r="AE113" i="12"/>
  <c r="AE129" i="12"/>
  <c r="AE114" i="12"/>
  <c r="AE130" i="12"/>
  <c r="AE111" i="12"/>
  <c r="AE115" i="12"/>
  <c r="AE119" i="12"/>
  <c r="AE123" i="12"/>
  <c r="AE80" i="12"/>
  <c r="AE116" i="12"/>
  <c r="AE132" i="12"/>
  <c r="AE117" i="12"/>
  <c r="AE133" i="12"/>
  <c r="AE118" i="12"/>
  <c r="AE134" i="12"/>
  <c r="AE127" i="12"/>
  <c r="AE131" i="12"/>
  <c r="AE135" i="12"/>
  <c r="AE79" i="12"/>
  <c r="AE101" i="12"/>
  <c r="AE82" i="12"/>
  <c r="Y28" i="4"/>
  <c r="Z28" i="4" s="1"/>
  <c r="G30" i="8" s="1"/>
  <c r="AL124" i="12" l="1"/>
  <c r="AM124" i="12"/>
  <c r="AM126" i="12"/>
  <c r="AL126" i="12"/>
  <c r="AM110" i="12"/>
  <c r="AL110" i="12"/>
  <c r="AM117" i="12"/>
  <c r="AL117" i="12"/>
  <c r="AM132" i="12"/>
  <c r="AL132" i="12"/>
  <c r="AL111" i="12"/>
  <c r="AM111" i="12"/>
  <c r="AL108" i="12"/>
  <c r="AM108" i="12"/>
  <c r="AL123" i="12"/>
  <c r="AM123" i="12"/>
  <c r="AL136" i="12"/>
  <c r="AM136" i="12"/>
  <c r="B138" i="12"/>
  <c r="L138" i="12" s="1"/>
  <c r="AL138" i="12"/>
  <c r="AM138" i="12"/>
  <c r="AM122" i="12"/>
  <c r="AL122" i="12"/>
  <c r="AM106" i="12"/>
  <c r="AL106" i="12"/>
  <c r="AL129" i="12"/>
  <c r="AM129" i="12"/>
  <c r="AM113" i="12"/>
  <c r="AL113" i="12"/>
  <c r="AL127" i="12"/>
  <c r="AM127" i="12"/>
  <c r="AL131" i="12"/>
  <c r="AM131" i="12"/>
  <c r="AM112" i="12"/>
  <c r="AL112" i="12"/>
  <c r="AL133" i="12"/>
  <c r="AM133" i="12"/>
  <c r="AL116" i="12"/>
  <c r="AM116" i="12"/>
  <c r="AM115" i="12"/>
  <c r="AL115" i="12"/>
  <c r="AM128" i="12"/>
  <c r="AL128" i="12"/>
  <c r="AM134" i="12"/>
  <c r="AL134" i="12"/>
  <c r="AL118" i="12"/>
  <c r="AM118" i="12"/>
  <c r="AL125" i="12"/>
  <c r="AM125" i="12"/>
  <c r="AM109" i="12"/>
  <c r="AL109" i="12"/>
  <c r="AL135" i="12"/>
  <c r="AM135" i="12"/>
  <c r="AL119" i="12"/>
  <c r="AM119" i="12"/>
  <c r="AM140" i="12"/>
  <c r="AL140" i="12"/>
  <c r="AL139" i="12"/>
  <c r="AM139" i="12"/>
  <c r="AL107" i="12"/>
  <c r="AM107" i="12"/>
  <c r="AM120" i="12"/>
  <c r="AL120" i="12"/>
  <c r="AM130" i="12"/>
  <c r="AL130" i="12"/>
  <c r="AM114" i="12"/>
  <c r="AL114" i="12"/>
  <c r="AM137" i="12"/>
  <c r="AL137" i="12"/>
  <c r="AM121" i="12"/>
  <c r="AL121" i="12"/>
  <c r="AL105" i="12"/>
  <c r="AM105" i="12"/>
  <c r="AL104" i="12"/>
  <c r="AM104" i="12"/>
  <c r="AL101" i="12"/>
  <c r="AM101" i="12"/>
  <c r="AL75" i="12"/>
  <c r="AM75" i="12"/>
  <c r="AL43" i="12"/>
  <c r="AM43" i="12"/>
  <c r="AL80" i="12"/>
  <c r="AM80" i="12"/>
  <c r="AL48" i="12"/>
  <c r="AM48" i="12"/>
  <c r="AL16" i="12"/>
  <c r="AM16" i="12"/>
  <c r="AL63" i="12"/>
  <c r="AM63" i="12"/>
  <c r="AL47" i="12"/>
  <c r="AM47" i="12"/>
  <c r="AL78" i="12"/>
  <c r="AM78" i="12"/>
  <c r="AL46" i="12"/>
  <c r="AM46" i="12"/>
  <c r="AL67" i="12"/>
  <c r="AM67" i="12"/>
  <c r="AL35" i="12"/>
  <c r="AM35" i="12"/>
  <c r="AL58" i="12"/>
  <c r="AM58" i="12"/>
  <c r="AL26" i="12"/>
  <c r="AM26" i="12"/>
  <c r="AL69" i="12"/>
  <c r="AM69" i="12"/>
  <c r="AL53" i="12"/>
  <c r="AM53" i="12"/>
  <c r="AL37" i="12"/>
  <c r="AM37" i="12"/>
  <c r="AL21" i="12"/>
  <c r="AM21" i="12"/>
  <c r="AL76" i="12"/>
  <c r="AM76" i="12"/>
  <c r="AL60" i="12"/>
  <c r="AM60" i="12"/>
  <c r="AL44" i="12"/>
  <c r="AM44" i="12"/>
  <c r="AL28" i="12"/>
  <c r="AM28" i="12"/>
  <c r="AL55" i="12"/>
  <c r="AM55" i="12"/>
  <c r="AL54" i="12"/>
  <c r="AM54" i="12"/>
  <c r="AL66" i="12"/>
  <c r="AM66" i="12"/>
  <c r="AL25" i="12"/>
  <c r="AM25" i="12"/>
  <c r="AL32" i="12"/>
  <c r="AM32" i="12"/>
  <c r="AL23" i="12"/>
  <c r="AM23" i="12"/>
  <c r="AL31" i="12"/>
  <c r="AM31" i="12"/>
  <c r="AL15" i="12"/>
  <c r="AM15" i="12"/>
  <c r="AL71" i="12"/>
  <c r="AM71" i="12"/>
  <c r="AL70" i="12"/>
  <c r="AM70" i="12"/>
  <c r="AL38" i="12"/>
  <c r="AM38" i="12"/>
  <c r="AL59" i="12"/>
  <c r="AM59" i="12"/>
  <c r="AL27" i="12"/>
  <c r="AM27" i="12"/>
  <c r="AL82" i="12"/>
  <c r="AM82" i="12"/>
  <c r="AL50" i="12"/>
  <c r="AM50" i="12"/>
  <c r="AL18" i="12"/>
  <c r="AM18" i="12"/>
  <c r="AL81" i="12"/>
  <c r="AM81" i="12"/>
  <c r="AL65" i="12"/>
  <c r="AM65" i="12"/>
  <c r="AL49" i="12"/>
  <c r="AM49" i="12"/>
  <c r="AL33" i="12"/>
  <c r="AM33" i="12"/>
  <c r="AL17" i="12"/>
  <c r="AM17" i="12"/>
  <c r="AL72" i="12"/>
  <c r="AM72" i="12"/>
  <c r="AL56" i="12"/>
  <c r="AM56" i="12"/>
  <c r="AL40" i="12"/>
  <c r="AM40" i="12"/>
  <c r="AL24" i="12"/>
  <c r="AM24" i="12"/>
  <c r="AL79" i="12"/>
  <c r="AM79" i="12"/>
  <c r="AL22" i="12"/>
  <c r="AM22" i="12"/>
  <c r="AL34" i="12"/>
  <c r="AM34" i="12"/>
  <c r="AL73" i="12"/>
  <c r="AM73" i="12"/>
  <c r="AL57" i="12"/>
  <c r="AM57" i="12"/>
  <c r="AL41" i="12"/>
  <c r="AM41" i="12"/>
  <c r="AL64" i="12"/>
  <c r="AM64" i="12"/>
  <c r="AL39" i="12"/>
  <c r="AM39" i="12"/>
  <c r="AL62" i="12"/>
  <c r="AM62" i="12"/>
  <c r="AL30" i="12"/>
  <c r="AM30" i="12"/>
  <c r="AL83" i="12"/>
  <c r="AM83" i="12"/>
  <c r="AL51" i="12"/>
  <c r="AM51" i="12"/>
  <c r="AL19" i="12"/>
  <c r="AM19" i="12"/>
  <c r="AL74" i="12"/>
  <c r="AM74" i="12"/>
  <c r="AL42" i="12"/>
  <c r="AM42" i="12"/>
  <c r="AL77" i="12"/>
  <c r="AM77" i="12"/>
  <c r="AL61" i="12"/>
  <c r="AM61" i="12"/>
  <c r="AL45" i="12"/>
  <c r="AM45" i="12"/>
  <c r="AL29" i="12"/>
  <c r="AM29" i="12"/>
  <c r="AL68" i="12"/>
  <c r="AM68" i="12"/>
  <c r="AL52" i="12"/>
  <c r="AM52" i="12"/>
  <c r="AL36" i="12"/>
  <c r="AM36" i="12"/>
  <c r="AL20" i="12"/>
  <c r="AM20" i="12"/>
  <c r="H36" i="8"/>
  <c r="H37" i="8"/>
  <c r="R137" i="12"/>
  <c r="P137" i="12"/>
  <c r="B139" i="12"/>
  <c r="P139" i="12" s="1"/>
  <c r="AD137" i="12"/>
  <c r="L137" i="12"/>
  <c r="J137" i="12"/>
  <c r="X137" i="12"/>
  <c r="D137" i="12"/>
  <c r="V137" i="12"/>
  <c r="N137" i="12"/>
  <c r="AM14" i="12"/>
  <c r="AL14" i="12"/>
  <c r="H137" i="12"/>
  <c r="Z137" i="12"/>
  <c r="B136" i="12"/>
  <c r="D136" i="12" s="1"/>
  <c r="AD138" i="12"/>
  <c r="D138" i="12"/>
  <c r="B140" i="12"/>
  <c r="Z140" i="12" s="1"/>
  <c r="F137" i="12"/>
  <c r="AD72" i="12"/>
  <c r="AD41" i="12"/>
  <c r="B54" i="12"/>
  <c r="B42" i="12"/>
  <c r="B40" i="12"/>
  <c r="F40" i="12" s="1"/>
  <c r="B41" i="12"/>
  <c r="J41" i="12" s="1"/>
  <c r="B72" i="12"/>
  <c r="D72" i="12" s="1"/>
  <c r="B56" i="12"/>
  <c r="B57" i="12"/>
  <c r="J57" i="12" s="1"/>
  <c r="B24" i="12"/>
  <c r="D24" i="12" s="1"/>
  <c r="B25" i="12"/>
  <c r="V25" i="12" s="1"/>
  <c r="B14" i="12"/>
  <c r="F14" i="12" s="1"/>
  <c r="B31" i="12"/>
  <c r="D31" i="12" s="1"/>
  <c r="B22" i="12"/>
  <c r="AD22" i="12" s="1"/>
  <c r="B65" i="12"/>
  <c r="B67" i="12"/>
  <c r="J67" i="12" s="1"/>
  <c r="B15" i="12"/>
  <c r="D15" i="12" s="1"/>
  <c r="B47" i="12"/>
  <c r="B71" i="12"/>
  <c r="D71" i="12" s="1"/>
  <c r="B70" i="12"/>
  <c r="B16" i="12"/>
  <c r="H16" i="12" s="1"/>
  <c r="B32" i="12"/>
  <c r="D32" i="12" s="1"/>
  <c r="B48" i="12"/>
  <c r="J48" i="12" s="1"/>
  <c r="B64" i="12"/>
  <c r="B17" i="12"/>
  <c r="N17" i="12" s="1"/>
  <c r="B33" i="12"/>
  <c r="F33" i="12" s="1"/>
  <c r="B49" i="12"/>
  <c r="J49" i="12" s="1"/>
  <c r="B69" i="12"/>
  <c r="B38" i="12"/>
  <c r="D38" i="12" s="1"/>
  <c r="B23" i="12"/>
  <c r="D23" i="12" s="1"/>
  <c r="B39" i="12"/>
  <c r="P39" i="12" s="1"/>
  <c r="B55" i="12"/>
  <c r="D55" i="12" s="1"/>
  <c r="B34" i="12"/>
  <c r="P34" i="12" s="1"/>
  <c r="B74" i="12"/>
  <c r="B59" i="12"/>
  <c r="J59" i="12" s="1"/>
  <c r="B27" i="12"/>
  <c r="Z27" i="12" s="1"/>
  <c r="B66" i="12"/>
  <c r="J66" i="12" s="1"/>
  <c r="B75" i="12"/>
  <c r="B43" i="12"/>
  <c r="B26" i="12"/>
  <c r="AD26" i="12" s="1"/>
  <c r="B50" i="12"/>
  <c r="J50" i="12" s="1"/>
  <c r="B73" i="12"/>
  <c r="B18" i="12"/>
  <c r="H18" i="12" s="1"/>
  <c r="B58" i="12"/>
  <c r="B35" i="12"/>
  <c r="H35" i="12" s="1"/>
  <c r="B51" i="12"/>
  <c r="B20" i="12"/>
  <c r="J20" i="12" s="1"/>
  <c r="B36" i="12"/>
  <c r="D36" i="12" s="1"/>
  <c r="B52" i="12"/>
  <c r="J52" i="12" s="1"/>
  <c r="B68" i="12"/>
  <c r="B21" i="12"/>
  <c r="V21" i="12" s="1"/>
  <c r="B37" i="12"/>
  <c r="D37" i="12" s="1"/>
  <c r="B53" i="12"/>
  <c r="J53" i="12" s="1"/>
  <c r="B63" i="12"/>
  <c r="D63" i="12" s="1"/>
  <c r="B19" i="12"/>
  <c r="X19" i="12" s="1"/>
  <c r="B28" i="12"/>
  <c r="D28" i="12" s="1"/>
  <c r="B44" i="12"/>
  <c r="J44" i="12" s="1"/>
  <c r="B60" i="12"/>
  <c r="B76" i="12"/>
  <c r="B29" i="12"/>
  <c r="D29" i="12" s="1"/>
  <c r="B45" i="12"/>
  <c r="D45" i="12" s="1"/>
  <c r="B61" i="12"/>
  <c r="AD62" i="12"/>
  <c r="B62" i="12"/>
  <c r="D62" i="12" s="1"/>
  <c r="AD46" i="12"/>
  <c r="B46" i="12"/>
  <c r="B30" i="12"/>
  <c r="D30" i="12" s="1"/>
  <c r="AI8" i="12"/>
  <c r="Q8" i="8"/>
  <c r="K8" i="8" s="1"/>
  <c r="I25" i="8" s="1"/>
  <c r="AG106" i="12"/>
  <c r="AH106" i="12" s="1"/>
  <c r="AG122" i="12"/>
  <c r="AH122" i="12" s="1"/>
  <c r="AG104" i="12"/>
  <c r="AG111" i="12"/>
  <c r="AH111" i="12" s="1"/>
  <c r="AG127" i="12"/>
  <c r="AH127" i="12" s="1"/>
  <c r="AG120" i="12"/>
  <c r="AH120" i="12" s="1"/>
  <c r="AG129" i="12"/>
  <c r="AH129" i="12" s="1"/>
  <c r="AG117" i="12"/>
  <c r="AH117" i="12" s="1"/>
  <c r="AG79" i="12"/>
  <c r="AH79" i="12" s="1"/>
  <c r="AG110" i="12"/>
  <c r="AH110" i="12" s="1"/>
  <c r="AG126" i="12"/>
  <c r="AH126" i="12" s="1"/>
  <c r="AG115" i="12"/>
  <c r="AH115" i="12" s="1"/>
  <c r="AG131" i="12"/>
  <c r="AH131" i="12" s="1"/>
  <c r="AG108" i="12"/>
  <c r="AH108" i="12" s="1"/>
  <c r="AG124" i="12"/>
  <c r="AH124" i="12" s="1"/>
  <c r="AG133" i="12"/>
  <c r="AH133" i="12" s="1"/>
  <c r="AG83" i="12"/>
  <c r="AG81" i="12"/>
  <c r="AH81" i="12" s="1"/>
  <c r="AG80" i="12"/>
  <c r="AH80" i="12" s="1"/>
  <c r="AG114" i="12"/>
  <c r="AH114" i="12" s="1"/>
  <c r="AG130" i="12"/>
  <c r="AH130" i="12" s="1"/>
  <c r="AG119" i="12"/>
  <c r="AG135" i="12"/>
  <c r="AH135" i="12" s="1"/>
  <c r="AG112" i="12"/>
  <c r="AH112" i="12" s="1"/>
  <c r="AG128" i="12"/>
  <c r="AH128" i="12" s="1"/>
  <c r="AG109" i="12"/>
  <c r="AH109" i="12" s="1"/>
  <c r="AG77" i="12"/>
  <c r="AG118" i="12"/>
  <c r="AH118" i="12" s="1"/>
  <c r="AG134" i="12"/>
  <c r="AH134" i="12" s="1"/>
  <c r="AG107" i="12"/>
  <c r="AH107" i="12" s="1"/>
  <c r="AG123" i="12"/>
  <c r="AH123" i="12" s="1"/>
  <c r="AG116" i="12"/>
  <c r="AH116" i="12" s="1"/>
  <c r="AG132" i="12"/>
  <c r="AH132" i="12" s="1"/>
  <c r="AG125" i="12"/>
  <c r="AH125" i="12" s="1"/>
  <c r="AG113" i="12"/>
  <c r="AH113" i="12" s="1"/>
  <c r="AG105" i="12"/>
  <c r="AH105" i="12" s="1"/>
  <c r="AG101" i="12"/>
  <c r="AH101" i="12" s="1"/>
  <c r="AG82" i="12"/>
  <c r="AH82" i="12" s="1"/>
  <c r="AG121" i="12"/>
  <c r="AH121" i="12" s="1"/>
  <c r="AG78" i="12"/>
  <c r="AH78" i="12" s="1"/>
  <c r="AG11" i="12"/>
  <c r="I22" i="8" l="1"/>
  <c r="I20" i="8"/>
  <c r="I21" i="8"/>
  <c r="I19" i="8"/>
  <c r="I16" i="8"/>
  <c r="I23" i="8"/>
  <c r="I18" i="8"/>
  <c r="I27" i="8"/>
  <c r="I17" i="8"/>
  <c r="I24" i="8"/>
  <c r="I26" i="8"/>
  <c r="I29" i="8"/>
  <c r="I28" i="8"/>
  <c r="I30" i="8"/>
  <c r="V138" i="12"/>
  <c r="J138" i="12"/>
  <c r="X138" i="12"/>
  <c r="H138" i="12"/>
  <c r="R138" i="12"/>
  <c r="N138" i="12"/>
  <c r="F138" i="12"/>
  <c r="T138" i="12"/>
  <c r="P138" i="12"/>
  <c r="Z138" i="12"/>
  <c r="AN105" i="12"/>
  <c r="AO105" i="12"/>
  <c r="AN107" i="12"/>
  <c r="AO107" i="12"/>
  <c r="AN135" i="12"/>
  <c r="AO135" i="12"/>
  <c r="AN133" i="12"/>
  <c r="AO133" i="12"/>
  <c r="AN131" i="12"/>
  <c r="AO131" i="12"/>
  <c r="AN138" i="12"/>
  <c r="AO138" i="12"/>
  <c r="AN117" i="12"/>
  <c r="AO117" i="12"/>
  <c r="AN126" i="12"/>
  <c r="AO126" i="12"/>
  <c r="AN121" i="12"/>
  <c r="AO121" i="12"/>
  <c r="AN114" i="12"/>
  <c r="AO114" i="12"/>
  <c r="AN120" i="12"/>
  <c r="AO120" i="12"/>
  <c r="AN109" i="12"/>
  <c r="AO109" i="12"/>
  <c r="AN128" i="12"/>
  <c r="AO128" i="12"/>
  <c r="AN112" i="12"/>
  <c r="AO112" i="12"/>
  <c r="AN122" i="12"/>
  <c r="AO122" i="12"/>
  <c r="AN123" i="12"/>
  <c r="AO123" i="12"/>
  <c r="AN111" i="12"/>
  <c r="AO111" i="12"/>
  <c r="AN139" i="12"/>
  <c r="AO139" i="12"/>
  <c r="AN119" i="12"/>
  <c r="AO119" i="12"/>
  <c r="AN118" i="12"/>
  <c r="AO118" i="12"/>
  <c r="AN116" i="12"/>
  <c r="AO116" i="12"/>
  <c r="AN127" i="12"/>
  <c r="AO127" i="12"/>
  <c r="AN129" i="12"/>
  <c r="AO129" i="12"/>
  <c r="AN132" i="12"/>
  <c r="AO132" i="12"/>
  <c r="AN110" i="12"/>
  <c r="AO110" i="12"/>
  <c r="AN125" i="12"/>
  <c r="AO125" i="12"/>
  <c r="AN137" i="12"/>
  <c r="AO137" i="12"/>
  <c r="AN130" i="12"/>
  <c r="AO130" i="12"/>
  <c r="AN140" i="12"/>
  <c r="AO140" i="12"/>
  <c r="AN134" i="12"/>
  <c r="AO134" i="12"/>
  <c r="AN115" i="12"/>
  <c r="AO115" i="12"/>
  <c r="AN113" i="12"/>
  <c r="AO113" i="12"/>
  <c r="AN106" i="12"/>
  <c r="AO106" i="12"/>
  <c r="AN136" i="12"/>
  <c r="AO136" i="12"/>
  <c r="AN108" i="12"/>
  <c r="AO108" i="12"/>
  <c r="AN124" i="12"/>
  <c r="AO124" i="12"/>
  <c r="AO104" i="12"/>
  <c r="AN104" i="12"/>
  <c r="AN20" i="12"/>
  <c r="AO20" i="12"/>
  <c r="AN52" i="12"/>
  <c r="AO52" i="12"/>
  <c r="AO29" i="12"/>
  <c r="AN29" i="12"/>
  <c r="AO61" i="12"/>
  <c r="AN61" i="12"/>
  <c r="AO42" i="12"/>
  <c r="AN42" i="12"/>
  <c r="AN19" i="12"/>
  <c r="AO19" i="12"/>
  <c r="AO83" i="12"/>
  <c r="AN83" i="12"/>
  <c r="AN62" i="12"/>
  <c r="AO62" i="12"/>
  <c r="AN64" i="12"/>
  <c r="AO64" i="12"/>
  <c r="AO57" i="12"/>
  <c r="AN57" i="12"/>
  <c r="AO34" i="12"/>
  <c r="AN34" i="12"/>
  <c r="AN79" i="12"/>
  <c r="AO79" i="12"/>
  <c r="AN40" i="12"/>
  <c r="AO40" i="12"/>
  <c r="AN72" i="12"/>
  <c r="AO72" i="12"/>
  <c r="AO33" i="12"/>
  <c r="AN33" i="12"/>
  <c r="AO65" i="12"/>
  <c r="AN65" i="12"/>
  <c r="AO18" i="12"/>
  <c r="AN18" i="12"/>
  <c r="AO82" i="12"/>
  <c r="AN82" i="12"/>
  <c r="AN59" i="12"/>
  <c r="AO59" i="12"/>
  <c r="AO70" i="12"/>
  <c r="AN70" i="12"/>
  <c r="AN15" i="12"/>
  <c r="AO15" i="12"/>
  <c r="AN23" i="12"/>
  <c r="AO23" i="12"/>
  <c r="AO25" i="12"/>
  <c r="AN25" i="12"/>
  <c r="AO54" i="12"/>
  <c r="AN54" i="12"/>
  <c r="AN28" i="12"/>
  <c r="AO28" i="12"/>
  <c r="AN60" i="12"/>
  <c r="AO60" i="12"/>
  <c r="AO21" i="12"/>
  <c r="AN21" i="12"/>
  <c r="AO53" i="12"/>
  <c r="AN53" i="12"/>
  <c r="AO26" i="12"/>
  <c r="AN26" i="12"/>
  <c r="AN35" i="12"/>
  <c r="AO35" i="12"/>
  <c r="AN46" i="12"/>
  <c r="AO46" i="12"/>
  <c r="AO47" i="12"/>
  <c r="AN47" i="12"/>
  <c r="AN16" i="12"/>
  <c r="AO16" i="12"/>
  <c r="AN80" i="12"/>
  <c r="AO80" i="12"/>
  <c r="AN75" i="12"/>
  <c r="AO75" i="12"/>
  <c r="AN36" i="12"/>
  <c r="AO36" i="12"/>
  <c r="AN68" i="12"/>
  <c r="AO68" i="12"/>
  <c r="AO45" i="12"/>
  <c r="AN45" i="12"/>
  <c r="AO77" i="12"/>
  <c r="AN77" i="12"/>
  <c r="AO74" i="12"/>
  <c r="AN74" i="12"/>
  <c r="AO51" i="12"/>
  <c r="AN51" i="12"/>
  <c r="AN30" i="12"/>
  <c r="AO30" i="12"/>
  <c r="AN39" i="12"/>
  <c r="AO39" i="12"/>
  <c r="AO41" i="12"/>
  <c r="AN41" i="12"/>
  <c r="AO73" i="12"/>
  <c r="AN73" i="12"/>
  <c r="AN22" i="12"/>
  <c r="AO22" i="12"/>
  <c r="AN24" i="12"/>
  <c r="AO24" i="12"/>
  <c r="AN56" i="12"/>
  <c r="AO56" i="12"/>
  <c r="AO17" i="12"/>
  <c r="AN17" i="12"/>
  <c r="AO49" i="12"/>
  <c r="AN49" i="12"/>
  <c r="AO81" i="12"/>
  <c r="AN81" i="12"/>
  <c r="AO50" i="12"/>
  <c r="AN50" i="12"/>
  <c r="AN27" i="12"/>
  <c r="AO27" i="12"/>
  <c r="AN38" i="12"/>
  <c r="AO38" i="12"/>
  <c r="AN71" i="12"/>
  <c r="AO71" i="12"/>
  <c r="AN31" i="12"/>
  <c r="AO31" i="12"/>
  <c r="AN32" i="12"/>
  <c r="AO32" i="12"/>
  <c r="AN66" i="12"/>
  <c r="AO66" i="12"/>
  <c r="AN55" i="12"/>
  <c r="AO55" i="12"/>
  <c r="AN44" i="12"/>
  <c r="AO44" i="12"/>
  <c r="AN76" i="12"/>
  <c r="AO76" i="12"/>
  <c r="AO37" i="12"/>
  <c r="AN37" i="12"/>
  <c r="AO69" i="12"/>
  <c r="AN69" i="12"/>
  <c r="AO58" i="12"/>
  <c r="AN58" i="12"/>
  <c r="AO67" i="12"/>
  <c r="AN67" i="12"/>
  <c r="AN78" i="12"/>
  <c r="AO78" i="12"/>
  <c r="AN63" i="12"/>
  <c r="AO63" i="12"/>
  <c r="AN48" i="12"/>
  <c r="AO48" i="12"/>
  <c r="AN43" i="12"/>
  <c r="AO43" i="12"/>
  <c r="AO101" i="12"/>
  <c r="AN101" i="12"/>
  <c r="D139" i="12"/>
  <c r="L136" i="12"/>
  <c r="P136" i="12"/>
  <c r="V136" i="12"/>
  <c r="X136" i="12"/>
  <c r="H136" i="12"/>
  <c r="N136" i="12"/>
  <c r="AD136" i="12"/>
  <c r="F139" i="12"/>
  <c r="AD139" i="12"/>
  <c r="T140" i="12"/>
  <c r="X140" i="12"/>
  <c r="R140" i="12"/>
  <c r="Z136" i="12"/>
  <c r="F136" i="12"/>
  <c r="T139" i="12"/>
  <c r="F140" i="12"/>
  <c r="P140" i="12"/>
  <c r="J140" i="12"/>
  <c r="AD140" i="12"/>
  <c r="J139" i="12"/>
  <c r="L139" i="12"/>
  <c r="H139" i="12"/>
  <c r="V139" i="12"/>
  <c r="R139" i="12"/>
  <c r="N139" i="12"/>
  <c r="D140" i="12"/>
  <c r="H140" i="12"/>
  <c r="V140" i="12"/>
  <c r="J136" i="12"/>
  <c r="T136" i="12"/>
  <c r="R136" i="12"/>
  <c r="AO14" i="12"/>
  <c r="AN14" i="12"/>
  <c r="Z139" i="12"/>
  <c r="X139" i="12"/>
  <c r="N140" i="12"/>
  <c r="L140" i="12"/>
  <c r="AD19" i="12"/>
  <c r="V22" i="12"/>
  <c r="X28" i="12"/>
  <c r="L21" i="12"/>
  <c r="J25" i="12"/>
  <c r="X14" i="12"/>
  <c r="L39" i="12"/>
  <c r="P32" i="12"/>
  <c r="Z21" i="12"/>
  <c r="V17" i="12"/>
  <c r="P14" i="12"/>
  <c r="L38" i="12"/>
  <c r="J18" i="12"/>
  <c r="J31" i="12"/>
  <c r="H39" i="12"/>
  <c r="P28" i="12"/>
  <c r="AD16" i="12"/>
  <c r="AD17" i="12"/>
  <c r="P18" i="12"/>
  <c r="H14" i="12"/>
  <c r="T38" i="12"/>
  <c r="Z16" i="12"/>
  <c r="R37" i="12"/>
  <c r="L30" i="12"/>
  <c r="J24" i="12"/>
  <c r="X24" i="12"/>
  <c r="P30" i="12"/>
  <c r="N15" i="12"/>
  <c r="V15" i="12"/>
  <c r="N31" i="12"/>
  <c r="R40" i="12"/>
  <c r="J17" i="12"/>
  <c r="V34" i="12"/>
  <c r="AD34" i="12"/>
  <c r="R31" i="12"/>
  <c r="X21" i="12"/>
  <c r="N36" i="12"/>
  <c r="L31" i="12"/>
  <c r="P31" i="12"/>
  <c r="P20" i="12"/>
  <c r="Z22" i="12"/>
  <c r="X17" i="12"/>
  <c r="H22" i="12"/>
  <c r="H36" i="12"/>
  <c r="T33" i="12"/>
  <c r="X38" i="12"/>
  <c r="R20" i="12"/>
  <c r="N35" i="12"/>
  <c r="P38" i="12"/>
  <c r="AD20" i="12"/>
  <c r="AD29" i="12"/>
  <c r="R30" i="12"/>
  <c r="H34" i="12"/>
  <c r="R14" i="12"/>
  <c r="L17" i="12"/>
  <c r="Z38" i="12"/>
  <c r="P40" i="12"/>
  <c r="J23" i="12"/>
  <c r="Z15" i="12"/>
  <c r="Z26" i="12"/>
  <c r="L18" i="12"/>
  <c r="H21" i="12"/>
  <c r="H24" i="12"/>
  <c r="J35" i="12"/>
  <c r="R33" i="12"/>
  <c r="Z37" i="12"/>
  <c r="AD38" i="12"/>
  <c r="N24" i="12"/>
  <c r="L33" i="12"/>
  <c r="L19" i="12"/>
  <c r="X36" i="12"/>
  <c r="X30" i="12"/>
  <c r="AD15" i="12"/>
  <c r="T35" i="12"/>
  <c r="P36" i="12"/>
  <c r="N20" i="12"/>
  <c r="T14" i="12"/>
  <c r="X34" i="12"/>
  <c r="V36" i="12"/>
  <c r="P15" i="12"/>
  <c r="X33" i="12"/>
  <c r="P21" i="12"/>
  <c r="L22" i="12"/>
  <c r="N39" i="12"/>
  <c r="N19" i="12"/>
  <c r="L35" i="12"/>
  <c r="P19" i="12"/>
  <c r="H26" i="12"/>
  <c r="AD24" i="12"/>
  <c r="AD25" i="12"/>
  <c r="X29" i="12"/>
  <c r="P22" i="12"/>
  <c r="P23" i="12"/>
  <c r="X23" i="12"/>
  <c r="V31" i="12"/>
  <c r="P35" i="12"/>
  <c r="J14" i="12"/>
  <c r="Z24" i="12"/>
  <c r="R29" i="12"/>
  <c r="V26" i="12"/>
  <c r="H17" i="12"/>
  <c r="T16" i="12"/>
  <c r="Z25" i="12"/>
  <c r="P33" i="12"/>
  <c r="P26" i="12"/>
  <c r="AD27" i="12"/>
  <c r="H23" i="12"/>
  <c r="Z31" i="12"/>
  <c r="R39" i="12"/>
  <c r="R21" i="12"/>
  <c r="T30" i="12"/>
  <c r="R19" i="12"/>
  <c r="P27" i="12"/>
  <c r="X16" i="12"/>
  <c r="Z23" i="12"/>
  <c r="V35" i="12"/>
  <c r="T17" i="12"/>
  <c r="X22" i="12"/>
  <c r="P24" i="12"/>
  <c r="T19" i="12"/>
  <c r="T34" i="12"/>
  <c r="AD28" i="12"/>
  <c r="AD37" i="12"/>
  <c r="L34" i="12"/>
  <c r="Z39" i="12"/>
  <c r="L36" i="12"/>
  <c r="L24" i="12"/>
  <c r="T28" i="12"/>
  <c r="V16" i="12"/>
  <c r="V18" i="12"/>
  <c r="J33" i="12"/>
  <c r="T31" i="12"/>
  <c r="H37" i="12"/>
  <c r="Z40" i="12"/>
  <c r="J19" i="12"/>
  <c r="R23" i="12"/>
  <c r="V28" i="12"/>
  <c r="N27" i="12"/>
  <c r="AD23" i="12"/>
  <c r="H32" i="12"/>
  <c r="X18" i="12"/>
  <c r="H27" i="12"/>
  <c r="T21" i="12"/>
  <c r="H15" i="12"/>
  <c r="AD31" i="12"/>
  <c r="P17" i="12"/>
  <c r="T26" i="12"/>
  <c r="T25" i="12"/>
  <c r="Z20" i="12"/>
  <c r="L40" i="12"/>
  <c r="Z14" i="12"/>
  <c r="L23" i="12"/>
  <c r="T32" i="12"/>
  <c r="X32" i="12"/>
  <c r="R26" i="12"/>
  <c r="Z36" i="12"/>
  <c r="R28" i="12"/>
  <c r="N23" i="12"/>
  <c r="V29" i="12"/>
  <c r="T15" i="12"/>
  <c r="R15" i="12"/>
  <c r="AD32" i="12"/>
  <c r="N33" i="12"/>
  <c r="X20" i="12"/>
  <c r="J30" i="12"/>
  <c r="R18" i="12"/>
  <c r="X27" i="12"/>
  <c r="J36" i="12"/>
  <c r="R34" i="12"/>
  <c r="H31" i="12"/>
  <c r="T23" i="12"/>
  <c r="J32" i="12"/>
  <c r="V40" i="12"/>
  <c r="H33" i="12"/>
  <c r="Z34" i="12"/>
  <c r="N16" i="12"/>
  <c r="J37" i="12"/>
  <c r="AD18" i="12"/>
  <c r="AD35" i="12"/>
  <c r="V19" i="12"/>
  <c r="N28" i="12"/>
  <c r="T29" i="12"/>
  <c r="R38" i="12"/>
  <c r="H29" i="12"/>
  <c r="Z28" i="12"/>
  <c r="R35" i="12"/>
  <c r="H20" i="12"/>
  <c r="T36" i="12"/>
  <c r="V30" i="12"/>
  <c r="Z29" i="12"/>
  <c r="R22" i="12"/>
  <c r="R24" i="12"/>
  <c r="T37" i="12"/>
  <c r="R32" i="12"/>
  <c r="AD36" i="12"/>
  <c r="V24" i="12"/>
  <c r="X15" i="12"/>
  <c r="N40" i="12"/>
  <c r="P16" i="12"/>
  <c r="X35" i="12"/>
  <c r="N29" i="12"/>
  <c r="T22" i="12"/>
  <c r="J22" i="12"/>
  <c r="N26" i="12"/>
  <c r="V27" i="12"/>
  <c r="J38" i="12"/>
  <c r="V39" i="12"/>
  <c r="T40" i="12"/>
  <c r="L14" i="12"/>
  <c r="J39" i="12"/>
  <c r="AD14" i="12"/>
  <c r="AD39" i="12"/>
  <c r="H40" i="12"/>
  <c r="J26" i="12"/>
  <c r="Z35" i="12"/>
  <c r="J29" i="12"/>
  <c r="X31" i="12"/>
  <c r="AD30" i="12"/>
  <c r="AD33" i="12"/>
  <c r="R16" i="12"/>
  <c r="X37" i="12"/>
  <c r="L20" i="12"/>
  <c r="L28" i="12"/>
  <c r="L16" i="12"/>
  <c r="N21" i="12"/>
  <c r="N18" i="12"/>
  <c r="T39" i="12"/>
  <c r="Z33" i="12"/>
  <c r="R25" i="12"/>
  <c r="V37" i="12"/>
  <c r="V14" i="12"/>
  <c r="V33" i="12"/>
  <c r="N30" i="12"/>
  <c r="V32" i="12"/>
  <c r="N38" i="12"/>
  <c r="AD40" i="12"/>
  <c r="L27" i="12"/>
  <c r="L29" i="12"/>
  <c r="H25" i="12"/>
  <c r="X26" i="12"/>
  <c r="J15" i="12"/>
  <c r="T24" i="12"/>
  <c r="X25" i="12"/>
  <c r="N37" i="12"/>
  <c r="V20" i="12"/>
  <c r="N34" i="12"/>
  <c r="P25" i="12"/>
  <c r="V23" i="12"/>
  <c r="L26" i="12"/>
  <c r="T27" i="12"/>
  <c r="Z32" i="12"/>
  <c r="X39" i="12"/>
  <c r="P29" i="12"/>
  <c r="L15" i="12"/>
  <c r="R17" i="12"/>
  <c r="Z18" i="12"/>
  <c r="R27" i="12"/>
  <c r="R36" i="12"/>
  <c r="N22" i="12"/>
  <c r="P37" i="12"/>
  <c r="Z19" i="12"/>
  <c r="H19" i="12"/>
  <c r="T20" i="12"/>
  <c r="N32" i="12"/>
  <c r="AD21" i="12"/>
  <c r="H38" i="12"/>
  <c r="L32" i="12"/>
  <c r="T18" i="12"/>
  <c r="L25" i="12"/>
  <c r="J28" i="12"/>
  <c r="X40" i="12"/>
  <c r="Z17" i="12"/>
  <c r="V38" i="12"/>
  <c r="Z30" i="12"/>
  <c r="N25" i="12"/>
  <c r="H30" i="12"/>
  <c r="H28" i="12"/>
  <c r="L37" i="12"/>
  <c r="J34" i="12"/>
  <c r="F34" i="12"/>
  <c r="D34" i="12"/>
  <c r="F17" i="12"/>
  <c r="D17" i="12"/>
  <c r="J16" i="12"/>
  <c r="D16" i="12"/>
  <c r="F16" i="12"/>
  <c r="F26" i="12"/>
  <c r="D26" i="12"/>
  <c r="J27" i="12"/>
  <c r="D27" i="12"/>
  <c r="F27" i="12"/>
  <c r="J21" i="12"/>
  <c r="F21" i="12"/>
  <c r="D21" i="12"/>
  <c r="F20" i="12"/>
  <c r="D20" i="12"/>
  <c r="D18" i="12"/>
  <c r="F18" i="12"/>
  <c r="D25" i="12"/>
  <c r="F25" i="12"/>
  <c r="F35" i="12"/>
  <c r="D35" i="12"/>
  <c r="F19" i="12"/>
  <c r="D19" i="12"/>
  <c r="F22" i="12"/>
  <c r="D22" i="12"/>
  <c r="F38" i="12"/>
  <c r="F24" i="12"/>
  <c r="D64" i="12"/>
  <c r="F64" i="12"/>
  <c r="F55" i="12"/>
  <c r="F36" i="12"/>
  <c r="F30" i="12"/>
  <c r="D61" i="12"/>
  <c r="F61" i="12"/>
  <c r="D39" i="12"/>
  <c r="F39" i="12"/>
  <c r="D33" i="12"/>
  <c r="F37" i="12"/>
  <c r="F23" i="12"/>
  <c r="F31" i="12"/>
  <c r="F72" i="12"/>
  <c r="F62" i="12"/>
  <c r="F32" i="12"/>
  <c r="F29" i="12"/>
  <c r="F63" i="12"/>
  <c r="F45" i="12"/>
  <c r="F71" i="12"/>
  <c r="F28" i="12"/>
  <c r="F41" i="12"/>
  <c r="F15" i="12"/>
  <c r="N14" i="12"/>
  <c r="D14" i="12"/>
  <c r="D41" i="12"/>
  <c r="J40" i="12"/>
  <c r="D40" i="12"/>
  <c r="AH83" i="12"/>
  <c r="AH104" i="12"/>
  <c r="AG10" i="12"/>
  <c r="K29" i="8" s="1"/>
  <c r="AI114" i="12"/>
  <c r="AI130" i="12"/>
  <c r="AI119" i="12"/>
  <c r="AI135" i="12"/>
  <c r="AI112" i="12"/>
  <c r="AI128" i="12"/>
  <c r="AI80" i="12"/>
  <c r="AI77" i="12"/>
  <c r="B77" i="12" s="1"/>
  <c r="J77" i="12" s="1"/>
  <c r="AI118" i="12"/>
  <c r="AI134" i="12"/>
  <c r="AI107" i="12"/>
  <c r="AI123" i="12"/>
  <c r="AI116" i="12"/>
  <c r="AI132" i="12"/>
  <c r="AI117" i="12"/>
  <c r="AI105" i="12"/>
  <c r="AI129" i="12"/>
  <c r="AI113" i="12"/>
  <c r="AI101" i="12"/>
  <c r="AI82" i="12"/>
  <c r="AI106" i="12"/>
  <c r="AI122" i="12"/>
  <c r="AI104" i="12"/>
  <c r="AI111" i="12"/>
  <c r="AI127" i="12"/>
  <c r="AI120" i="12"/>
  <c r="AI133" i="12"/>
  <c r="AI121" i="12"/>
  <c r="AI109" i="12"/>
  <c r="AI79" i="12"/>
  <c r="AI78" i="12"/>
  <c r="AI110" i="12"/>
  <c r="AI126" i="12"/>
  <c r="AI115" i="12"/>
  <c r="AI131" i="12"/>
  <c r="AI108" i="12"/>
  <c r="AI124" i="12"/>
  <c r="AI125" i="12"/>
  <c r="AI83" i="12"/>
  <c r="B83" i="12" s="1"/>
  <c r="AI81" i="12"/>
  <c r="AH77" i="12"/>
  <c r="AG9" i="12"/>
  <c r="AH119" i="12"/>
  <c r="N8" i="8"/>
  <c r="N29" i="8" l="1"/>
  <c r="S9" i="12"/>
  <c r="J22" i="8" s="1"/>
  <c r="U9" i="12"/>
  <c r="J23" i="8" s="1"/>
  <c r="Q9" i="12"/>
  <c r="J21" i="8" s="1"/>
  <c r="W9" i="12"/>
  <c r="J24" i="8" s="1"/>
  <c r="F77" i="12"/>
  <c r="P77" i="12"/>
  <c r="B122" i="12"/>
  <c r="X122" i="12" s="1"/>
  <c r="B129" i="12"/>
  <c r="X129" i="12" s="1"/>
  <c r="B109" i="12"/>
  <c r="X109" i="12" s="1"/>
  <c r="B125" i="12"/>
  <c r="X125" i="12" s="1"/>
  <c r="B119" i="12"/>
  <c r="X119" i="12" s="1"/>
  <c r="B105" i="12"/>
  <c r="X105" i="12" s="1"/>
  <c r="B134" i="12"/>
  <c r="X134" i="12" s="1"/>
  <c r="B130" i="12"/>
  <c r="X130" i="12" s="1"/>
  <c r="B135" i="12"/>
  <c r="X135" i="12" s="1"/>
  <c r="B123" i="12"/>
  <c r="X123" i="12" s="1"/>
  <c r="B128" i="12"/>
  <c r="X128" i="12" s="1"/>
  <c r="B133" i="12"/>
  <c r="X133" i="12" s="1"/>
  <c r="B110" i="12"/>
  <c r="X110" i="12" s="1"/>
  <c r="B132" i="12"/>
  <c r="X132" i="12" s="1"/>
  <c r="B127" i="12"/>
  <c r="X127" i="12" s="1"/>
  <c r="B121" i="12"/>
  <c r="X121" i="12" s="1"/>
  <c r="B120" i="12"/>
  <c r="X120" i="12" s="1"/>
  <c r="B131" i="12"/>
  <c r="X131" i="12" s="1"/>
  <c r="B81" i="12"/>
  <c r="J81" i="12" s="1"/>
  <c r="B78" i="12"/>
  <c r="J78" i="12" s="1"/>
  <c r="B115" i="12"/>
  <c r="X115" i="12" s="1"/>
  <c r="B106" i="12"/>
  <c r="X106" i="12" s="1"/>
  <c r="B113" i="12"/>
  <c r="X113" i="12" s="1"/>
  <c r="B118" i="12"/>
  <c r="X118" i="12" s="1"/>
  <c r="B112" i="12"/>
  <c r="X112" i="12" s="1"/>
  <c r="B101" i="12"/>
  <c r="J101" i="12" s="1"/>
  <c r="B82" i="12"/>
  <c r="J82" i="12" s="1"/>
  <c r="B117" i="12"/>
  <c r="X117" i="12" s="1"/>
  <c r="B104" i="12"/>
  <c r="X104" i="12" s="1"/>
  <c r="B114" i="12"/>
  <c r="X114" i="12" s="1"/>
  <c r="B124" i="12"/>
  <c r="X124" i="12" s="1"/>
  <c r="B107" i="12"/>
  <c r="X107" i="12" s="1"/>
  <c r="B80" i="12"/>
  <c r="J80" i="12" s="1"/>
  <c r="B108" i="12"/>
  <c r="X108" i="12" s="1"/>
  <c r="B126" i="12"/>
  <c r="X126" i="12" s="1"/>
  <c r="B111" i="12"/>
  <c r="X111" i="12" s="1"/>
  <c r="B116" i="12"/>
  <c r="X116" i="12" s="1"/>
  <c r="AF77" i="12"/>
  <c r="B79" i="12"/>
  <c r="J79" i="12" s="1"/>
  <c r="W10" i="12" l="1"/>
  <c r="J108" i="12"/>
  <c r="T108" i="12"/>
  <c r="R108" i="12"/>
  <c r="V108" i="12"/>
  <c r="T104" i="12"/>
  <c r="R104" i="12"/>
  <c r="V104" i="12"/>
  <c r="V112" i="12"/>
  <c r="T112" i="12"/>
  <c r="R112" i="12"/>
  <c r="V115" i="12"/>
  <c r="T115" i="12"/>
  <c r="R115" i="12"/>
  <c r="J120" i="12"/>
  <c r="V120" i="12"/>
  <c r="T120" i="12"/>
  <c r="R120" i="12"/>
  <c r="V110" i="12"/>
  <c r="T110" i="12"/>
  <c r="R110" i="12"/>
  <c r="V135" i="12"/>
  <c r="R135" i="12"/>
  <c r="T135" i="12"/>
  <c r="T119" i="12"/>
  <c r="R119" i="12"/>
  <c r="V119" i="12"/>
  <c r="J122" i="12"/>
  <c r="T122" i="12"/>
  <c r="R122" i="12"/>
  <c r="V122" i="12"/>
  <c r="T111" i="12"/>
  <c r="V111" i="12"/>
  <c r="R111" i="12"/>
  <c r="T107" i="12"/>
  <c r="R107" i="12"/>
  <c r="V107" i="12"/>
  <c r="J117" i="12"/>
  <c r="R117" i="12"/>
  <c r="V117" i="12"/>
  <c r="T117" i="12"/>
  <c r="J118" i="12"/>
  <c r="R118" i="12"/>
  <c r="V118" i="12"/>
  <c r="T118" i="12"/>
  <c r="T121" i="12"/>
  <c r="V121" i="12"/>
  <c r="R121" i="12"/>
  <c r="J133" i="12"/>
  <c r="T133" i="12"/>
  <c r="V133" i="12"/>
  <c r="R133" i="12"/>
  <c r="R130" i="12"/>
  <c r="V130" i="12"/>
  <c r="T130" i="12"/>
  <c r="R125" i="12"/>
  <c r="T125" i="12"/>
  <c r="V125" i="12"/>
  <c r="V116" i="12"/>
  <c r="R116" i="12"/>
  <c r="T116" i="12"/>
  <c r="R126" i="12"/>
  <c r="V126" i="12"/>
  <c r="T126" i="12"/>
  <c r="T124" i="12"/>
  <c r="R124" i="12"/>
  <c r="V124" i="12"/>
  <c r="J113" i="12"/>
  <c r="R113" i="12"/>
  <c r="V113" i="12"/>
  <c r="T113" i="12"/>
  <c r="R127" i="12"/>
  <c r="V127" i="12"/>
  <c r="T127" i="12"/>
  <c r="J128" i="12"/>
  <c r="R128" i="12"/>
  <c r="T128" i="12"/>
  <c r="V128" i="12"/>
  <c r="J134" i="12"/>
  <c r="R134" i="12"/>
  <c r="T134" i="12"/>
  <c r="V134" i="12"/>
  <c r="V109" i="12"/>
  <c r="T109" i="12"/>
  <c r="R109" i="12"/>
  <c r="V114" i="12"/>
  <c r="T114" i="12"/>
  <c r="R114" i="12"/>
  <c r="V106" i="12"/>
  <c r="T106" i="12"/>
  <c r="R106" i="12"/>
  <c r="R131" i="12"/>
  <c r="T131" i="12"/>
  <c r="V131" i="12"/>
  <c r="J132" i="12"/>
  <c r="V132" i="12"/>
  <c r="R132" i="12"/>
  <c r="T132" i="12"/>
  <c r="R123" i="12"/>
  <c r="T123" i="12"/>
  <c r="V123" i="12"/>
  <c r="R105" i="12"/>
  <c r="V105" i="12"/>
  <c r="T105" i="12"/>
  <c r="J129" i="12"/>
  <c r="T129" i="12"/>
  <c r="V129" i="12"/>
  <c r="R129" i="12"/>
  <c r="I9" i="12"/>
  <c r="J17" i="8" s="1"/>
  <c r="P106" i="12"/>
  <c r="J106" i="12"/>
  <c r="P131" i="12"/>
  <c r="J131" i="12"/>
  <c r="P111" i="12"/>
  <c r="J111" i="12"/>
  <c r="P104" i="12"/>
  <c r="J104" i="12"/>
  <c r="P112" i="12"/>
  <c r="J112" i="12"/>
  <c r="P115" i="12"/>
  <c r="J115" i="12"/>
  <c r="P110" i="12"/>
  <c r="J110" i="12"/>
  <c r="P135" i="12"/>
  <c r="J135" i="12"/>
  <c r="P119" i="12"/>
  <c r="J119" i="12"/>
  <c r="P123" i="12"/>
  <c r="J123" i="12"/>
  <c r="P126" i="12"/>
  <c r="J126" i="12"/>
  <c r="P107" i="12"/>
  <c r="J107" i="12"/>
  <c r="P121" i="12"/>
  <c r="J121" i="12"/>
  <c r="P130" i="12"/>
  <c r="J130" i="12"/>
  <c r="P125" i="12"/>
  <c r="J125" i="12"/>
  <c r="P116" i="12"/>
  <c r="J116" i="12"/>
  <c r="P114" i="12"/>
  <c r="J114" i="12"/>
  <c r="P105" i="12"/>
  <c r="J105" i="12"/>
  <c r="P124" i="12"/>
  <c r="J124" i="12"/>
  <c r="P127" i="12"/>
  <c r="J127" i="12"/>
  <c r="P109" i="12"/>
  <c r="J109" i="12"/>
  <c r="AF83" i="12"/>
  <c r="AF101" i="12"/>
  <c r="P101" i="12"/>
  <c r="AF132" i="12"/>
  <c r="P132" i="12"/>
  <c r="AF129" i="12"/>
  <c r="P129" i="12"/>
  <c r="AF120" i="12"/>
  <c r="P120" i="12"/>
  <c r="AF122" i="12"/>
  <c r="P122" i="12"/>
  <c r="AF117" i="12"/>
  <c r="P117" i="12"/>
  <c r="AF118" i="12"/>
  <c r="P118" i="12"/>
  <c r="AF78" i="12"/>
  <c r="P78" i="12"/>
  <c r="AF133" i="12"/>
  <c r="P133" i="12"/>
  <c r="AF80" i="12"/>
  <c r="P80" i="12"/>
  <c r="AF79" i="12"/>
  <c r="P79" i="12"/>
  <c r="AF108" i="12"/>
  <c r="P108" i="12"/>
  <c r="AF82" i="12"/>
  <c r="P82" i="12"/>
  <c r="AF113" i="12"/>
  <c r="P113" i="12"/>
  <c r="AF81" i="12"/>
  <c r="P81" i="12"/>
  <c r="AF128" i="12"/>
  <c r="P128" i="12"/>
  <c r="AF134" i="12"/>
  <c r="P134" i="12"/>
  <c r="AF124" i="12"/>
  <c r="D124" i="12"/>
  <c r="AF127" i="12"/>
  <c r="D127" i="12"/>
  <c r="AF131" i="12"/>
  <c r="D131" i="12"/>
  <c r="AF123" i="12"/>
  <c r="D123" i="12"/>
  <c r="AF111" i="12"/>
  <c r="D111" i="12"/>
  <c r="AF104" i="12"/>
  <c r="D104" i="12"/>
  <c r="AF112" i="12"/>
  <c r="D112" i="12"/>
  <c r="AF115" i="12"/>
  <c r="D115" i="12"/>
  <c r="AF110" i="12"/>
  <c r="D110" i="12"/>
  <c r="AF135" i="12"/>
  <c r="D135" i="12"/>
  <c r="AF119" i="12"/>
  <c r="D119" i="12"/>
  <c r="AF109" i="12"/>
  <c r="D109" i="12"/>
  <c r="AF116" i="12"/>
  <c r="D116" i="12"/>
  <c r="AF114" i="12"/>
  <c r="D114" i="12"/>
  <c r="AF106" i="12"/>
  <c r="D106" i="12"/>
  <c r="AF105" i="12"/>
  <c r="D105" i="12"/>
  <c r="AF126" i="12"/>
  <c r="D126" i="12"/>
  <c r="AF107" i="12"/>
  <c r="D107" i="12"/>
  <c r="AF121" i="12"/>
  <c r="D121" i="12"/>
  <c r="AF130" i="12"/>
  <c r="D130" i="12"/>
  <c r="AF125" i="12"/>
  <c r="D125" i="12"/>
  <c r="AJ116" i="12"/>
  <c r="AJ108" i="12"/>
  <c r="AE9" i="12"/>
  <c r="AJ111" i="12"/>
  <c r="AJ126" i="12"/>
  <c r="AJ112" i="12"/>
  <c r="AJ121" i="12"/>
  <c r="AJ109" i="12"/>
  <c r="AJ119" i="12"/>
  <c r="AJ101" i="12"/>
  <c r="AJ115" i="12"/>
  <c r="AJ124" i="12"/>
  <c r="AJ82" i="12"/>
  <c r="AJ78" i="12"/>
  <c r="AJ114" i="12"/>
  <c r="AJ117" i="12"/>
  <c r="AJ134" i="12"/>
  <c r="AJ122" i="12"/>
  <c r="AJ118" i="12"/>
  <c r="AJ127" i="12"/>
  <c r="AJ131" i="12"/>
  <c r="AJ129" i="12"/>
  <c r="AJ80" i="12"/>
  <c r="AJ113" i="12"/>
  <c r="AJ135" i="12"/>
  <c r="AJ123" i="12"/>
  <c r="AJ133" i="12"/>
  <c r="AJ83" i="12"/>
  <c r="AJ77" i="12"/>
  <c r="AJ104" i="12"/>
  <c r="AJ132" i="12"/>
  <c r="AJ120" i="12"/>
  <c r="AJ125" i="12"/>
  <c r="AJ130" i="12"/>
  <c r="AJ107" i="12"/>
  <c r="AJ106" i="12"/>
  <c r="AJ110" i="12"/>
  <c r="AJ128" i="12"/>
  <c r="AJ105" i="12"/>
  <c r="AJ79" i="12"/>
  <c r="AJ81" i="12"/>
  <c r="AE10" i="12"/>
  <c r="K28" i="8" s="1"/>
  <c r="N28" i="8" s="1"/>
  <c r="AB80" i="12"/>
  <c r="AD80" i="12"/>
  <c r="AB111" i="12"/>
  <c r="AD111" i="12"/>
  <c r="AB126" i="12"/>
  <c r="AD126" i="12"/>
  <c r="AB107" i="12"/>
  <c r="AD107" i="12"/>
  <c r="AB112" i="12"/>
  <c r="AD112" i="12"/>
  <c r="AB131" i="12"/>
  <c r="AD131" i="12"/>
  <c r="AB127" i="12"/>
  <c r="AD127" i="12"/>
  <c r="AB128" i="12"/>
  <c r="AD128" i="12"/>
  <c r="AB130" i="12"/>
  <c r="AD130" i="12"/>
  <c r="AB129" i="12"/>
  <c r="AD129" i="12"/>
  <c r="AB124" i="12"/>
  <c r="AD124" i="12"/>
  <c r="AB114" i="12"/>
  <c r="AD114" i="12"/>
  <c r="AB115" i="12"/>
  <c r="AD115" i="12"/>
  <c r="AB132" i="12"/>
  <c r="AD132" i="12"/>
  <c r="AB134" i="12"/>
  <c r="AD134" i="12"/>
  <c r="AB122" i="12"/>
  <c r="AD122" i="12"/>
  <c r="AB79" i="12"/>
  <c r="AD79" i="12"/>
  <c r="AB116" i="12"/>
  <c r="AD116" i="12"/>
  <c r="AB108" i="12"/>
  <c r="AD108" i="12"/>
  <c r="AB83" i="12"/>
  <c r="AD83" i="12"/>
  <c r="AB104" i="12"/>
  <c r="AD104" i="12"/>
  <c r="AB118" i="12"/>
  <c r="AD118" i="12"/>
  <c r="AB113" i="12"/>
  <c r="AD113" i="12"/>
  <c r="AB78" i="12"/>
  <c r="AD78" i="12"/>
  <c r="AB121" i="12"/>
  <c r="AD121" i="12"/>
  <c r="AB110" i="12"/>
  <c r="AD110" i="12"/>
  <c r="AB123" i="12"/>
  <c r="AD123" i="12"/>
  <c r="AB105" i="12"/>
  <c r="AD105" i="12"/>
  <c r="AB125" i="12"/>
  <c r="AD125" i="12"/>
  <c r="AB77" i="12"/>
  <c r="AD77" i="12"/>
  <c r="AB117" i="12"/>
  <c r="AD117" i="12"/>
  <c r="AB82" i="12"/>
  <c r="AD82" i="12"/>
  <c r="AB101" i="12"/>
  <c r="AD101" i="12"/>
  <c r="AB106" i="12"/>
  <c r="AD106" i="12"/>
  <c r="AB81" i="12"/>
  <c r="AD81" i="12"/>
  <c r="AB120" i="12"/>
  <c r="AD120" i="12"/>
  <c r="AB133" i="12"/>
  <c r="AD133" i="12"/>
  <c r="AB135" i="12"/>
  <c r="AD135" i="12"/>
  <c r="AB119" i="12"/>
  <c r="AD119" i="12"/>
  <c r="AB109" i="12"/>
  <c r="AD109" i="12"/>
  <c r="Z126" i="12"/>
  <c r="Z107" i="12"/>
  <c r="Z112" i="12"/>
  <c r="Z128" i="12"/>
  <c r="Z129" i="12"/>
  <c r="Z124" i="12"/>
  <c r="Z114" i="12"/>
  <c r="Z115" i="12"/>
  <c r="Z132" i="12"/>
  <c r="Z134" i="12"/>
  <c r="Z122" i="12"/>
  <c r="Z77" i="12"/>
  <c r="Z111" i="12"/>
  <c r="Z131" i="12"/>
  <c r="Z127" i="12"/>
  <c r="Z130" i="12"/>
  <c r="Z79" i="12"/>
  <c r="Z116" i="12"/>
  <c r="Z108" i="12"/>
  <c r="Z83" i="12"/>
  <c r="Z104" i="12"/>
  <c r="Z118" i="12"/>
  <c r="Z113" i="12"/>
  <c r="Z78" i="12"/>
  <c r="Z121" i="12"/>
  <c r="Z110" i="12"/>
  <c r="Z123" i="12"/>
  <c r="Z105" i="12"/>
  <c r="Z125" i="12"/>
  <c r="Z80" i="12"/>
  <c r="Z117" i="12"/>
  <c r="Z82" i="12"/>
  <c r="Z101" i="12"/>
  <c r="Z106" i="12"/>
  <c r="Z81" i="12"/>
  <c r="Z120" i="12"/>
  <c r="Z133" i="12"/>
  <c r="Z135" i="12"/>
  <c r="Z119" i="12"/>
  <c r="Z109" i="12"/>
  <c r="L107" i="12"/>
  <c r="N107" i="12"/>
  <c r="L130" i="12"/>
  <c r="N130" i="12"/>
  <c r="L111" i="12"/>
  <c r="N111" i="12"/>
  <c r="L112" i="12"/>
  <c r="N112" i="12"/>
  <c r="L127" i="12"/>
  <c r="N127" i="12"/>
  <c r="L132" i="12"/>
  <c r="N132" i="12"/>
  <c r="L131" i="12"/>
  <c r="N131" i="12"/>
  <c r="L128" i="12"/>
  <c r="N128" i="12"/>
  <c r="L129" i="12"/>
  <c r="N129" i="12"/>
  <c r="L114" i="12"/>
  <c r="N114" i="12"/>
  <c r="L115" i="12"/>
  <c r="N115" i="12"/>
  <c r="L122" i="12"/>
  <c r="N122" i="12"/>
  <c r="L79" i="12"/>
  <c r="N79" i="12"/>
  <c r="L116" i="12"/>
  <c r="N116" i="12"/>
  <c r="L108" i="12"/>
  <c r="N108" i="12"/>
  <c r="L104" i="12"/>
  <c r="N104" i="12"/>
  <c r="L118" i="12"/>
  <c r="N118" i="12"/>
  <c r="L113" i="12"/>
  <c r="N113" i="12"/>
  <c r="L78" i="12"/>
  <c r="N78" i="12"/>
  <c r="L121" i="12"/>
  <c r="N121" i="12"/>
  <c r="L110" i="12"/>
  <c r="N110" i="12"/>
  <c r="L123" i="12"/>
  <c r="N123" i="12"/>
  <c r="L105" i="12"/>
  <c r="N105" i="12"/>
  <c r="L125" i="12"/>
  <c r="N125" i="12"/>
  <c r="L126" i="12"/>
  <c r="N126" i="12"/>
  <c r="L124" i="12"/>
  <c r="N124" i="12"/>
  <c r="L134" i="12"/>
  <c r="N134" i="12"/>
  <c r="L77" i="12"/>
  <c r="N77" i="12"/>
  <c r="L80" i="12"/>
  <c r="N80" i="12"/>
  <c r="L117" i="12"/>
  <c r="N117" i="12"/>
  <c r="L82" i="12"/>
  <c r="N82" i="12"/>
  <c r="L101" i="12"/>
  <c r="N101" i="12"/>
  <c r="L106" i="12"/>
  <c r="N106" i="12"/>
  <c r="L81" i="12"/>
  <c r="N81" i="12"/>
  <c r="L120" i="12"/>
  <c r="N120" i="12"/>
  <c r="L133" i="12"/>
  <c r="N133" i="12"/>
  <c r="L135" i="12"/>
  <c r="N135" i="12"/>
  <c r="L119" i="12"/>
  <c r="N119" i="12"/>
  <c r="L109" i="12"/>
  <c r="N109" i="12"/>
  <c r="D80" i="12"/>
  <c r="F80" i="12"/>
  <c r="H80" i="12"/>
  <c r="H111" i="12"/>
  <c r="F111" i="12"/>
  <c r="F126" i="12"/>
  <c r="H126" i="12"/>
  <c r="H107" i="12"/>
  <c r="F107" i="12"/>
  <c r="H112" i="12"/>
  <c r="F112" i="12"/>
  <c r="H131" i="12"/>
  <c r="F131" i="12"/>
  <c r="H127" i="12"/>
  <c r="F127" i="12"/>
  <c r="D128" i="12"/>
  <c r="H128" i="12"/>
  <c r="F128" i="12"/>
  <c r="H130" i="12"/>
  <c r="F130" i="12"/>
  <c r="D129" i="12"/>
  <c r="F129" i="12"/>
  <c r="H129" i="12"/>
  <c r="F124" i="12"/>
  <c r="H124" i="12"/>
  <c r="H114" i="12"/>
  <c r="F114" i="12"/>
  <c r="F115" i="12"/>
  <c r="H115" i="12"/>
  <c r="D132" i="12"/>
  <c r="F132" i="12"/>
  <c r="H132" i="12"/>
  <c r="D134" i="12"/>
  <c r="F134" i="12"/>
  <c r="H134" i="12"/>
  <c r="D122" i="12"/>
  <c r="H122" i="12"/>
  <c r="F122" i="12"/>
  <c r="D79" i="12"/>
  <c r="F79" i="12"/>
  <c r="H79" i="12"/>
  <c r="H116" i="12"/>
  <c r="F116" i="12"/>
  <c r="D108" i="12"/>
  <c r="H108" i="12"/>
  <c r="F108" i="12"/>
  <c r="F104" i="12"/>
  <c r="H104" i="12"/>
  <c r="D118" i="12"/>
  <c r="F118" i="12"/>
  <c r="H118" i="12"/>
  <c r="D113" i="12"/>
  <c r="H113" i="12"/>
  <c r="F113" i="12"/>
  <c r="D78" i="12"/>
  <c r="F78" i="12"/>
  <c r="H78" i="12"/>
  <c r="H121" i="12"/>
  <c r="F121" i="12"/>
  <c r="H110" i="12"/>
  <c r="F110" i="12"/>
  <c r="F123" i="12"/>
  <c r="H123" i="12"/>
  <c r="F105" i="12"/>
  <c r="H105" i="12"/>
  <c r="H125" i="12"/>
  <c r="F125" i="12"/>
  <c r="D77" i="12"/>
  <c r="H77" i="12"/>
  <c r="D117" i="12"/>
  <c r="F117" i="12"/>
  <c r="H117" i="12"/>
  <c r="D82" i="12"/>
  <c r="F82" i="12"/>
  <c r="H82" i="12"/>
  <c r="D101" i="12"/>
  <c r="F101" i="12"/>
  <c r="H101" i="12"/>
  <c r="H106" i="12"/>
  <c r="F106" i="12"/>
  <c r="D81" i="12"/>
  <c r="H81" i="12"/>
  <c r="F81" i="12"/>
  <c r="D120" i="12"/>
  <c r="H120" i="12"/>
  <c r="F120" i="12"/>
  <c r="D133" i="12"/>
  <c r="H133" i="12"/>
  <c r="F133" i="12"/>
  <c r="H135" i="12"/>
  <c r="F135" i="12"/>
  <c r="F119" i="12"/>
  <c r="H119" i="12"/>
  <c r="F109" i="12"/>
  <c r="H109" i="12"/>
  <c r="I10" i="12" l="1"/>
  <c r="C9" i="12"/>
  <c r="G10" i="12"/>
  <c r="K16" i="8" s="1"/>
  <c r="AC10" i="12"/>
  <c r="K27" i="8" s="1"/>
  <c r="O10" i="12"/>
  <c r="K20" i="8" s="1"/>
  <c r="U10" i="12"/>
  <c r="K23" i="8" s="1"/>
  <c r="N23" i="8" s="1"/>
  <c r="K10" i="12"/>
  <c r="K18" i="8" s="1"/>
  <c r="Y10" i="12"/>
  <c r="K25" i="8" s="1"/>
  <c r="Q10" i="12"/>
  <c r="K21" i="8" s="1"/>
  <c r="N21" i="8" s="1"/>
  <c r="M10" i="12"/>
  <c r="K19" i="8" s="1"/>
  <c r="S10" i="12"/>
  <c r="K22" i="8" s="1"/>
  <c r="N22" i="8" s="1"/>
  <c r="E10" i="12"/>
  <c r="C10" i="12"/>
  <c r="Y9" i="12"/>
  <c r="J25" i="8" s="1"/>
  <c r="AC9" i="12"/>
  <c r="J27" i="8" s="1"/>
  <c r="K24" i="8"/>
  <c r="N24" i="8" s="1"/>
  <c r="W11" i="12"/>
  <c r="E9" i="12"/>
  <c r="M9" i="12"/>
  <c r="J19" i="8" s="1"/>
  <c r="O9" i="12"/>
  <c r="J20" i="8" s="1"/>
  <c r="G9" i="12"/>
  <c r="J16" i="8" s="1"/>
  <c r="K9" i="12"/>
  <c r="J18" i="8" s="1"/>
  <c r="AI10" i="12"/>
  <c r="K30" i="8" s="1"/>
  <c r="N30" i="8" s="1"/>
  <c r="AI9" i="12"/>
  <c r="K26" i="8"/>
  <c r="N26" i="8" s="1"/>
  <c r="AE11" i="12"/>
  <c r="N18" i="8" l="1"/>
  <c r="N16" i="8"/>
  <c r="N27" i="8"/>
  <c r="N20" i="8"/>
  <c r="N25" i="8"/>
  <c r="N19" i="8"/>
  <c r="K17" i="8"/>
  <c r="N17" i="8" s="1"/>
  <c r="I11" i="12"/>
  <c r="O11" i="12"/>
  <c r="C11" i="12"/>
  <c r="AI11" i="12"/>
  <c r="U11" i="12"/>
  <c r="AA11" i="12"/>
  <c r="AC11" i="12"/>
  <c r="Y11" i="12"/>
  <c r="K11" i="12"/>
  <c r="Q11" i="12"/>
  <c r="M11" i="12"/>
  <c r="S11" i="12"/>
  <c r="G11" i="12"/>
  <c r="E11" i="12"/>
  <c r="U14" i="8" l="1"/>
  <c r="U18" i="8"/>
  <c r="U20" i="8"/>
  <c r="U25" i="8"/>
  <c r="U26" i="8"/>
  <c r="U19" i="8"/>
  <c r="U27" i="8"/>
  <c r="U17" i="8"/>
  <c r="U28" i="8"/>
  <c r="U24" i="8"/>
  <c r="U30" i="8"/>
  <c r="U23" i="8"/>
  <c r="U16" i="8"/>
  <c r="U15" i="8"/>
  <c r="U22" i="8"/>
  <c r="U21" i="8"/>
  <c r="U29" i="8"/>
  <c r="O24" i="8" l="1"/>
  <c r="O17" i="8"/>
  <c r="O14" i="8"/>
  <c r="O20" i="8"/>
  <c r="O30" i="8"/>
  <c r="O27" i="8"/>
  <c r="O28" i="8"/>
  <c r="O25" i="8"/>
  <c r="O26" i="8"/>
  <c r="O16" i="8"/>
  <c r="O21" i="8"/>
  <c r="O23" i="8"/>
  <c r="O18" i="8"/>
  <c r="O22" i="8"/>
  <c r="O19" i="8"/>
  <c r="O1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author>
  </authors>
  <commentList>
    <comment ref="T11" authorId="0" shapeId="0" xr:uid="{00000000-0006-0000-0300-000001000000}">
      <text>
        <r>
          <rPr>
            <b/>
            <sz val="9"/>
            <color indexed="81"/>
            <rFont val="Tahoma"/>
            <family val="2"/>
          </rPr>
          <t>Gustavo:</t>
        </r>
        <r>
          <rPr>
            <sz val="9"/>
            <color indexed="81"/>
            <rFont val="Tahoma"/>
            <family val="2"/>
          </rPr>
          <t xml:space="preserve">
Experiencia específica
</t>
        </r>
      </text>
    </comment>
    <comment ref="T33" authorId="0" shapeId="0" xr:uid="{00000000-0006-0000-0300-000002000000}">
      <text>
        <r>
          <rPr>
            <b/>
            <sz val="9"/>
            <color indexed="81"/>
            <rFont val="Tahoma"/>
            <family val="2"/>
          </rPr>
          <t>Gustavo:</t>
        </r>
        <r>
          <rPr>
            <sz val="9"/>
            <color indexed="81"/>
            <rFont val="Tahoma"/>
            <family val="2"/>
          </rPr>
          <t xml:space="preserve">
Experiencia específica
</t>
        </r>
      </text>
    </comment>
    <comment ref="T55" authorId="0" shapeId="0" xr:uid="{00000000-0006-0000-0300-000003000000}">
      <text>
        <r>
          <rPr>
            <b/>
            <sz val="9"/>
            <color rgb="FF000000"/>
            <rFont val="Tahoma"/>
            <family val="2"/>
          </rPr>
          <t>Gustavo:</t>
        </r>
        <r>
          <rPr>
            <sz val="9"/>
            <color rgb="FF000000"/>
            <rFont val="Tahoma"/>
            <family val="2"/>
          </rPr>
          <t xml:space="preserve">
</t>
        </r>
        <r>
          <rPr>
            <sz val="9"/>
            <color rgb="FF000000"/>
            <rFont val="Tahoma"/>
            <family val="2"/>
          </rPr>
          <t xml:space="preserve">Experiencia específica
</t>
        </r>
      </text>
    </comment>
    <comment ref="T77" authorId="0" shapeId="0" xr:uid="{00000000-0006-0000-0300-000004000000}">
      <text>
        <r>
          <rPr>
            <b/>
            <sz val="9"/>
            <color indexed="81"/>
            <rFont val="Tahoma"/>
            <family val="2"/>
          </rPr>
          <t>Gustavo:</t>
        </r>
        <r>
          <rPr>
            <sz val="9"/>
            <color indexed="81"/>
            <rFont val="Tahoma"/>
            <family val="2"/>
          </rPr>
          <t xml:space="preserve">
Experiencia específica
</t>
        </r>
      </text>
    </comment>
    <comment ref="T99" authorId="0" shapeId="0" xr:uid="{00000000-0006-0000-0300-000005000000}">
      <text>
        <r>
          <rPr>
            <b/>
            <sz val="9"/>
            <color indexed="81"/>
            <rFont val="Tahoma"/>
            <family val="2"/>
          </rPr>
          <t>Gustavo:</t>
        </r>
        <r>
          <rPr>
            <sz val="9"/>
            <color indexed="81"/>
            <rFont val="Tahoma"/>
            <family val="2"/>
          </rPr>
          <t xml:space="preserve">
Experiencia específica
</t>
        </r>
      </text>
    </comment>
    <comment ref="T121" authorId="0" shapeId="0" xr:uid="{00000000-0006-0000-0300-000006000000}">
      <text>
        <r>
          <rPr>
            <b/>
            <sz val="9"/>
            <color indexed="81"/>
            <rFont val="Tahoma"/>
            <family val="2"/>
          </rPr>
          <t>Gustavo:</t>
        </r>
        <r>
          <rPr>
            <sz val="9"/>
            <color indexed="81"/>
            <rFont val="Tahoma"/>
            <family val="2"/>
          </rPr>
          <t xml:space="preserve">
Experiencia específica
</t>
        </r>
      </text>
    </comment>
    <comment ref="T143" authorId="0" shapeId="0" xr:uid="{00000000-0006-0000-0300-000007000000}">
      <text>
        <r>
          <rPr>
            <b/>
            <sz val="9"/>
            <color indexed="81"/>
            <rFont val="Tahoma"/>
            <family val="2"/>
          </rPr>
          <t>Gustavo:</t>
        </r>
        <r>
          <rPr>
            <sz val="9"/>
            <color indexed="81"/>
            <rFont val="Tahoma"/>
            <family val="2"/>
          </rPr>
          <t xml:space="preserve">
Experiencia específica
</t>
        </r>
      </text>
    </comment>
    <comment ref="T165" authorId="0" shapeId="0" xr:uid="{00000000-0006-0000-0300-000008000000}">
      <text>
        <r>
          <rPr>
            <b/>
            <sz val="9"/>
            <color indexed="81"/>
            <rFont val="Tahoma"/>
            <family val="2"/>
          </rPr>
          <t>Gustavo:</t>
        </r>
        <r>
          <rPr>
            <sz val="9"/>
            <color indexed="81"/>
            <rFont val="Tahoma"/>
            <family val="2"/>
          </rPr>
          <t xml:space="preserve">
Experiencia específica
</t>
        </r>
      </text>
    </comment>
    <comment ref="T187" authorId="0" shapeId="0" xr:uid="{00000000-0006-0000-0300-000009000000}">
      <text>
        <r>
          <rPr>
            <b/>
            <sz val="9"/>
            <color indexed="81"/>
            <rFont val="Tahoma"/>
            <family val="2"/>
          </rPr>
          <t>Gustavo:</t>
        </r>
        <r>
          <rPr>
            <sz val="9"/>
            <color indexed="81"/>
            <rFont val="Tahoma"/>
            <family val="2"/>
          </rPr>
          <t xml:space="preserve">
Experiencia específica
</t>
        </r>
      </text>
    </comment>
    <comment ref="T209" authorId="0" shapeId="0" xr:uid="{00000000-0006-0000-0300-00000A000000}">
      <text>
        <r>
          <rPr>
            <b/>
            <sz val="9"/>
            <color indexed="81"/>
            <rFont val="Tahoma"/>
            <family val="2"/>
          </rPr>
          <t>Gustavo:</t>
        </r>
        <r>
          <rPr>
            <sz val="9"/>
            <color indexed="81"/>
            <rFont val="Tahoma"/>
            <family val="2"/>
          </rPr>
          <t xml:space="preserve">
Experiencia específica
</t>
        </r>
      </text>
    </comment>
    <comment ref="T231" authorId="0" shapeId="0" xr:uid="{00000000-0006-0000-0300-00000B000000}">
      <text>
        <r>
          <rPr>
            <b/>
            <sz val="9"/>
            <color indexed="81"/>
            <rFont val="Tahoma"/>
            <family val="2"/>
          </rPr>
          <t>Gustavo:</t>
        </r>
        <r>
          <rPr>
            <sz val="9"/>
            <color indexed="81"/>
            <rFont val="Tahoma"/>
            <family val="2"/>
          </rPr>
          <t xml:space="preserve">
Experiencia específica
</t>
        </r>
      </text>
    </comment>
    <comment ref="T253" authorId="0" shapeId="0" xr:uid="{00000000-0006-0000-0300-00000C000000}">
      <text>
        <r>
          <rPr>
            <b/>
            <sz val="9"/>
            <color indexed="81"/>
            <rFont val="Tahoma"/>
            <family val="2"/>
          </rPr>
          <t>Gustavo:</t>
        </r>
        <r>
          <rPr>
            <sz val="9"/>
            <color indexed="81"/>
            <rFont val="Tahoma"/>
            <family val="2"/>
          </rPr>
          <t xml:space="preserve">
Experiencia específica
</t>
        </r>
      </text>
    </comment>
    <comment ref="T275" authorId="0" shapeId="0" xr:uid="{00000000-0006-0000-0300-00000D000000}">
      <text>
        <r>
          <rPr>
            <b/>
            <sz val="9"/>
            <color indexed="81"/>
            <rFont val="Tahoma"/>
            <family val="2"/>
          </rPr>
          <t>Gustavo:</t>
        </r>
        <r>
          <rPr>
            <sz val="9"/>
            <color indexed="81"/>
            <rFont val="Tahoma"/>
            <family val="2"/>
          </rPr>
          <t xml:space="preserve">
Experiencia específica
</t>
        </r>
      </text>
    </comment>
    <comment ref="T297" authorId="0" shapeId="0" xr:uid="{00000000-0006-0000-0300-00000E000000}">
      <text>
        <r>
          <rPr>
            <b/>
            <sz val="9"/>
            <color indexed="81"/>
            <rFont val="Tahoma"/>
            <family val="2"/>
          </rPr>
          <t>Gustavo:</t>
        </r>
        <r>
          <rPr>
            <sz val="9"/>
            <color indexed="81"/>
            <rFont val="Tahoma"/>
            <family val="2"/>
          </rPr>
          <t xml:space="preserve">
Experiencia específica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Gustavo</author>
  </authors>
  <commentList>
    <comment ref="T11" authorId="0" shapeId="0" xr:uid="{00000000-0006-0000-0400-000001000000}">
      <text>
        <r>
          <rPr>
            <b/>
            <sz val="9"/>
            <color indexed="81"/>
            <rFont val="Tahoma"/>
            <family val="2"/>
          </rPr>
          <t>Gustavo:</t>
        </r>
        <r>
          <rPr>
            <sz val="9"/>
            <color indexed="81"/>
            <rFont val="Tahoma"/>
            <family val="2"/>
          </rPr>
          <t xml:space="preserve">
Experiencia específica
</t>
        </r>
      </text>
    </comment>
    <comment ref="T33" authorId="0" shapeId="0" xr:uid="{00000000-0006-0000-0400-000002000000}">
      <text>
        <r>
          <rPr>
            <b/>
            <sz val="9"/>
            <color indexed="81"/>
            <rFont val="Tahoma"/>
            <family val="2"/>
          </rPr>
          <t>Gustavo:</t>
        </r>
        <r>
          <rPr>
            <sz val="9"/>
            <color indexed="81"/>
            <rFont val="Tahoma"/>
            <family val="2"/>
          </rPr>
          <t xml:space="preserve">
Experiencia específica
</t>
        </r>
      </text>
    </comment>
    <comment ref="T55" authorId="0" shapeId="0" xr:uid="{00000000-0006-0000-0400-000003000000}">
      <text>
        <r>
          <rPr>
            <b/>
            <sz val="9"/>
            <color indexed="81"/>
            <rFont val="Tahoma"/>
            <family val="2"/>
          </rPr>
          <t>Gustavo:</t>
        </r>
        <r>
          <rPr>
            <sz val="9"/>
            <color indexed="81"/>
            <rFont val="Tahoma"/>
            <family val="2"/>
          </rPr>
          <t xml:space="preserve">
Experiencia específica
</t>
        </r>
      </text>
    </comment>
    <comment ref="T77" authorId="0" shapeId="0" xr:uid="{00000000-0006-0000-0400-000004000000}">
      <text>
        <r>
          <rPr>
            <b/>
            <sz val="9"/>
            <color indexed="81"/>
            <rFont val="Tahoma"/>
            <family val="2"/>
          </rPr>
          <t>Gustavo:</t>
        </r>
        <r>
          <rPr>
            <sz val="9"/>
            <color indexed="81"/>
            <rFont val="Tahoma"/>
            <family val="2"/>
          </rPr>
          <t xml:space="preserve">
Experiencia específica
</t>
        </r>
      </text>
    </comment>
    <comment ref="T99" authorId="0" shapeId="0" xr:uid="{00000000-0006-0000-0400-000005000000}">
      <text>
        <r>
          <rPr>
            <b/>
            <sz val="9"/>
            <color indexed="81"/>
            <rFont val="Tahoma"/>
            <family val="2"/>
          </rPr>
          <t>Gustavo:</t>
        </r>
        <r>
          <rPr>
            <sz val="9"/>
            <color indexed="81"/>
            <rFont val="Tahoma"/>
            <family val="2"/>
          </rPr>
          <t xml:space="preserve">
Experiencia específica
</t>
        </r>
      </text>
    </comment>
    <comment ref="T121" authorId="0" shapeId="0" xr:uid="{00000000-0006-0000-0400-000006000000}">
      <text>
        <r>
          <rPr>
            <b/>
            <sz val="9"/>
            <color indexed="81"/>
            <rFont val="Tahoma"/>
            <family val="2"/>
          </rPr>
          <t>Gustavo:</t>
        </r>
        <r>
          <rPr>
            <sz val="9"/>
            <color indexed="81"/>
            <rFont val="Tahoma"/>
            <family val="2"/>
          </rPr>
          <t xml:space="preserve">
Experiencia específica
</t>
        </r>
      </text>
    </comment>
    <comment ref="T143" authorId="0" shapeId="0" xr:uid="{00000000-0006-0000-0400-000007000000}">
      <text>
        <r>
          <rPr>
            <b/>
            <sz val="9"/>
            <color indexed="81"/>
            <rFont val="Tahoma"/>
            <family val="2"/>
          </rPr>
          <t>Gustavo:</t>
        </r>
        <r>
          <rPr>
            <sz val="9"/>
            <color indexed="81"/>
            <rFont val="Tahoma"/>
            <family val="2"/>
          </rPr>
          <t xml:space="preserve">
Experiencia específica
</t>
        </r>
      </text>
    </comment>
    <comment ref="T165" authorId="0" shapeId="0" xr:uid="{00000000-0006-0000-0400-000008000000}">
      <text>
        <r>
          <rPr>
            <b/>
            <sz val="9"/>
            <color indexed="81"/>
            <rFont val="Tahoma"/>
            <family val="2"/>
          </rPr>
          <t>Gustavo:</t>
        </r>
        <r>
          <rPr>
            <sz val="9"/>
            <color indexed="81"/>
            <rFont val="Tahoma"/>
            <family val="2"/>
          </rPr>
          <t xml:space="preserve">
Experiencia específica
</t>
        </r>
      </text>
    </comment>
    <comment ref="T187" authorId="0" shapeId="0" xr:uid="{00000000-0006-0000-0400-000009000000}">
      <text>
        <r>
          <rPr>
            <b/>
            <sz val="9"/>
            <color indexed="81"/>
            <rFont val="Tahoma"/>
            <family val="2"/>
          </rPr>
          <t>Gustavo:</t>
        </r>
        <r>
          <rPr>
            <sz val="9"/>
            <color indexed="81"/>
            <rFont val="Tahoma"/>
            <family val="2"/>
          </rPr>
          <t xml:space="preserve">
Experiencia específica
</t>
        </r>
      </text>
    </comment>
    <comment ref="T209" authorId="0" shapeId="0" xr:uid="{00000000-0006-0000-0400-00000A000000}">
      <text>
        <r>
          <rPr>
            <b/>
            <sz val="9"/>
            <color indexed="81"/>
            <rFont val="Tahoma"/>
            <family val="2"/>
          </rPr>
          <t>Gustavo:</t>
        </r>
        <r>
          <rPr>
            <sz val="9"/>
            <color indexed="81"/>
            <rFont val="Tahoma"/>
            <family val="2"/>
          </rPr>
          <t xml:space="preserve">
Experiencia específica
</t>
        </r>
      </text>
    </comment>
    <comment ref="T231" authorId="0" shapeId="0" xr:uid="{00000000-0006-0000-0400-00000B000000}">
      <text>
        <r>
          <rPr>
            <b/>
            <sz val="9"/>
            <color indexed="81"/>
            <rFont val="Tahoma"/>
            <family val="2"/>
          </rPr>
          <t>Gustavo:</t>
        </r>
        <r>
          <rPr>
            <sz val="9"/>
            <color indexed="81"/>
            <rFont val="Tahoma"/>
            <family val="2"/>
          </rPr>
          <t xml:space="preserve">
Experiencia específica
</t>
        </r>
      </text>
    </comment>
    <comment ref="T253" authorId="0" shapeId="0" xr:uid="{00000000-0006-0000-0400-00000C000000}">
      <text>
        <r>
          <rPr>
            <b/>
            <sz val="9"/>
            <color indexed="81"/>
            <rFont val="Tahoma"/>
            <family val="2"/>
          </rPr>
          <t>Gustavo:</t>
        </r>
        <r>
          <rPr>
            <sz val="9"/>
            <color indexed="81"/>
            <rFont val="Tahoma"/>
            <family val="2"/>
          </rPr>
          <t xml:space="preserve">
Experiencia específica
</t>
        </r>
      </text>
    </comment>
    <comment ref="T275" authorId="0" shapeId="0" xr:uid="{00000000-0006-0000-0400-00000D000000}">
      <text>
        <r>
          <rPr>
            <b/>
            <sz val="9"/>
            <color indexed="81"/>
            <rFont val="Tahoma"/>
            <family val="2"/>
          </rPr>
          <t>Gustavo:</t>
        </r>
        <r>
          <rPr>
            <sz val="9"/>
            <color indexed="81"/>
            <rFont val="Tahoma"/>
            <family val="2"/>
          </rPr>
          <t xml:space="preserve">
Experiencia específica
</t>
        </r>
      </text>
    </comment>
    <comment ref="T297" authorId="0" shapeId="0" xr:uid="{00000000-0006-0000-0400-00000E000000}">
      <text>
        <r>
          <rPr>
            <b/>
            <sz val="9"/>
            <color indexed="81"/>
            <rFont val="Tahoma"/>
            <family val="2"/>
          </rPr>
          <t>Gustavo:</t>
        </r>
        <r>
          <rPr>
            <sz val="9"/>
            <color indexed="81"/>
            <rFont val="Tahoma"/>
            <family val="2"/>
          </rPr>
          <t xml:space="preserve">
Experiencia específica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Gustavo</author>
  </authors>
  <commentList>
    <comment ref="D8" authorId="0" shapeId="0" xr:uid="{00000000-0006-0000-0C00-000001000000}">
      <text>
        <r>
          <rPr>
            <b/>
            <sz val="9"/>
            <color indexed="81"/>
            <rFont val="Tahoma"/>
            <family val="2"/>
          </rPr>
          <t>Fecha de la TRM</t>
        </r>
      </text>
    </comment>
  </commentList>
</comments>
</file>

<file path=xl/sharedStrings.xml><?xml version="1.0" encoding="utf-8"?>
<sst xmlns="http://schemas.openxmlformats.org/spreadsheetml/2006/main" count="1412" uniqueCount="336">
  <si>
    <t>UNIVERSIDAD DE ANTIOQUIA</t>
  </si>
  <si>
    <t>OBJETO:</t>
  </si>
  <si>
    <t>NRO</t>
  </si>
  <si>
    <t>OFERENTE</t>
  </si>
  <si>
    <r>
      <rPr>
        <b/>
        <sz val="10"/>
        <rFont val="Arial"/>
        <family val="2"/>
      </rPr>
      <t>OBSERVACIÓN:</t>
    </r>
    <r>
      <rPr>
        <sz val="10"/>
        <rFont val="Arial"/>
        <family val="2"/>
      </rPr>
      <t xml:space="preserve">
</t>
    </r>
  </si>
  <si>
    <t>APERTURA DE SOBRES</t>
  </si>
  <si>
    <t>N°</t>
  </si>
  <si>
    <t>HORA DE RECIBIDO</t>
  </si>
  <si>
    <t>PROPONENTES</t>
  </si>
  <si>
    <t>NIT/CC</t>
  </si>
  <si>
    <t>OBSERVACIONES</t>
  </si>
  <si>
    <t>EVALUACIÓN DE REQUISITOS JURÍDICOS</t>
  </si>
  <si>
    <t>NIT O CÉDULA</t>
  </si>
  <si>
    <t>Numeral</t>
  </si>
  <si>
    <t>Aseguradora:</t>
  </si>
  <si>
    <t>5.1.2. Requisitos personas jurídicas de forma individual</t>
  </si>
  <si>
    <t>Póliza número:</t>
  </si>
  <si>
    <t>valor asegurado:</t>
  </si>
  <si>
    <t>Vigencia [dias]:</t>
  </si>
  <si>
    <t>CUMPLE/NO CUMPLE:</t>
  </si>
  <si>
    <t>EVALUACIÓN DE EXPERIENCIA GENERAL</t>
  </si>
  <si>
    <t>COCIENTE EVALUACIÓN</t>
  </si>
  <si>
    <t>PRESUPUESTO OFICIAL</t>
  </si>
  <si>
    <t>EN PESOS</t>
  </si>
  <si>
    <t>EN SMMLV</t>
  </si>
  <si>
    <t>EXPERIENCIA GENERAL Y ESPECÍFICA</t>
  </si>
  <si>
    <t>CERTIFICADOS PRESENTADOS</t>
  </si>
  <si>
    <t>ITEM</t>
  </si>
  <si>
    <t>N° DEL CONSECUTIVO DEL REPORTE DEL CONTRATO EJECUTADO EN EL RUP (1)</t>
  </si>
  <si>
    <t>N° de Folio en el RUP (2)</t>
  </si>
  <si>
    <t>CONTRATO (3)</t>
  </si>
  <si>
    <t>CONTRATANTE (4)</t>
  </si>
  <si>
    <t>EN SMMLV (5)</t>
  </si>
  <si>
    <t>FORMA DE
EJECUCIÓN (6)</t>
  </si>
  <si>
    <t>% de Participación (7)</t>
  </si>
  <si>
    <t>CLASIFICACIÓN DEL OBJETO DEL CONTRATO (8)</t>
  </si>
  <si>
    <t>PRESENTACIÓN DE CERTIFICADOS (9)</t>
  </si>
  <si>
    <t>ALCANCE DEL OBJETO CONTRACTUAL (10)</t>
  </si>
  <si>
    <t>VALORACIÓN DE OBSERVACIONES (11)</t>
  </si>
  <si>
    <t>VALORACIÓN DE REQUERIMIENTOS ENTREGADOS(12)</t>
  </si>
  <si>
    <t>SMMLV DE PARTICIPACIÓN PONDERADOS (13)</t>
  </si>
  <si>
    <t>TABLA RESUMEN EXPERIENCIA</t>
  </si>
  <si>
    <t>ESTATUS</t>
  </si>
  <si>
    <t>VALIDACIÓN DE CODIGOS SEGÚN TABLA  3 (CODIGOS UNSPSC) DE LOS TÉRMINOS DE REFERENCIA</t>
  </si>
  <si>
    <t>VALORACIÓN</t>
  </si>
  <si>
    <t>T</t>
  </si>
  <si>
    <t>TOTAL EXPERIENCIA ESPECÍFICA EN SMMLV</t>
  </si>
  <si>
    <t>INDICE SUMATORIA CONTRATOS/PRESUPUESTO OFICIAL</t>
  </si>
  <si>
    <t>EVALUACIÓN EXPERIENCIA - INDICADORES FINANCIEROS</t>
  </si>
  <si>
    <t>PROPONENTE</t>
  </si>
  <si>
    <t>INDICADOR 1</t>
  </si>
  <si>
    <t>INDICADOR 2</t>
  </si>
  <si>
    <t>ÍNDICE DE ENDEUDAMIENTO</t>
  </si>
  <si>
    <t>IE = PT/AT &lt;=
Siendo PT = pasivo total 
AT = activo total</t>
  </si>
  <si>
    <t>CAPITAL DE TRABAJO</t>
  </si>
  <si>
    <t>CT = AC-PC ≥ PO*0,5
Siendo PO = Presupuesto Oficial</t>
  </si>
  <si>
    <t>PASIVO TOTAL</t>
  </si>
  <si>
    <t>ACTIVO TOTAL</t>
  </si>
  <si>
    <t>TOTAL</t>
  </si>
  <si>
    <t>ESTADO</t>
  </si>
  <si>
    <t>ACTIVO CORRIENTE</t>
  </si>
  <si>
    <t>PASIVO CORRIENTE</t>
  </si>
  <si>
    <t>TABLA RESUMEN</t>
  </si>
  <si>
    <t>PEGUE AQUÍ EL LOGO DEL OFERENTE</t>
  </si>
  <si>
    <t>PONDERACIÓN DE HABILITACIÓN</t>
  </si>
  <si>
    <t>VERIFICACIÓN DE REDONDEO</t>
  </si>
  <si>
    <t>DIFERENCIA</t>
  </si>
  <si>
    <t>REDONDEO</t>
  </si>
  <si>
    <t>EVALUACIÓN ECONÓMICA - DEFINICIÓN DE MÉTODO DE EVALUACIÓN Y CÁLCULO DE PUNTAJES</t>
  </si>
  <si>
    <t>TRM día siguiente</t>
  </si>
  <si>
    <t>Asignar de acuerdo al proceso</t>
  </si>
  <si>
    <t>MÉTODO DE EVALUACIÓN DE ACUERDO A TRM</t>
  </si>
  <si>
    <t>Presupuesto Total</t>
  </si>
  <si>
    <t>Fecha</t>
  </si>
  <si>
    <t>Media aritmética</t>
  </si>
  <si>
    <t># propuestas (n)</t>
  </si>
  <si>
    <t>Valor máximo de la sumatoria de valores unitarios</t>
  </si>
  <si>
    <t>Desviación estándar</t>
  </si>
  <si>
    <t>MÁXIMO PUNTAJE A ASIGNAR PARA Pti</t>
  </si>
  <si>
    <t>*H=Habilitado  NH=No habilitado</t>
  </si>
  <si>
    <t>Nro</t>
  </si>
  <si>
    <t>NOMBRE OFERENTE</t>
  </si>
  <si>
    <t>ESTADO*</t>
  </si>
  <si>
    <t>SUMATORIA DE VALORES UNITARIOS</t>
  </si>
  <si>
    <r>
      <t>PUNTAJE (Pt</t>
    </r>
    <r>
      <rPr>
        <b/>
        <vertAlign val="subscript"/>
        <sz val="12"/>
        <rFont val="Calibri"/>
        <family val="2"/>
        <scheme val="minor"/>
      </rPr>
      <t>1</t>
    </r>
    <r>
      <rPr>
        <b/>
        <sz val="12"/>
        <rFont val="Calibri"/>
        <family val="2"/>
        <scheme val="minor"/>
      </rPr>
      <t>)</t>
    </r>
  </si>
  <si>
    <r>
      <t>PUNTAJE (Pt</t>
    </r>
    <r>
      <rPr>
        <b/>
        <vertAlign val="subscript"/>
        <sz val="12"/>
        <rFont val="Calibri"/>
        <family val="2"/>
        <scheme val="minor"/>
      </rPr>
      <t>2A</t>
    </r>
    <r>
      <rPr>
        <b/>
        <sz val="12"/>
        <rFont val="Calibri"/>
        <family val="2"/>
        <scheme val="minor"/>
      </rPr>
      <t>)</t>
    </r>
  </si>
  <si>
    <r>
      <t>PUNTAJE (Pt</t>
    </r>
    <r>
      <rPr>
        <b/>
        <vertAlign val="subscript"/>
        <sz val="12"/>
        <rFont val="Calibri"/>
        <family val="2"/>
        <scheme val="minor"/>
      </rPr>
      <t>2B</t>
    </r>
    <r>
      <rPr>
        <b/>
        <sz val="12"/>
        <rFont val="Calibri"/>
        <family val="2"/>
        <scheme val="minor"/>
      </rPr>
      <t>)</t>
    </r>
  </si>
  <si>
    <t>PUNTAJE (Pt3)</t>
  </si>
  <si>
    <t>PUNTAJE TOTAL</t>
  </si>
  <si>
    <t>ORDEN ELEGIBILIDAD</t>
  </si>
  <si>
    <t>OBSERVACIONES CON RESPECTO A PROPUESTA ECONÓMICA</t>
  </si>
  <si>
    <t>ORDEN</t>
  </si>
  <si>
    <t xml:space="preserve"> </t>
  </si>
  <si>
    <t>Item</t>
  </si>
  <si>
    <t>VERIFICACIÓN DE ITEMS</t>
  </si>
  <si>
    <t>VERIFICACIÓN DE DESCRIPCIÓN</t>
  </si>
  <si>
    <t>VERIFICACIÓN DE UNIDADES</t>
  </si>
  <si>
    <t>VERIFICACIÓN DE CANTIDADES</t>
  </si>
  <si>
    <t>VERIFICACIÓN DE PRECIOS UNITARIOS</t>
  </si>
  <si>
    <t>VERIFICACIÓN DE VALORES TOTALES</t>
  </si>
  <si>
    <t xml:space="preserve">ITEMS </t>
  </si>
  <si>
    <t>DIRECCION INICIAL</t>
  </si>
  <si>
    <t>DIFERENCIA DIRECCIÓN</t>
  </si>
  <si>
    <t>VERIFICACIÓN DE PRESUPUESTO</t>
  </si>
  <si>
    <t>DIRECCIÒN AU</t>
  </si>
  <si>
    <t>DIFERENCIA DIRECCIÒN</t>
  </si>
  <si>
    <t>AU TOTALES</t>
  </si>
  <si>
    <t>DIRECCIÓN COSTO UNITARIO</t>
  </si>
  <si>
    <t>VERIFICACIÓN DE VALORES UNITARIOS TOTALES</t>
  </si>
  <si>
    <t>RESUMEN CUADRO DE HABILITACIÓN</t>
  </si>
  <si>
    <t>ESTATUS CAPACIDAD FINANCIERA</t>
  </si>
  <si>
    <t>ESTATUS REQUISITOS COMERCIALES</t>
  </si>
  <si>
    <t>ESTATUS REQUISITOS JURÍDICOS</t>
  </si>
  <si>
    <t>ESTATUS GENERAL</t>
  </si>
  <si>
    <t>CONCLUSIONES</t>
  </si>
  <si>
    <t>ESTATUS EXPERIENCIA GENERAL Y ESPECIFICA</t>
  </si>
  <si>
    <t>CALCULO DE Pt2</t>
  </si>
  <si>
    <t>Número total de ítems</t>
  </si>
  <si>
    <t>ASIGNACIÓN DE PUNTAJE PARA Pt3:</t>
  </si>
  <si>
    <t>Método de evaluación</t>
  </si>
  <si>
    <t>IR</t>
  </si>
  <si>
    <t>(IR) Ítems representativos</t>
  </si>
  <si>
    <t>(IRES) Ítems restantes</t>
  </si>
  <si>
    <t>IRES</t>
  </si>
  <si>
    <t>Proponente</t>
  </si>
  <si>
    <t>Estado</t>
  </si>
  <si>
    <t>Pt2A</t>
  </si>
  <si>
    <t>Pt2B</t>
  </si>
  <si>
    <t>Pt2 TOTAL</t>
  </si>
  <si>
    <t>(IR) ITEMS REPRESENTATIVOS</t>
  </si>
  <si>
    <t>(IRES) ITEMS RESTANTES</t>
  </si>
  <si>
    <t>N° PÓLIZA SERIEDAD</t>
  </si>
  <si>
    <t>Póliza de seriedad de la oferta a favor de entidades Estatales y a nombre de la Universidad de Antioquia.</t>
  </si>
  <si>
    <t>SALARIO MÍNIMO 2021</t>
  </si>
  <si>
    <t xml:space="preserve">VERIFICACIÓN CONDICIÓN DE EXPERIENCIA  </t>
  </si>
  <si>
    <t>ESTATUS PRESUPUESTO</t>
  </si>
  <si>
    <t>COSTOS DIRECTOS</t>
  </si>
  <si>
    <t>No estar en mora en el Sistema Registro Nacional de Medidas Correctivas RNMC de la Policía Nacional de Colombia (artículo 183 de la Ley 1801 de 2016)</t>
  </si>
  <si>
    <t>Estar inscrita en el Registro Único de Tributario.</t>
  </si>
  <si>
    <t>Haber cumplido con los aportes al Sistema de Seguridad Social Integral y Parafiscales , en los seis (6) meses anteriores a la presentación de la propuesta Comercial y encontrarse a paz y salvo con el sistema. Si tiene acuerdos de pago deberá certificarlo.</t>
  </si>
  <si>
    <t>No estar reportada al Boletín de Responsables Fiscales de la Contraloría General de la República (Art. 60 Ley 610 de 2000; Circular 005 del 25 de febrero de 2008).</t>
  </si>
  <si>
    <t>R</t>
  </si>
  <si>
    <t>NR</t>
  </si>
  <si>
    <t xml:space="preserve">Tener capacidad jurídica para contratar. Por tanto, el Proponente debe:
(i) Ser persona jurídica con capacidad jurídica para celebrar contratos;
(ii) Tener como objeto social principal, o conexo, las actividades establecidas en el objeto de la presente INVITACIÓN;
(iii) Haber sido registrada por lo menos TRES (3) años antes de la fecha de apertura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UdeA., según la Constitución y la Ley; y el Acuerdo Superior 395 de 2011 (Por el cual se regula el conflicto de intereses del servidor público en la Universidad de Antioquia).
(vii) No tener ninguna de estas situaciones: Cesación de pagos o, cualquier otra circunstancia que justificadamente permita a la UdeA presumir incapacidad o imposibilidad jurídica, económica o técnica para cumplir el objeto del contrato.
</t>
  </si>
  <si>
    <t xml:space="preserve">
i) Ser el representante legal: Ingeniero Civil, Arquitecto, Arquitecto Constructor, o Ingeniero Constructor.
(ii) Tener matrícula profesional vigente, que haya sido expedida mínimo TRES (3) años antes del cierre de la presente INVITACIÓN.
Cuando el representante legal NO CUMPLA el requisito anterior, la propuesta debe ser también FIRMADA o ABONADA, por un profesional que SÍ cumpla el requisito. Debe adjuntar los medios de prueba requeridos.
</t>
  </si>
  <si>
    <t xml:space="preserve">Estar inscrita, calificada y clasificada en el Registro Único de PROPONENTES –RUP- de la Cámara de Comercio de su domicilio antes de la fecha de cierre o entrega de propuestas de esta invitación, en alguna de las clasificaciones de la UNSPSC, establecidas en la Tabla 4, códigos 721015 – 721033 – 721513 </t>
  </si>
  <si>
    <t>Observación</t>
  </si>
  <si>
    <t>CUMPLE</t>
  </si>
  <si>
    <t>LS</t>
  </si>
  <si>
    <t>LI</t>
  </si>
  <si>
    <t>C</t>
  </si>
  <si>
    <t>PRESENTÓ CERTIFICADO</t>
  </si>
  <si>
    <t>ACORDE A ITEM 5.2.2 (T.R.)</t>
  </si>
  <si>
    <t>SIN OBSERVACIÓN</t>
  </si>
  <si>
    <t>NINGUNO</t>
  </si>
  <si>
    <t>SI</t>
  </si>
  <si>
    <t>No. 08-6-16170-2015</t>
  </si>
  <si>
    <t>POLICIA NACIONAL DIRECCION DE BIENESTAR SOCIAL</t>
  </si>
  <si>
    <t>PROMEDIO</t>
  </si>
  <si>
    <t>Desv</t>
  </si>
  <si>
    <t>Se recibieron cuatro (4) propuestas tecnico-económicas</t>
  </si>
  <si>
    <t>El Contratista se obliga con el Contratante a la ejecución de la Interventoría administrativa, financiera, contable, ambiental, social, jurídica y la supervisión técnica independiente conforme al Decreto No. 945 de 5 de junio de 2017, para el contrato de obra de la Nueva Infraestructura Ciudadela Luis Javier Arroyave Morales etapa 1, ubicada en el Municipio de Medellín.</t>
  </si>
  <si>
    <t>Invitación Pública N°  VA-036-2021</t>
  </si>
  <si>
    <t>KER INGENIERIA S.A.S.</t>
  </si>
  <si>
    <t>UNIÓN TEMPORAL SUPERVISOR 2021</t>
  </si>
  <si>
    <t>PreVeo S.A.S</t>
  </si>
  <si>
    <t>INTERVE S.A.S</t>
  </si>
  <si>
    <t>FECHA CIERRE: 11/10/2021</t>
  </si>
  <si>
    <t>HORA:15:00</t>
  </si>
  <si>
    <t>Resúmen: se recibieron cuatro (4) propuestas.
EQUIPO TÉCNICO DE EVALUACIÓN
DIVISIÓN DE INFRAESTRUCTURA FÍSICA</t>
  </si>
  <si>
    <t>COSTO DIRECTO PERSONAL</t>
  </si>
  <si>
    <t>FACTOR MULTIPLICADOR</t>
  </si>
  <si>
    <t>TOTAL PROPUESTA ECONÓMICA</t>
  </si>
  <si>
    <t>2.19</t>
  </si>
  <si>
    <t>2.56</t>
  </si>
  <si>
    <t>2.40</t>
  </si>
  <si>
    <t>2.4</t>
  </si>
  <si>
    <t>65-44-101203823</t>
  </si>
  <si>
    <t>NB-100179940</t>
  </si>
  <si>
    <t>REQUISITOS JURÍDICOS DE PARTICIPACIÓN  (personas naturales y jurídicas) numeral 6,2.1</t>
  </si>
  <si>
    <t xml:space="preserve">Tener capacidad jurídica para contratar. Por tanto, el Proponente debe:
 (i) Ser persona jurídica con capacidad jurídica para celebrar contratos;
(ii) Tener como objeto social principal, o conexo, las actividades establecidas en el objeto de la presente INVITACIÓN;
(iii) Haber sido registrada por lo menos cinco (5) años antes de la fecha de cierre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U.de.A., según la Constitución y la Ley; y el Acuerdo Superior 395 de 2011 (por el cual se regula el conflicto de intereses del servidor público en la Universidad de Antioquia).
(vii) No tener ninguna de estas situaciones: Cesación de pagos o, cualquier otra circunstancia que justificadamente permita a la U.de.A presumir incapacidad o imposibilidad jurídica, económica o técnica para cumplir el objeto del contrato.
</t>
  </si>
  <si>
    <t xml:space="preserve">(i)  Ser el representante legal: ingeniero civil, ingeniero constructor, arquitecto o arquitecto constructor.
(ii) Tener matrícula profesional vigente, que haya sido expedida mínimo Cinco (5) años antes del cierre de la presente INVITACIÓN.
Cuando el representante legal NO CUMPLA el requisito anterior, la propuesta debe ser FIRMADA o ABONADA por un profesional que SÍ cumpla el requisito.
</t>
  </si>
  <si>
    <t>6.2.1 Requisitos personas jurídicas</t>
  </si>
  <si>
    <t>Estar inscrita, calificada y clasificada en el Registro Único de PROPONENTES –
RUP- de la Cámara de Comercio de su domicilio antes de la fecha de cierre o
entrega de propuestas de esta invitación, en alguna de las clasificaciones de la
UNSPSC, establecidas en la Tabla 2 en los códigos: 801016, 811015 y 841116 y
obligatorio estar en 811015</t>
  </si>
  <si>
    <t>Póliza de seriedad de la oferta a favor de entidades Estatales y a nombre de la UdeA.</t>
  </si>
  <si>
    <t>INDICADOR 3</t>
  </si>
  <si>
    <t>ROE</t>
  </si>
  <si>
    <t>Beneficio neto/Fondos propios
medios</t>
  </si>
  <si>
    <t>Haber ejecutado contratos en COLOMBIA o en el EXTERIOR y que dentro de su objeto o alcance incluyan: Interventoría a obras de Construcción de edificaciones de los grupos de uso I, II, III o IV,
conforme al título A de la NSR-10.
Se aceptarán sólo aquellas propuestas que certifiquen experiencia GENERAL acreditada en hasta cinco (5) certificados o actas de liquidación de contratos ejecutados y liquidados, que dentro de su objeto o
alcance incluyan Interventoría o Supervisión Técnica Independiente, mínimo uno (1) debe corresponder a Interventoría, a obras de Construcción de edificaciones de grupos de uso I, II, III
o IV, conforme al título A de la NSR-10. y que cada certificado aportado deberá estar en alguna de las clasificaciones de la UNSPSC, establecidas en la Tabla 2 en los códigos: 801016, 811015 y 841116
y obligatorio estar en 811015</t>
  </si>
  <si>
    <t>Dentro de su objeto o alcance incluyan Interventoría o Supervisión Técnica Independiente, mínimo uno (1) debe
corresponder a Interventoría, a obras de Construcción de edificaciones de grupos de uso I, II, III
o IV, conforme al título A de la NSR-10.
Obligatorio estar en 811015</t>
  </si>
  <si>
    <t>EVALUACIÓN DE EXPERIENCIA ESPECIFICA</t>
  </si>
  <si>
    <t xml:space="preserve">EXPERIENCIA GENERAL </t>
  </si>
  <si>
    <t>Experiencia como Supervisor Técnico Independiente: Bajos los lineamientos del decreto 945 del 5 de junio de 2017.
De acuerdo con el Título V de la Ley 400 de 1997 y la Ley 1796 de 2016, la construcción de estructuras de edificaciones, o unidades constructivas, que tengan o superen los dos mil metros
cuadrados (2000 m²) de área construida, independientemente de su uso, deben someterse a una supervisión técnica independiente realizada de acuerdo con lo establecido en el Título I del
Reglamento NSR-10 en alguna de sus cuatro (4) categorías: I, II III o IV.
Debe presentar tres (3) contratos como Supervisor Técnico Independiente en experiencia en edificaciones conforme al numeral A.2.5.1 Grupos de Uso, de la NSR-10 en alguna de sus cuatro
(4) categorías: I, II III o IV.</t>
  </si>
  <si>
    <t>EXPERIENCIA ESPECÍFICA</t>
  </si>
  <si>
    <t>Cumple con el requerimiento del numeral 6.2.2.2.1</t>
  </si>
  <si>
    <t>VALIDACIÓN EXPERIENCIA OCT</t>
  </si>
  <si>
    <t>Presentar un certificado de experiencia en proyectos terminados o en ejecución, de cualquier grupo
de uso conforme al numeral A.2.5.1 Grupos de Uso, de la NSR-10 en alguna de sus categorías: I, II
III o IV, donde al proyecto de obra le hayan expedido póliza o pre póliza decenal.</t>
  </si>
  <si>
    <t>SI/NO</t>
  </si>
  <si>
    <t>SE EXPIDIÓ PÓLIZA O PREPOLIZA</t>
  </si>
  <si>
    <t>VALIDÓ LA ASEGURADORA</t>
  </si>
  <si>
    <t>CUMPLE / NO CUMPLE</t>
  </si>
  <si>
    <t>1. Presentarse en PESOS COLOMBIANOS.</t>
  </si>
  <si>
    <t>2. Incluir todos los costos, gastos impuestos, tasas y contribuciones en los que deba incurrir el Proponente para cumplir el objeto de la INVITACIÓN.</t>
  </si>
  <si>
    <t>3. Tener una vigencia mínima de SESENTA (60) días calendario, contados a partir del cierre de la INVITACIÓN, prorrogable en un plazo igual, en caso de que no se pueda adjudicar en dicho término.</t>
  </si>
  <si>
    <t>4. No modificar los formatos del Proceso de Contratación, salvo autorización expresa.</t>
  </si>
  <si>
    <t>5. Ser irrevocable, una vez presentada (artículo 8465 del Código de Comercio).</t>
  </si>
  <si>
    <t>EVALUACIÓN DE REQUISITOS DE CUMPLIMIENTO DE REQUISITOS COMERCIALES</t>
  </si>
  <si>
    <t>FACTOR MULTIPLICADOR [%]</t>
  </si>
  <si>
    <t>EXP OCT</t>
  </si>
  <si>
    <t>Factor Multiplicador Max</t>
  </si>
  <si>
    <t>ANEXO 1</t>
  </si>
  <si>
    <t>1.1</t>
  </si>
  <si>
    <t>1.5</t>
  </si>
  <si>
    <t>1.10</t>
  </si>
  <si>
    <t>CARGO/OFICIO</t>
  </si>
  <si>
    <t>CANTIDAD</t>
  </si>
  <si>
    <t>SUELDO Y/O TARIFA 2021</t>
  </si>
  <si>
    <t>SUELDO Y/O TARIFA 2022
 (Ipc 3,5%)</t>
  </si>
  <si>
    <t>DEDICACIÓN MENSUAL</t>
  </si>
  <si>
    <t>DURACIÓN 2021
(2 meses)</t>
  </si>
  <si>
    <t>DURACIÓN 2022
(9 meses)</t>
  </si>
  <si>
    <t>VALOR PARCIAL ($)</t>
  </si>
  <si>
    <r>
      <rPr>
        <b/>
        <sz val="12"/>
        <color theme="1"/>
        <rFont val="Arial"/>
        <family val="2"/>
      </rPr>
      <t xml:space="preserve">Residente de Interventoria Electrico, Nivel 2 </t>
    </r>
    <r>
      <rPr>
        <i/>
        <sz val="12"/>
        <color theme="1"/>
        <rFont val="Arial"/>
        <family val="2"/>
      </rPr>
      <t>(Profesional Nivel 2, profesiones Ingeniero electricista)
Experiencia requerida Residente de Obra Nivel 2: mayor a 4 años de experiencia contados a partir de la expedición de la matrícula profesional</t>
    </r>
  </si>
  <si>
    <r>
      <rPr>
        <b/>
        <sz val="12"/>
        <color theme="1"/>
        <rFont val="Arial"/>
        <family val="2"/>
      </rPr>
      <t>Residente Interventoria  Ingeniero Mecánico</t>
    </r>
    <r>
      <rPr>
        <sz val="12"/>
        <color theme="1"/>
        <rFont val="Arial"/>
        <family val="2"/>
      </rPr>
      <t xml:space="preserve"> (Profesional Nivel 2, profesiones Ingeniero Mecánico)
Experiencia requerida Residente de Obra Nivel 2: mayor a 4 años de experiencia contados a partir de la expedición de la matrícula profesional</t>
    </r>
  </si>
  <si>
    <r>
      <t>Supervisor lider estructura</t>
    </r>
    <r>
      <rPr>
        <sz val="12"/>
        <color theme="1"/>
        <rFont val="Arial"/>
        <family val="2"/>
      </rPr>
      <t>l(Elementos Estructurales y no estructurales) , profesiones (Ingeniero Civil con matricula profesionalvigente, con postgrado en el area de estructuras)
Experiencia requerida : mayor a 10 años de experiencia en el area de estructuras, contados a partir del postgrados en el area estructuras y con matricula profesional vigente.</t>
    </r>
  </si>
  <si>
    <r>
      <rPr>
        <b/>
        <sz val="12"/>
        <color theme="1"/>
        <rFont val="Arial"/>
        <family val="2"/>
      </rPr>
      <t xml:space="preserve">Supervisor Lider Geotecnico: </t>
    </r>
    <r>
      <rPr>
        <sz val="12"/>
        <color theme="1"/>
        <rFont val="Arial"/>
        <family val="2"/>
      </rPr>
      <t xml:space="preserve"> profesiones (Ingeniero Civil con matricula profesionalvigente, con postgrado en el area de geotecnia)
Experiencia requerida : mayor a 10 años de experiencia en el area de estructuras, contados a partir del postgrados en el area geotecnia  y con matricula profesional vigente.</t>
    </r>
  </si>
  <si>
    <t>Subtotal Costos Directos de Personal</t>
  </si>
  <si>
    <t>Factor Multiplicador</t>
  </si>
  <si>
    <t>Total Costos Directos de Personal incluido Factor Multiplicador (A)</t>
  </si>
  <si>
    <t>DESCRIPCION</t>
  </si>
  <si>
    <t>UNIDAD</t>
  </si>
  <si>
    <t>VALOR</t>
  </si>
  <si>
    <t>DURACIÓN
 (Meses)</t>
  </si>
  <si>
    <t>VALOR PARCIAL
 ($)</t>
  </si>
  <si>
    <t>B</t>
  </si>
  <si>
    <t>OTROS COSTOS DIRECTOS (Reembolsables)</t>
  </si>
  <si>
    <t>2.1</t>
  </si>
  <si>
    <t>Ensayos de Laboratorio (para verificación en caso de requerirse)</t>
  </si>
  <si>
    <t>global</t>
  </si>
  <si>
    <t>Edición de informes de interventoria</t>
  </si>
  <si>
    <t>Unidad</t>
  </si>
  <si>
    <t>Asesorias especializadas: requeridas en obra, todas las anteriores previa aprobación de la entidad contratante</t>
  </si>
  <si>
    <t>hr</t>
  </si>
  <si>
    <t>Subtotal Otros Costos Directos (B)</t>
  </si>
  <si>
    <t>TOTAL COSTOS DIRECTOS DE PERSONAL + OTROS COSTOS DIRECTOS (A+B)</t>
  </si>
  <si>
    <t>IVA (19%)</t>
  </si>
  <si>
    <t>VALOR TOTAL</t>
  </si>
  <si>
    <t>VALOR TOTAL INTERVENTORIA</t>
  </si>
  <si>
    <t>1.0</t>
  </si>
  <si>
    <t>R/NR</t>
  </si>
  <si>
    <t>COSTOS DIRECTOS DE PERSONAL ROBLEDO</t>
  </si>
  <si>
    <t xml:space="preserve">R </t>
  </si>
  <si>
    <r>
      <rPr>
        <b/>
        <sz val="12"/>
        <rFont val="Arial"/>
        <family val="2"/>
      </rPr>
      <t xml:space="preserve">Coordinador interventoría </t>
    </r>
    <r>
      <rPr>
        <sz val="12"/>
        <rFont val="Arial"/>
        <family val="2"/>
      </rPr>
      <t>(Ingeniero Civil o Arquitecto o Arquitecto Constructor especializado, con experiencia en coordinación de proyectos, dirección de interventoría, construcción, costos y presupuestos)
Experiencia requerida: mayor a 10 años de experiencia contados a partir de la expedición de la matrícula profesional.</t>
    </r>
  </si>
  <si>
    <r>
      <rPr>
        <b/>
        <sz val="12"/>
        <color theme="1"/>
        <rFont val="Arial"/>
        <family val="2"/>
      </rPr>
      <t xml:space="preserve">Residente de Obra, Nivel 2 </t>
    </r>
    <r>
      <rPr>
        <i/>
        <sz val="12"/>
        <color theme="1"/>
        <rFont val="Arial"/>
        <family val="2"/>
      </rPr>
      <t>(Profesional Nivel 2, profesiones afines, Ingeniero Civil, Arquitecto, Arquitecto Constructor, Ingeniero Constructor)
Experiencia requerida Residente de Obra Nivel 2: mayor a 4 años de experiencia contados a partir de la expedición de la matrícula profesional</t>
    </r>
  </si>
  <si>
    <r>
      <rPr>
        <b/>
        <sz val="12"/>
        <color theme="1"/>
        <rFont val="Arial"/>
        <family val="2"/>
      </rPr>
      <t xml:space="preserve">Residente desarrollador BIM </t>
    </r>
    <r>
      <rPr>
        <i/>
        <sz val="12"/>
        <color theme="1"/>
        <rFont val="Arial"/>
        <family val="2"/>
      </rPr>
      <t>Profesional Nivel 2, profesiones afines,  Ingeniero Civil, Arquitecto, Arquitecto Constructor, Ingeniero Constructor)
Experiencia requerida Residente de Obra Nivel 2: mayor a 4 años de experiencia contados a partir de la expedición de la matrícula profesional</t>
    </r>
  </si>
  <si>
    <r>
      <rPr>
        <b/>
        <sz val="12"/>
        <color theme="1"/>
        <rFont val="Arial"/>
        <family val="2"/>
      </rPr>
      <t xml:space="preserve">Tecnologo(a) en seguridad e higiene ocupacional o afínes para INTERVENTORÍA  (Nivel 1). </t>
    </r>
    <r>
      <rPr>
        <i/>
        <u/>
        <sz val="12"/>
        <color theme="1"/>
        <rFont val="Arial"/>
        <family val="2"/>
      </rPr>
      <t>Experiencia requerida</t>
    </r>
    <r>
      <rPr>
        <i/>
        <sz val="12"/>
        <color theme="1"/>
        <rFont val="Arial"/>
        <family val="2"/>
      </rPr>
      <t>: mayor a 1.5 años de experiencia contados a partir de la expedición de la Licencia en salud ocupacional</t>
    </r>
  </si>
  <si>
    <r>
      <rPr>
        <b/>
        <sz val="12"/>
        <color theme="1"/>
        <rFont val="Arial"/>
        <family val="2"/>
      </rPr>
      <t xml:space="preserve">Residente AMBIENTAL </t>
    </r>
    <r>
      <rPr>
        <i/>
        <sz val="12"/>
        <color theme="1"/>
        <rFont val="Arial"/>
        <family val="2"/>
      </rPr>
      <t>(Ingeniero ambiental)
Experiencia requerida Residente de Obra Nivel 2: mayor a 4 años de experiencia contados a partir de la expedición de la matrícula profesional</t>
    </r>
  </si>
  <si>
    <t>SUPERVISION TECNICA INDEPENDIENTE (decreto 945 de junio 5 de 2017)</t>
  </si>
  <si>
    <r>
      <rPr>
        <b/>
        <sz val="12"/>
        <color theme="1"/>
        <rFont val="Arial"/>
        <family val="2"/>
      </rPr>
      <t xml:space="preserve">Supervisor independiente Residente de estructuras: </t>
    </r>
    <r>
      <rPr>
        <sz val="12"/>
        <color theme="1"/>
        <rFont val="Arial"/>
        <family val="2"/>
      </rPr>
      <t xml:space="preserve"> ngeniero civil, Arquitecto Constructor en arquitectura e ingeniería, Experiencia mayor de cinco (5) años en diseño estructural, construcción, interventoría o supervisión técnica (Nota: la Ley no contempla estudios de postgrado en este caso), contados a partir de la expedición de la matricula profesional vigente. 
</t>
    </r>
  </si>
  <si>
    <t>SUBTOTAL ROBLEDO</t>
  </si>
  <si>
    <r>
      <rPr>
        <b/>
        <sz val="12"/>
        <color theme="1"/>
        <rFont val="Arial"/>
        <family val="2"/>
      </rPr>
      <t xml:space="preserve">Residente de Obra, Nivel 2 </t>
    </r>
    <r>
      <rPr>
        <sz val="12"/>
        <color theme="1"/>
        <rFont val="Arial"/>
        <family val="2"/>
      </rPr>
      <t>(Profesional Nivel 2, profesiones afines, Ingeniero Civil, Arquitecto, Arquitecto Constructor, Ingeniero Constructor)
Experiencia requerida Residente de Obra Nivel 2: mayor a 4 años de experiencia contados a partir de la expedición de la matrícula profesional</t>
    </r>
  </si>
  <si>
    <r>
      <rPr>
        <b/>
        <sz val="12"/>
        <color theme="1"/>
        <rFont val="Arial"/>
        <family val="2"/>
      </rPr>
      <t xml:space="preserve">Residente de Interventoria Electrico, Nivel 2 </t>
    </r>
    <r>
      <rPr>
        <sz val="12"/>
        <color theme="1"/>
        <rFont val="Arial"/>
        <family val="2"/>
      </rPr>
      <t>(Profesional Nivel 2, profesiones Ingeniero electricista)
Experiencia requerida Residente de Obra Nivel 2: mayor a 4 años de experiencia contados a partir de la expedición de la matrícula profesional</t>
    </r>
  </si>
  <si>
    <r>
      <rPr>
        <b/>
        <sz val="12"/>
        <color theme="1"/>
        <rFont val="Arial"/>
        <family val="2"/>
      </rPr>
      <t xml:space="preserve">Residente desarrollador BIM </t>
    </r>
    <r>
      <rPr>
        <sz val="12"/>
        <color theme="1"/>
        <rFont val="Arial"/>
        <family val="2"/>
      </rPr>
      <t>Profesional Nivel 2, profesiones afines,  Ingeniero Civil, Arquitecto, Arquitecto Constructor, Ingeniero Constructor)
Experiencia requerida Residente de Obra Nivel 2: mayor a 4 años de experiencia contados a partir de la expedición de la matrícula profesional</t>
    </r>
  </si>
  <si>
    <r>
      <rPr>
        <b/>
        <sz val="12"/>
        <color theme="1"/>
        <rFont val="Arial"/>
        <family val="2"/>
      </rPr>
      <t xml:space="preserve">Tecnologo(a) en seguridad e higiene ocupacional o afínes para INTERVENTORÍA  (Nivel 1). </t>
    </r>
    <r>
      <rPr>
        <u/>
        <sz val="12"/>
        <color theme="1"/>
        <rFont val="Arial"/>
        <family val="2"/>
      </rPr>
      <t>Experiencia requerida</t>
    </r>
    <r>
      <rPr>
        <sz val="12"/>
        <color theme="1"/>
        <rFont val="Arial"/>
        <family val="2"/>
      </rPr>
      <t>: mayor a 1.5 años de experiencia contados a partir de la expedición de la Licencia en salud ocupacional</t>
    </r>
  </si>
  <si>
    <r>
      <rPr>
        <b/>
        <sz val="12"/>
        <color theme="1"/>
        <rFont val="Arial"/>
        <family val="2"/>
      </rPr>
      <t xml:space="preserve">Residente AMBIENTAL </t>
    </r>
    <r>
      <rPr>
        <sz val="12"/>
        <color theme="1"/>
        <rFont val="Arial"/>
        <family val="2"/>
      </rPr>
      <t>(Ingeniero ambiental)
Experiencia requerida Residente de Obra Nivel 2: mayor a 4 años de experiencia contados a partir de la expedición de la matrícula profesional</t>
    </r>
  </si>
  <si>
    <t>TOTAL FM</t>
  </si>
  <si>
    <t>TOTAL SUBTOTAL PERSONAL</t>
  </si>
  <si>
    <t>Se rechaza propuesta comercial según lo establecido en el numeral 16 Rechazo y eliminación de propuestas comerciales, inciso, 16.3 Se presente de forma extemporánea, en un lugar o medio diferente al indicado o luego de la fecha
y hora fijadas para el cierre de la invitación.</t>
  </si>
  <si>
    <t>CTO-TCP-BTS-5 Y 6</t>
  </si>
  <si>
    <t>CTO-TC/S-1-2010</t>
  </si>
  <si>
    <t>005-2016</t>
  </si>
  <si>
    <t>TERRANUM CORPORATIVO S A S</t>
  </si>
  <si>
    <t>UNIVERSIDAD DE LA SALLE</t>
  </si>
  <si>
    <t>NALIBESA S.A.S</t>
  </si>
  <si>
    <t>I</t>
  </si>
  <si>
    <t>176800001-2-3-4</t>
  </si>
  <si>
    <t>OS-PH-MAIL ET II - 300021-20</t>
  </si>
  <si>
    <t>ACTIVOS CAPITAL S.A.S.</t>
  </si>
  <si>
    <t>PRODESA Y CIA. S.A.</t>
  </si>
  <si>
    <t>CONSTRUCCIONES OBYCON S.A.S.</t>
  </si>
  <si>
    <t>46/3648</t>
  </si>
  <si>
    <t>2016-028</t>
  </si>
  <si>
    <t>Hospital Pablo Tobon Uribe</t>
  </si>
  <si>
    <t>ISAGEN SA</t>
  </si>
  <si>
    <t>Cama de comercio de med para ant</t>
  </si>
  <si>
    <t>Flor de agua 2018/05/14</t>
  </si>
  <si>
    <t>Plazuela del Norte 2018/01/15</t>
  </si>
  <si>
    <t>Ensenada 2017/03/06</t>
  </si>
  <si>
    <t>OPTIMA SAS</t>
  </si>
  <si>
    <t>B&amp;B Constructores sa</t>
  </si>
  <si>
    <t>NO CUMPLE</t>
  </si>
  <si>
    <t>ADMINISTRADORA DE INVERSIONES FAMOSO &amp; CIA SCA</t>
  </si>
  <si>
    <t>industria colombiana de motociclistas</t>
  </si>
  <si>
    <t>Universidad Pontificia Bolivariana</t>
  </si>
  <si>
    <t>ACORDE A ITEM 6.2.2.1 (T.R.)</t>
  </si>
  <si>
    <t>CUMPLEN CON LO SOLICITADO</t>
  </si>
  <si>
    <t>NO</t>
  </si>
  <si>
    <t>NO ESTÁ ACORDE A ITEM 6.2.2.1 (T.R.)</t>
  </si>
  <si>
    <t>El objeto contractual no es claro ya que informa que la interventoria fue para el recibo de la construcción y no para la construcción del edificio</t>
  </si>
  <si>
    <t>NO SUBSANABLE</t>
  </si>
  <si>
    <t>NO CUMPLEN CON LO SOLICITADO</t>
  </si>
  <si>
    <t>La declaración no esta en notaria</t>
  </si>
  <si>
    <t>Profesionales de la Supervisión Técnica Independiente:
Presentar con la propuesta las hojas de vida y los documentos necesarios para certificar la experiencia solicitada de los profesionales correspondientes a la Supervisión técnica independiente. Correspondientes a los numerales 1.8 a 1.10 y de la tabla No.4 Personal profesional Los profesionales para la Supervisión técnica independiente deben ser profesionales, que tengan mínimo un (1) año de vinculación con la empresa, mediante contrato laboral o de prestación de servicios profesionales.</t>
  </si>
  <si>
    <t>1.8 Supervisor lider estructural</t>
  </si>
  <si>
    <t>1.9 Supervisor Lider Geotecnico:</t>
  </si>
  <si>
    <t>1.10 Supervisor independiente Residente de estructuras:</t>
  </si>
  <si>
    <t>BENEFICIO NETO</t>
  </si>
  <si>
    <t>FONDOS PROPIOS MEDIOS</t>
  </si>
  <si>
    <t>Se rechaza propuesta comercial según lo establecido en el numeral 16 Rechazo y eliminación de propuestas comerciales, inciso, 16.3 Se presente de forma extemporánea, en un lugar o medio diferente al indicado o luego de la fecha y hora fijadas para el cierre de la invitación.
16.18 El OFERENTE no presente la Garantía de Seriedad de la propuesta o no cumpla con lo estipulado para dicha garantía.</t>
  </si>
  <si>
    <t>Se rechaza la propuesta conforme al numeral 6.1 de los términos de referencia: " En el presente proceso podrán participar: personas jurídicas en forma individual ". y el numeral 16 Rechazo y eliminación de propuestas comerciales, inciso, 16.3 Se presente de forma extemporánea, en un lugar o medio diferente al indicado o luego de la fecha y hora fijadas para el cierre de la invitación.</t>
  </si>
  <si>
    <t>CUMPLE*</t>
  </si>
  <si>
    <t>Seguros Mundial</t>
  </si>
  <si>
    <t>M-100152466</t>
  </si>
  <si>
    <t>83 dias</t>
  </si>
  <si>
    <t>97 dias</t>
  </si>
  <si>
    <t xml:space="preserve">CUMPLE </t>
  </si>
  <si>
    <t>Según lo establecido en la tabla No.4 Personal profesional, los profesionales designados en los numerales 1.8 a 1.10 no cumplen con el cargo/oficio descrito en los Términos de Referencia.
Los profesionales del numeral 1.8 y 1.9 NO cumplen con la experiencia de los 10 años contados a partir del postgrado.</t>
  </si>
  <si>
    <t>Según lo establecido en la tabla No.4 Personal profesional, los profesionales designados en los numerales 1.8 a 1.9 NO cumplieron con los medios de prueba exigidos para este numeral como son las certificaciones de experiencia y los soportes de pago de seguridad social de los últimos 12 meses.</t>
  </si>
  <si>
    <t>H</t>
  </si>
  <si>
    <t>NH</t>
  </si>
  <si>
    <t>PreVeo S.A.S.</t>
  </si>
  <si>
    <t>INTERVE S.A.S.</t>
  </si>
  <si>
    <t>Se rechaza propuesta comercial según lo establecido en el numeral 16 Rechazo y eliminación de propuestas comerciales, inciso, 16.3. Se presente de forma extemporánea, en un lugar o medio diferente al indicado o luego de la fecha
y hora fijadas para el cierre de la invitación.</t>
  </si>
  <si>
    <r>
      <t xml:space="preserve">NO CUMPLE
</t>
    </r>
    <r>
      <rPr>
        <sz val="12"/>
        <color theme="1"/>
        <rFont val="Arial"/>
        <family val="2"/>
      </rPr>
      <t>No se adjunto certificado de existencia y representación legal de la persona jurídica</t>
    </r>
    <r>
      <rPr>
        <b/>
        <sz val="12"/>
        <color theme="1"/>
        <rFont val="Arial"/>
        <family val="2"/>
      </rPr>
      <t xml:space="preserve">
</t>
    </r>
    <r>
      <rPr>
        <sz val="12"/>
        <color theme="1"/>
        <rFont val="Arial"/>
        <family val="2"/>
      </rPr>
      <t>No se adjunto la cedula de representante legal</t>
    </r>
  </si>
  <si>
    <r>
      <t xml:space="preserve">NO CUMPLE
</t>
    </r>
    <r>
      <rPr>
        <sz val="12"/>
        <color theme="1"/>
        <rFont val="Arial"/>
        <family val="2"/>
      </rPr>
      <t xml:space="preserve">El numeral 6.1 de los términos de referencia se estableció que la participación al proceso de invitación es a </t>
    </r>
    <r>
      <rPr>
        <b/>
        <sz val="12"/>
        <color theme="1"/>
        <rFont val="Arial"/>
        <family val="2"/>
      </rPr>
      <t>personas juridicas en forma individual</t>
    </r>
  </si>
  <si>
    <r>
      <t xml:space="preserve">NO CUMPLE
</t>
    </r>
    <r>
      <rPr>
        <sz val="12"/>
        <color theme="1"/>
        <rFont val="Arial"/>
        <family val="2"/>
      </rPr>
      <t>No se adjunto No se adjunto la cedula de representante legal ni los documentos que acrediten como ingeniero civil ingeniero constructor, arquitecto o arquitecto constructor</t>
    </r>
  </si>
  <si>
    <r>
      <t xml:space="preserve">CUMPLE*
</t>
    </r>
    <r>
      <rPr>
        <sz val="12"/>
        <color theme="1"/>
        <rFont val="Arial"/>
        <family val="2"/>
      </rPr>
      <t>Propuesta abonada por la Ingeniera civil Maria Marcela Clavijo</t>
    </r>
  </si>
  <si>
    <r>
      <t xml:space="preserve">CUMPLE*
</t>
    </r>
    <r>
      <rPr>
        <sz val="12"/>
        <color theme="1"/>
        <rFont val="Arial"/>
        <family val="2"/>
      </rPr>
      <t>El representante legal es ingeniero Civil</t>
    </r>
  </si>
  <si>
    <r>
      <rPr>
        <b/>
        <sz val="12"/>
        <color theme="1"/>
        <rFont val="Arial"/>
        <family val="2"/>
      </rPr>
      <t xml:space="preserve">CUMPLE
</t>
    </r>
    <r>
      <rPr>
        <sz val="12"/>
        <color theme="1"/>
        <rFont val="Arial"/>
        <family val="2"/>
      </rPr>
      <t>Se adjunto certificado de paz y salvo de los aportes al sistema seguridad social y parafiscales, firmada por el señor Carlos Eduardo Ruiz Navarro.</t>
    </r>
  </si>
  <si>
    <r>
      <t xml:space="preserve">CUMPLE*
</t>
    </r>
    <r>
      <rPr>
        <sz val="12"/>
        <color theme="1"/>
        <rFont val="Arial"/>
        <family val="2"/>
      </rPr>
      <t>Certificado expedido por el Revisor Fiscal Juan Manuel Bernal Pineda TP 12905-T</t>
    </r>
  </si>
  <si>
    <r>
      <t xml:space="preserve">CUMPLE*
</t>
    </r>
    <r>
      <rPr>
        <sz val="12"/>
        <color theme="1"/>
        <rFont val="Arial"/>
        <family val="2"/>
      </rPr>
      <t>Certificado expedido por la Revisor Fiscal Leidi Biviana Ramirez Cardona con TP 205191-T</t>
    </r>
  </si>
  <si>
    <r>
      <t xml:space="preserve">NO CUMPLE
</t>
    </r>
    <r>
      <rPr>
        <sz val="12"/>
        <color theme="1"/>
        <rFont val="Arial"/>
        <family val="2"/>
      </rPr>
      <t>No se adjunto el documento</t>
    </r>
  </si>
  <si>
    <r>
      <t xml:space="preserve">NO CUMPLE
</t>
    </r>
    <r>
      <rPr>
        <sz val="12"/>
        <color theme="1"/>
        <rFont val="Arial"/>
        <family val="2"/>
      </rPr>
      <t>No se adjunto el RUT</t>
    </r>
  </si>
  <si>
    <r>
      <rPr>
        <b/>
        <sz val="12"/>
        <color rgb="FFFF0000"/>
        <rFont val="Arial"/>
        <family val="2"/>
      </rPr>
      <t>NO CUMPLE</t>
    </r>
    <r>
      <rPr>
        <b/>
        <sz val="12"/>
        <color theme="1"/>
        <rFont val="Arial"/>
        <family val="2"/>
      </rPr>
      <t xml:space="preserve">
</t>
    </r>
    <r>
      <rPr>
        <sz val="12"/>
        <color theme="1"/>
        <rFont val="Arial"/>
        <family val="2"/>
      </rPr>
      <t>No se adjunto póliza de seriedad de la oferta</t>
    </r>
  </si>
  <si>
    <t>Si bien los requisitos del numeral 6.2.3 son subsanables, no se les requiere a los proponentes por existir causal de rechazo de la oferta, toda vez que el factor multiplicador de la propuesta presentada, establecido en el numeral 14.2.1 de los Términos de Referencia, dicho valor no podrá superar el 2,19</t>
  </si>
  <si>
    <t>Si bien los requisitos del numeral 6.2.3 son subsanables, no se les requiere a los proponentes, por existir causal de rechazo de la oferta, toda vez que el factor multiplicador de la propuesta presentada, establecido en el numeral 14.2.1 de los Términos de Referencia, dicho valor no podrá superar el 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</si>
</sst>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3" formatCode="_-* #,##0.00_-;\-* #,##0.00_-;_-* &quot;-&quot;??_-;_-@_-"/>
    <numFmt numFmtId="164" formatCode="&quot;$&quot;\ #,##0;[Red]\-&quot;$&quot;\ #,##0"/>
    <numFmt numFmtId="165" formatCode="&quot;$&quot;\ #,##0.00;[Red]\-&quot;$&quot;\ #,##0.00"/>
    <numFmt numFmtId="166" formatCode="_-&quot;$&quot;\ * #,##0_-;\-&quot;$&quot;\ * #,##0_-;_-&quot;$&quot;\ * &quot;-&quot;_-;_-@_-"/>
    <numFmt numFmtId="167" formatCode="_-&quot;$&quot;\ * #,##0.00_-;\-&quot;$&quot;\ * #,##0.00_-;_-&quot;$&quot;\ * &quot;-&quot;??_-;_-@_-"/>
    <numFmt numFmtId="168" formatCode="_-* #,##0.00\ _€_-;\-* #,##0.00\ _€_-;_-* &quot;-&quot;??\ _€_-;_-@_-"/>
    <numFmt numFmtId="169" formatCode="&quot;$&quot;\ #,##0"/>
    <numFmt numFmtId="170" formatCode="&quot;$&quot;\ #,##0.00"/>
    <numFmt numFmtId="171" formatCode="_ * #,##0.00_ ;_ * \-#,##0.00_ ;_ * &quot;-&quot;??_ ;_ @_ "/>
    <numFmt numFmtId="172" formatCode="&quot;K=&quot;\ \ \ \ #,##0.00\ &quot;de contra&quot;"/>
    <numFmt numFmtId="173" formatCode="0.0"/>
    <numFmt numFmtId="174" formatCode="#,##0.00\ &quot;SMMLV&quot;"/>
    <numFmt numFmtId="175" formatCode="_ * #,##0_ ;_ * \-#,##0_ ;_ * &quot;-&quot;??_ ;_ @_ "/>
    <numFmt numFmtId="176" formatCode="_(&quot;$&quot;\ * #,##0.00_);_(&quot;$&quot;\ * \(#,##0.00\);_(&quot;$&quot;\ * &quot;-&quot;??_);_(@_)"/>
    <numFmt numFmtId="177" formatCode="&quot;$&quot;#,##0.00"/>
    <numFmt numFmtId="178" formatCode="_(&quot;$&quot;* #,##0.00_);_(&quot;$&quot;* \(#,##0.00\);_(&quot;$&quot;* &quot;-&quot;??_);_(@_)"/>
    <numFmt numFmtId="179" formatCode="_-* #,##0.00_-;\-* #,##0.00_-;_-* &quot;-&quot;_-;_-@_-"/>
    <numFmt numFmtId="180" formatCode="#,##0.00;[Red]#,##0.00"/>
    <numFmt numFmtId="181" formatCode="#,##0;[Red]#,##0"/>
    <numFmt numFmtId="182" formatCode="_-&quot;$&quot;\ * #,##0_-;\-&quot;$&quot;\ * #,##0_-;_-&quot;$&quot;\ * &quot;-&quot;??_-;_-@_-"/>
    <numFmt numFmtId="183" formatCode="_(* #,##0.00_);_(* \(#,##0.00\);_(* &quot;-&quot;??_);_(@_)"/>
    <numFmt numFmtId="184" formatCode="#,##0.00_ ;[Red]\-#,##0.00\ "/>
    <numFmt numFmtId="185" formatCode="&quot;$&quot;#,##0"/>
    <numFmt numFmtId="186" formatCode="_ &quot;$&quot;\ * #,##0_ ;_ &quot;$&quot;\ * \-#,##0_ ;_ &quot;$&quot;\ * &quot;-&quot;??_ ;_ @_ "/>
    <numFmt numFmtId="187" formatCode="[$$-240A]\ #,##0"/>
  </numFmts>
  <fonts count="65">
    <font>
      <sz val="11"/>
      <color theme="1"/>
      <name val="Calibri"/>
      <family val="2"/>
      <scheme val="minor"/>
    </font>
    <font>
      <sz val="12"/>
      <color theme="1"/>
      <name val="Arial"/>
      <family val="2"/>
    </font>
    <font>
      <sz val="11"/>
      <color theme="1"/>
      <name val="Calibri"/>
      <family val="2"/>
      <scheme val="minor"/>
    </font>
    <font>
      <b/>
      <sz val="16"/>
      <name val="Arial"/>
      <family val="2"/>
    </font>
    <font>
      <b/>
      <sz val="14"/>
      <name val="Arial"/>
      <family val="2"/>
    </font>
    <font>
      <sz val="11"/>
      <name val="Arial"/>
      <family val="2"/>
    </font>
    <font>
      <b/>
      <sz val="12"/>
      <name val="Arial"/>
      <family val="2"/>
    </font>
    <font>
      <b/>
      <sz val="11"/>
      <name val="Arial"/>
      <family val="2"/>
    </font>
    <font>
      <sz val="10"/>
      <name val="Arial"/>
      <family val="2"/>
    </font>
    <font>
      <b/>
      <sz val="10"/>
      <name val="Arial"/>
      <family val="2"/>
    </font>
    <font>
      <sz val="11"/>
      <color theme="1"/>
      <name val="Arial"/>
      <family val="2"/>
    </font>
    <font>
      <sz val="12"/>
      <color theme="1"/>
      <name val="Arial"/>
      <family val="2"/>
    </font>
    <font>
      <b/>
      <sz val="12"/>
      <color theme="1"/>
      <name val="Arial"/>
      <family val="2"/>
    </font>
    <font>
      <b/>
      <sz val="12"/>
      <color rgb="FF000000"/>
      <name val="Arial"/>
      <family val="2"/>
    </font>
    <font>
      <sz val="12"/>
      <name val="Arial"/>
      <family val="2"/>
    </font>
    <font>
      <sz val="12"/>
      <color rgb="FF000000"/>
      <name val="Arial"/>
      <family val="2"/>
    </font>
    <font>
      <b/>
      <sz val="10"/>
      <color theme="1"/>
      <name val="Arial"/>
      <family val="2"/>
    </font>
    <font>
      <b/>
      <sz val="12"/>
      <color rgb="FFFF0000"/>
      <name val="Arial"/>
      <family val="2"/>
    </font>
    <font>
      <b/>
      <sz val="36"/>
      <name val="Arial"/>
      <family val="2"/>
    </font>
    <font>
      <sz val="16"/>
      <name val="Arial"/>
      <family val="2"/>
    </font>
    <font>
      <b/>
      <sz val="22"/>
      <name val="Arial"/>
      <family val="2"/>
    </font>
    <font>
      <b/>
      <sz val="26"/>
      <color rgb="FF000000"/>
      <name val="Calibri"/>
      <family val="2"/>
    </font>
    <font>
      <b/>
      <sz val="11"/>
      <color rgb="FF000000"/>
      <name val="Arial"/>
      <family val="2"/>
    </font>
    <font>
      <b/>
      <sz val="14"/>
      <color rgb="FF000000"/>
      <name val="Calibri"/>
      <family val="2"/>
    </font>
    <font>
      <b/>
      <sz val="72"/>
      <name val="Arial"/>
      <family val="2"/>
    </font>
    <font>
      <b/>
      <sz val="20"/>
      <name val="Arial"/>
      <family val="2"/>
    </font>
    <font>
      <b/>
      <sz val="11"/>
      <color theme="0"/>
      <name val="Arial"/>
      <family val="2"/>
    </font>
    <font>
      <b/>
      <sz val="9"/>
      <color indexed="81"/>
      <name val="Tahoma"/>
      <family val="2"/>
    </font>
    <font>
      <sz val="9"/>
      <color indexed="81"/>
      <name val="Tahoma"/>
      <family val="2"/>
    </font>
    <font>
      <b/>
      <sz val="18"/>
      <name val="Arial"/>
      <family val="2"/>
    </font>
    <font>
      <b/>
      <sz val="8"/>
      <name val="Arial"/>
      <family val="2"/>
    </font>
    <font>
      <sz val="8"/>
      <name val="Arial"/>
      <family val="2"/>
    </font>
    <font>
      <sz val="10"/>
      <color theme="1"/>
      <name val="Arial"/>
      <family val="2"/>
    </font>
    <font>
      <b/>
      <sz val="10"/>
      <color rgb="FF000000"/>
      <name val="Arial"/>
      <family val="2"/>
    </font>
    <font>
      <sz val="12"/>
      <color theme="1"/>
      <name val="Calibri"/>
      <family val="2"/>
      <scheme val="minor"/>
    </font>
    <font>
      <b/>
      <sz val="12"/>
      <name val="Calibri"/>
      <family val="2"/>
      <scheme val="minor"/>
    </font>
    <font>
      <b/>
      <sz val="11"/>
      <name val="Calibri"/>
      <family val="2"/>
      <scheme val="minor"/>
    </font>
    <font>
      <sz val="12"/>
      <name val="Calibri"/>
      <family val="2"/>
      <scheme val="minor"/>
    </font>
    <font>
      <b/>
      <sz val="12"/>
      <color theme="1"/>
      <name val="Calibri"/>
      <family val="2"/>
      <scheme val="minor"/>
    </font>
    <font>
      <sz val="10"/>
      <name val="Century Gothic"/>
      <family val="2"/>
    </font>
    <font>
      <b/>
      <sz val="12"/>
      <color rgb="FFFF0000"/>
      <name val="Calibri"/>
      <family val="2"/>
      <scheme val="minor"/>
    </font>
    <font>
      <b/>
      <vertAlign val="subscript"/>
      <sz val="12"/>
      <name val="Calibri"/>
      <family val="2"/>
      <scheme val="minor"/>
    </font>
    <font>
      <sz val="20"/>
      <name val="Arial"/>
      <family val="2"/>
    </font>
    <font>
      <sz val="12"/>
      <name val="Swis721 LtCn BT"/>
      <family val="2"/>
    </font>
    <font>
      <sz val="14"/>
      <name val="Arial"/>
      <family val="2"/>
    </font>
    <font>
      <sz val="11"/>
      <name val="Calibri"/>
      <family val="2"/>
      <scheme val="minor"/>
    </font>
    <font>
      <u/>
      <sz val="11"/>
      <color theme="10"/>
      <name val="Calibri"/>
      <family val="2"/>
      <scheme val="minor"/>
    </font>
    <font>
      <sz val="12"/>
      <color rgb="FFFF0000"/>
      <name val="Arial"/>
      <family val="2"/>
    </font>
    <font>
      <b/>
      <sz val="11"/>
      <color theme="1"/>
      <name val="Calibri"/>
      <family val="2"/>
      <scheme val="minor"/>
    </font>
    <font>
      <b/>
      <sz val="12"/>
      <color theme="1"/>
      <name val="Arial  "/>
    </font>
    <font>
      <i/>
      <sz val="12"/>
      <color theme="1"/>
      <name val="Arial"/>
      <family val="2"/>
    </font>
    <font>
      <sz val="12"/>
      <color theme="1"/>
      <name val="Arial  "/>
    </font>
    <font>
      <sz val="12"/>
      <name val="Arial  "/>
    </font>
    <font>
      <b/>
      <sz val="11"/>
      <color theme="1"/>
      <name val="Swis721 LtCn BT"/>
      <family val="2"/>
    </font>
    <font>
      <i/>
      <u/>
      <sz val="12"/>
      <color theme="1"/>
      <name val="Arial"/>
      <family val="2"/>
    </font>
    <font>
      <b/>
      <sz val="12"/>
      <color theme="1"/>
      <name val="Swis721 LtCn BT"/>
      <family val="2"/>
    </font>
    <font>
      <u/>
      <sz val="12"/>
      <color theme="1"/>
      <name val="Arial"/>
      <family val="2"/>
    </font>
    <font>
      <sz val="11"/>
      <name val="Century Gothic"/>
      <family val="2"/>
    </font>
    <font>
      <b/>
      <sz val="9"/>
      <color rgb="FF000000"/>
      <name val="Tahoma"/>
      <family val="2"/>
    </font>
    <font>
      <sz val="9"/>
      <color rgb="FF000000"/>
      <name val="Tahoma"/>
      <family val="2"/>
    </font>
    <font>
      <b/>
      <sz val="12"/>
      <color theme="0" tint="-0.14999847407452621"/>
      <name val="Calibri"/>
      <family val="2"/>
      <scheme val="minor"/>
    </font>
    <font>
      <b/>
      <sz val="12"/>
      <color theme="0" tint="-0.249977111117893"/>
      <name val="Calibri"/>
      <family val="2"/>
      <scheme val="minor"/>
    </font>
    <font>
      <b/>
      <sz val="12"/>
      <color theme="0"/>
      <name val="Calibri"/>
      <family val="2"/>
      <scheme val="minor"/>
    </font>
    <font>
      <b/>
      <sz val="12"/>
      <color theme="0"/>
      <name val="Arial"/>
      <family val="2"/>
    </font>
    <font>
      <b/>
      <sz val="12"/>
      <color rgb="FF000000"/>
      <name val="Calibri"/>
      <family val="2"/>
    </font>
  </fonts>
  <fills count="25">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0" tint="-0.14999847407452621"/>
        <bgColor rgb="FF7F7F7F"/>
      </patternFill>
    </fill>
    <fill>
      <patternFill patternType="solid">
        <fgColor theme="9" tint="0.59999389629810485"/>
        <bgColor rgb="FFC0C0C0"/>
      </patternFill>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FFFF00"/>
        <bgColor rgb="FFFFFFCC"/>
      </patternFill>
    </fill>
    <fill>
      <patternFill patternType="solid">
        <fgColor rgb="FF7F7F7F"/>
        <bgColor rgb="FF7F7F7F"/>
      </patternFill>
    </fill>
    <fill>
      <patternFill patternType="solid">
        <fgColor rgb="FFC0C0C0"/>
        <bgColor rgb="FFC0C0C0"/>
      </patternFill>
    </fill>
    <fill>
      <patternFill patternType="solid">
        <fgColor theme="9" tint="0.59999389629810485"/>
        <bgColor rgb="FFFFC000"/>
      </patternFill>
    </fill>
  </fills>
  <borders count="1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style="double">
        <color auto="1"/>
      </right>
      <top/>
      <bottom style="double">
        <color auto="1"/>
      </bottom>
      <diagonal/>
    </border>
    <border>
      <left style="double">
        <color auto="1"/>
      </left>
      <right/>
      <top/>
      <bottom style="double">
        <color indexed="64"/>
      </bottom>
      <diagonal/>
    </border>
    <border>
      <left/>
      <right style="double">
        <color indexed="64"/>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indexed="64"/>
      </right>
      <top/>
      <bottom/>
      <diagonal/>
    </border>
    <border>
      <left style="double">
        <color auto="1"/>
      </left>
      <right/>
      <top/>
      <bottom/>
      <diagonal/>
    </border>
    <border>
      <left/>
      <right style="double">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auto="1"/>
      </bottom>
      <diagonal/>
    </border>
    <border>
      <left/>
      <right/>
      <top style="double">
        <color auto="1"/>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double">
        <color indexed="64"/>
      </right>
      <top style="thin">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auto="1"/>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auto="1"/>
      </left>
      <right/>
      <top style="double">
        <color auto="1"/>
      </top>
      <bottom style="thin">
        <color auto="1"/>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indexed="64"/>
      </left>
      <right/>
      <top style="medium">
        <color indexed="64"/>
      </top>
      <bottom/>
      <diagonal/>
    </border>
  </borders>
  <cellStyleXfs count="39">
    <xf numFmtId="0" fontId="0" fillId="0" borderId="0"/>
    <xf numFmtId="168" fontId="2" fillId="0" borderId="0" applyFont="0" applyFill="0" applyBorder="0" applyAlignment="0" applyProtection="0"/>
    <xf numFmtId="9" fontId="2"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171" fontId="14" fillId="0" borderId="0" applyFont="0" applyFill="0" applyBorder="0" applyAlignment="0" applyProtection="0"/>
    <xf numFmtId="0" fontId="8" fillId="0" borderId="0"/>
    <xf numFmtId="0" fontId="2" fillId="0" borderId="0"/>
    <xf numFmtId="0" fontId="8" fillId="0" borderId="0"/>
    <xf numFmtId="176" fontId="2" fillId="0" borderId="0" applyFont="0" applyFill="0" applyBorder="0" applyAlignment="0" applyProtection="0"/>
    <xf numFmtId="166" fontId="8" fillId="0" borderId="0" applyFont="0" applyFill="0" applyBorder="0" applyAlignment="0" applyProtection="0"/>
    <xf numFmtId="178"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0" fontId="2" fillId="0" borderId="0"/>
    <xf numFmtId="41" fontId="8" fillId="0" borderId="0" applyFont="0" applyFill="0" applyBorder="0" applyAlignment="0" applyProtection="0"/>
    <xf numFmtId="183" fontId="2" fillId="0" borderId="0" applyFont="0" applyFill="0" applyBorder="0" applyAlignment="0" applyProtection="0"/>
    <xf numFmtId="9" fontId="8" fillId="0" borderId="0" applyFont="0" applyFill="0" applyBorder="0" applyAlignment="0" applyProtection="0"/>
    <xf numFmtId="0" fontId="2" fillId="0" borderId="0"/>
    <xf numFmtId="41" fontId="2" fillId="0" borderId="0" applyFont="0" applyFill="0" applyBorder="0" applyAlignment="0" applyProtection="0"/>
    <xf numFmtId="166" fontId="2" fillId="0" borderId="0" applyFont="0" applyFill="0" applyBorder="0" applyAlignment="0" applyProtection="0"/>
    <xf numFmtId="0" fontId="46" fillId="0" borderId="0" applyNumberForma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0" fontId="46" fillId="0" borderId="0" applyNumberFormat="0" applyFill="0" applyBorder="0" applyAlignment="0" applyProtection="0"/>
    <xf numFmtId="168" fontId="2" fillId="0" borderId="0" applyFont="0" applyFill="0" applyBorder="0" applyAlignment="0" applyProtection="0"/>
    <xf numFmtId="166" fontId="8" fillId="0" borderId="0" applyFont="0" applyFill="0" applyBorder="0" applyAlignment="0" applyProtection="0"/>
    <xf numFmtId="167" fontId="2"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cellStyleXfs>
  <cellXfs count="901">
    <xf numFmtId="0" fontId="0" fillId="0" borderId="0" xfId="0"/>
    <xf numFmtId="0" fontId="0" fillId="3" borderId="0" xfId="0" applyFill="1" applyAlignment="1" applyProtection="1">
      <alignment vertical="center" wrapText="1"/>
      <protection hidden="1"/>
    </xf>
    <xf numFmtId="0" fontId="6" fillId="4" borderId="7"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7" fillId="4" borderId="8" xfId="3" applyFont="1" applyFill="1" applyBorder="1" applyAlignment="1" applyProtection="1">
      <alignment horizontal="center" vertical="center" wrapText="1"/>
      <protection hidden="1"/>
    </xf>
    <xf numFmtId="0" fontId="5" fillId="4" borderId="8" xfId="0" applyNumberFormat="1" applyFont="1" applyFill="1" applyBorder="1" applyAlignment="1" applyProtection="1">
      <alignment horizontal="center" wrapText="1"/>
      <protection hidden="1"/>
    </xf>
    <xf numFmtId="0" fontId="5" fillId="4" borderId="0" xfId="0" applyNumberFormat="1" applyFont="1" applyFill="1" applyBorder="1" applyAlignment="1" applyProtection="1">
      <alignment horizontal="center" vertical="center" wrapText="1"/>
      <protection hidden="1"/>
    </xf>
    <xf numFmtId="0" fontId="5" fillId="4" borderId="0" xfId="0" applyFont="1" applyFill="1" applyBorder="1" applyAlignment="1" applyProtection="1">
      <alignment vertical="center"/>
      <protection hidden="1"/>
    </xf>
    <xf numFmtId="0" fontId="10" fillId="0" borderId="0" xfId="4" applyFont="1" applyProtection="1">
      <protection hidden="1"/>
    </xf>
    <xf numFmtId="0" fontId="7" fillId="4" borderId="10" xfId="4" applyFont="1" applyFill="1" applyBorder="1" applyAlignment="1" applyProtection="1">
      <alignment vertical="center" wrapText="1"/>
      <protection hidden="1"/>
    </xf>
    <xf numFmtId="0" fontId="7" fillId="4" borderId="6" xfId="4" applyFont="1" applyFill="1" applyBorder="1" applyAlignment="1" applyProtection="1">
      <alignment vertical="center" wrapText="1"/>
      <protection hidden="1"/>
    </xf>
    <xf numFmtId="0" fontId="5" fillId="0" borderId="0" xfId="4" applyFont="1" applyProtection="1">
      <protection hidden="1"/>
    </xf>
    <xf numFmtId="0" fontId="14" fillId="0" borderId="0" xfId="3" applyNumberFormat="1" applyFont="1" applyFill="1" applyAlignment="1" applyProtection="1">
      <alignment vertical="center" wrapText="1"/>
      <protection hidden="1"/>
    </xf>
    <xf numFmtId="0" fontId="14" fillId="0" borderId="0" xfId="3" applyFont="1" applyFill="1" applyAlignment="1" applyProtection="1">
      <alignment vertical="center" wrapText="1"/>
      <protection hidden="1"/>
    </xf>
    <xf numFmtId="0" fontId="6" fillId="0" borderId="0" xfId="8" applyNumberFormat="1" applyFont="1" applyFill="1" applyAlignment="1" applyProtection="1">
      <alignment vertical="center" wrapText="1"/>
      <protection hidden="1"/>
    </xf>
    <xf numFmtId="171" fontId="6" fillId="0" borderId="0" xfId="8" applyFont="1" applyFill="1" applyAlignment="1" applyProtection="1">
      <alignment horizontal="center" vertical="center" wrapText="1"/>
      <protection hidden="1"/>
    </xf>
    <xf numFmtId="171" fontId="6" fillId="0" borderId="0" xfId="8" applyFont="1" applyFill="1" applyAlignment="1" applyProtection="1">
      <alignment vertical="center" wrapText="1"/>
      <protection hidden="1"/>
    </xf>
    <xf numFmtId="171" fontId="6" fillId="7" borderId="8" xfId="8" applyFont="1" applyFill="1" applyBorder="1" applyAlignment="1" applyProtection="1">
      <alignment horizontal="center" vertical="center" wrapText="1"/>
      <protection hidden="1"/>
    </xf>
    <xf numFmtId="174" fontId="4" fillId="7" borderId="8" xfId="8" applyNumberFormat="1" applyFont="1" applyFill="1" applyBorder="1" applyAlignment="1" applyProtection="1">
      <alignment horizontal="center" vertical="center" wrapText="1"/>
      <protection hidden="1"/>
    </xf>
    <xf numFmtId="0" fontId="6" fillId="0" borderId="0" xfId="3" applyNumberFormat="1" applyFont="1" applyFill="1" applyBorder="1" applyAlignment="1" applyProtection="1">
      <alignment vertical="center" wrapText="1"/>
      <protection hidden="1"/>
    </xf>
    <xf numFmtId="172" fontId="6" fillId="0" borderId="0" xfId="8" applyNumberFormat="1" applyFont="1" applyFill="1" applyBorder="1" applyAlignment="1" applyProtection="1">
      <alignment vertical="center" wrapText="1"/>
      <protection hidden="1"/>
    </xf>
    <xf numFmtId="170" fontId="14" fillId="0" borderId="0" xfId="8" applyNumberFormat="1" applyFont="1" applyFill="1" applyBorder="1" applyAlignment="1" applyProtection="1">
      <alignment horizontal="right" vertical="center" wrapText="1"/>
      <protection hidden="1"/>
    </xf>
    <xf numFmtId="174" fontId="14" fillId="0" borderId="0" xfId="8" applyNumberFormat="1" applyFont="1" applyFill="1" applyBorder="1" applyAlignment="1" applyProtection="1">
      <alignment vertical="center" wrapText="1"/>
      <protection hidden="1"/>
    </xf>
    <xf numFmtId="3" fontId="6" fillId="0" borderId="0" xfId="8" applyNumberFormat="1" applyFont="1" applyFill="1" applyBorder="1" applyAlignment="1" applyProtection="1">
      <alignment vertical="center" wrapText="1"/>
      <protection hidden="1"/>
    </xf>
    <xf numFmtId="175" fontId="14" fillId="0" borderId="0" xfId="8" applyNumberFormat="1" applyFont="1" applyFill="1" applyAlignment="1" applyProtection="1">
      <alignment vertical="center" wrapText="1"/>
      <protection hidden="1"/>
    </xf>
    <xf numFmtId="171" fontId="14" fillId="0" borderId="0" xfId="8" applyFont="1" applyFill="1" applyAlignment="1" applyProtection="1">
      <alignment vertical="center" wrapText="1"/>
      <protection hidden="1"/>
    </xf>
    <xf numFmtId="0" fontId="20" fillId="9" borderId="8" xfId="8" applyNumberFormat="1" applyFont="1" applyFill="1" applyBorder="1" applyAlignment="1" applyProtection="1">
      <alignment horizontal="center" vertical="center" wrapText="1"/>
      <protection hidden="1"/>
    </xf>
    <xf numFmtId="0" fontId="21" fillId="9" borderId="8" xfId="0" applyNumberFormat="1" applyFont="1" applyFill="1" applyBorder="1" applyAlignment="1" applyProtection="1">
      <alignment horizontal="center" vertical="center" wrapText="1"/>
      <protection hidden="1"/>
    </xf>
    <xf numFmtId="0" fontId="5" fillId="0" borderId="0" xfId="3" applyFont="1" applyFill="1" applyAlignment="1" applyProtection="1">
      <alignment vertical="center" wrapText="1"/>
      <protection hidden="1"/>
    </xf>
    <xf numFmtId="0" fontId="14" fillId="0" borderId="0" xfId="3" applyFont="1" applyFill="1" applyBorder="1" applyAlignment="1" applyProtection="1">
      <alignment vertical="center" wrapText="1"/>
      <protection hidden="1"/>
    </xf>
    <xf numFmtId="171" fontId="7" fillId="0" borderId="0" xfId="8" applyFont="1" applyFill="1" applyAlignment="1" applyProtection="1">
      <alignment horizontal="center" vertical="center" wrapText="1"/>
      <protection hidden="1"/>
    </xf>
    <xf numFmtId="0" fontId="5" fillId="0" borderId="0" xfId="3" applyFont="1" applyFill="1" applyAlignment="1" applyProtection="1">
      <alignment horizontal="center" vertical="center" wrapText="1"/>
      <protection hidden="1"/>
    </xf>
    <xf numFmtId="0" fontId="4" fillId="9" borderId="8" xfId="3" applyFont="1" applyFill="1" applyBorder="1" applyAlignment="1" applyProtection="1">
      <alignment horizontal="center" vertical="center" wrapText="1"/>
      <protection hidden="1"/>
    </xf>
    <xf numFmtId="9" fontId="7" fillId="7" borderId="8" xfId="3" applyNumberFormat="1" applyFont="1" applyFill="1" applyBorder="1" applyAlignment="1" applyProtection="1">
      <alignment horizontal="center" vertical="center" wrapText="1"/>
      <protection hidden="1"/>
    </xf>
    <xf numFmtId="0" fontId="8" fillId="0" borderId="8" xfId="9" applyBorder="1" applyAlignment="1" applyProtection="1">
      <alignment horizontal="center" vertical="center"/>
      <protection hidden="1"/>
    </xf>
    <xf numFmtId="0" fontId="8" fillId="0" borderId="8" xfId="9" applyBorder="1" applyAlignment="1" applyProtection="1">
      <alignment vertical="center"/>
      <protection hidden="1"/>
    </xf>
    <xf numFmtId="171" fontId="7" fillId="0" borderId="8" xfId="8" applyFont="1" applyFill="1" applyBorder="1" applyAlignment="1" applyProtection="1">
      <alignment horizontal="center" vertical="center" wrapText="1"/>
      <protection hidden="1"/>
    </xf>
    <xf numFmtId="2" fontId="7" fillId="0" borderId="8" xfId="8" applyNumberFormat="1" applyFont="1" applyFill="1" applyBorder="1" applyAlignment="1" applyProtection="1">
      <alignment horizontal="center" vertical="center" wrapText="1"/>
      <protection hidden="1"/>
    </xf>
    <xf numFmtId="0" fontId="7" fillId="0" borderId="8" xfId="8" applyNumberFormat="1" applyFont="1" applyFill="1" applyBorder="1" applyAlignment="1" applyProtection="1">
      <alignment horizontal="center" vertical="center" wrapText="1"/>
      <protection hidden="1"/>
    </xf>
    <xf numFmtId="175" fontId="7" fillId="0" borderId="8" xfId="8" applyNumberFormat="1" applyFont="1" applyFill="1" applyBorder="1" applyAlignment="1" applyProtection="1">
      <alignment vertical="center" wrapText="1"/>
      <protection hidden="1"/>
    </xf>
    <xf numFmtId="171" fontId="7" fillId="0" borderId="4" xfId="8" applyFont="1" applyFill="1" applyBorder="1" applyAlignment="1" applyProtection="1">
      <alignment vertical="center" wrapText="1"/>
      <protection hidden="1"/>
    </xf>
    <xf numFmtId="171" fontId="7" fillId="0" borderId="0" xfId="8" applyFont="1" applyFill="1" applyBorder="1" applyAlignment="1" applyProtection="1">
      <alignment vertical="center" wrapText="1"/>
      <protection hidden="1"/>
    </xf>
    <xf numFmtId="171" fontId="7" fillId="0" borderId="0" xfId="8" applyFont="1" applyFill="1" applyAlignment="1" applyProtection="1">
      <alignment horizontal="center" wrapText="1"/>
      <protection hidden="1"/>
    </xf>
    <xf numFmtId="171" fontId="26" fillId="0" borderId="0" xfId="8" applyFont="1" applyFill="1" applyAlignment="1" applyProtection="1">
      <alignment horizontal="center" wrapText="1"/>
      <protection hidden="1"/>
    </xf>
    <xf numFmtId="4" fontId="4" fillId="0" borderId="8" xfId="3" applyNumberFormat="1" applyFont="1" applyFill="1" applyBorder="1" applyAlignment="1" applyProtection="1">
      <alignment horizontal="center" vertical="center" wrapText="1"/>
      <protection hidden="1"/>
    </xf>
    <xf numFmtId="0" fontId="5" fillId="0" borderId="0" xfId="3" applyFont="1" applyFill="1" applyAlignment="1" applyProtection="1">
      <alignment horizontal="center" wrapText="1"/>
      <protection hidden="1"/>
    </xf>
    <xf numFmtId="0" fontId="14" fillId="0" borderId="0" xfId="3" applyNumberFormat="1" applyFont="1" applyFill="1" applyAlignment="1" applyProtection="1">
      <alignment horizontal="center" vertical="center" wrapText="1"/>
      <protection hidden="1"/>
    </xf>
    <xf numFmtId="0" fontId="14" fillId="0" borderId="0" xfId="3" applyFont="1" applyFill="1" applyAlignment="1" applyProtection="1">
      <alignment horizontal="center" vertical="center" wrapText="1"/>
      <protection hidden="1"/>
    </xf>
    <xf numFmtId="0" fontId="4" fillId="4" borderId="0" xfId="3" applyFont="1" applyFill="1" applyBorder="1" applyAlignment="1" applyProtection="1">
      <alignment horizontal="center" vertical="center" wrapText="1"/>
      <protection hidden="1"/>
    </xf>
    <xf numFmtId="0" fontId="14" fillId="4" borderId="0" xfId="3" applyFont="1" applyFill="1" applyAlignment="1" applyProtection="1">
      <alignment vertical="center" wrapText="1"/>
      <protection hidden="1"/>
    </xf>
    <xf numFmtId="0" fontId="14" fillId="4" borderId="0" xfId="3" applyNumberFormat="1" applyFont="1" applyFill="1" applyAlignment="1" applyProtection="1">
      <alignment horizontal="center" vertical="center" wrapText="1"/>
      <protection hidden="1"/>
    </xf>
    <xf numFmtId="0" fontId="14" fillId="4" borderId="0" xfId="3" applyFont="1" applyFill="1" applyAlignment="1" applyProtection="1">
      <alignment horizontal="center" vertical="center" wrapText="1"/>
      <protection hidden="1"/>
    </xf>
    <xf numFmtId="0" fontId="30" fillId="7" borderId="8" xfId="3" applyFont="1" applyFill="1" applyBorder="1" applyAlignment="1" applyProtection="1">
      <alignment horizontal="center" vertical="center" wrapText="1"/>
      <protection hidden="1"/>
    </xf>
    <xf numFmtId="171" fontId="6" fillId="9" borderId="8" xfId="8" applyFont="1" applyFill="1" applyBorder="1" applyAlignment="1" applyProtection="1">
      <alignment horizontal="center" vertical="center" wrapText="1"/>
      <protection hidden="1"/>
    </xf>
    <xf numFmtId="9" fontId="8" fillId="0" borderId="8" xfId="2" applyFont="1" applyFill="1" applyBorder="1" applyAlignment="1" applyProtection="1">
      <alignment horizontal="center" vertical="center"/>
      <protection hidden="1"/>
    </xf>
    <xf numFmtId="4" fontId="7" fillId="6" borderId="8" xfId="3" applyNumberFormat="1" applyFont="1" applyFill="1" applyBorder="1" applyAlignment="1" applyProtection="1">
      <alignment horizontal="center" vertical="center"/>
      <protection hidden="1"/>
    </xf>
    <xf numFmtId="4" fontId="8" fillId="0" borderId="8" xfId="3" applyNumberFormat="1" applyFont="1" applyFill="1" applyBorder="1" applyAlignment="1" applyProtection="1">
      <alignment horizontal="center" vertical="center"/>
      <protection hidden="1"/>
    </xf>
    <xf numFmtId="0" fontId="6" fillId="0" borderId="8" xfId="8" applyNumberFormat="1" applyFont="1" applyFill="1" applyBorder="1" applyAlignment="1" applyProtection="1">
      <alignment horizontal="center" vertical="center" wrapText="1"/>
      <protection hidden="1"/>
    </xf>
    <xf numFmtId="171" fontId="6" fillId="0" borderId="8" xfId="8" applyFont="1" applyFill="1" applyBorder="1" applyAlignment="1" applyProtection="1">
      <alignment vertical="center" wrapText="1"/>
      <protection hidden="1"/>
    </xf>
    <xf numFmtId="171" fontId="6" fillId="0" borderId="8" xfId="8" applyFont="1" applyFill="1" applyBorder="1" applyAlignment="1" applyProtection="1">
      <alignment horizontal="center" vertical="center" wrapText="1"/>
      <protection hidden="1"/>
    </xf>
    <xf numFmtId="4" fontId="8" fillId="9" borderId="8" xfId="3" applyNumberFormat="1" applyFont="1" applyFill="1" applyBorder="1" applyAlignment="1" applyProtection="1">
      <alignment horizontal="center" vertical="center"/>
      <protection hidden="1"/>
    </xf>
    <xf numFmtId="0" fontId="14" fillId="0" borderId="0" xfId="3" applyFont="1" applyFill="1" applyAlignment="1" applyProtection="1">
      <alignment horizontal="left" vertical="center"/>
      <protection hidden="1"/>
    </xf>
    <xf numFmtId="0" fontId="32" fillId="0" borderId="0" xfId="5" applyFont="1" applyAlignment="1" applyProtection="1">
      <alignment vertical="center"/>
      <protection hidden="1"/>
    </xf>
    <xf numFmtId="0" fontId="16" fillId="7" borderId="8" xfId="5" applyFont="1" applyFill="1" applyBorder="1" applyAlignment="1" applyProtection="1">
      <alignment horizontal="center" vertical="center"/>
      <protection hidden="1"/>
    </xf>
    <xf numFmtId="0" fontId="33" fillId="7" borderId="8" xfId="5" applyFont="1" applyFill="1" applyBorder="1" applyAlignment="1" applyProtection="1">
      <alignment horizontal="center" vertical="center" wrapText="1"/>
      <protection hidden="1"/>
    </xf>
    <xf numFmtId="0" fontId="32" fillId="7" borderId="8" xfId="5" applyFont="1" applyFill="1" applyBorder="1" applyAlignment="1" applyProtection="1">
      <alignment horizontal="center" vertical="center" wrapText="1"/>
      <protection hidden="1"/>
    </xf>
    <xf numFmtId="1" fontId="16" fillId="7" borderId="8" xfId="5" applyNumberFormat="1" applyFont="1" applyFill="1" applyBorder="1" applyAlignment="1" applyProtection="1">
      <alignment horizontal="center" vertical="center" wrapText="1"/>
      <protection hidden="1"/>
    </xf>
    <xf numFmtId="0" fontId="16" fillId="7" borderId="8" xfId="5" applyFont="1" applyFill="1" applyBorder="1" applyAlignment="1" applyProtection="1">
      <alignment horizontal="center" vertical="center" wrapText="1"/>
      <protection hidden="1"/>
    </xf>
    <xf numFmtId="0" fontId="32" fillId="0" borderId="0" xfId="5" applyFont="1" applyAlignment="1" applyProtection="1">
      <alignment horizontal="left" vertical="center"/>
      <protection hidden="1"/>
    </xf>
    <xf numFmtId="171" fontId="6" fillId="0" borderId="8" xfId="8" applyFont="1" applyFill="1" applyBorder="1" applyAlignment="1" applyProtection="1">
      <alignment horizontal="left" vertical="center" wrapText="1"/>
      <protection hidden="1"/>
    </xf>
    <xf numFmtId="0" fontId="0" fillId="0" borderId="0" xfId="0" applyProtection="1">
      <protection hidden="1"/>
    </xf>
    <xf numFmtId="0" fontId="8" fillId="0" borderId="0" xfId="0" applyFont="1" applyFill="1" applyProtection="1">
      <protection hidden="1"/>
    </xf>
    <xf numFmtId="0" fontId="25" fillId="4" borderId="13" xfId="9" applyFont="1" applyFill="1" applyBorder="1" applyAlignment="1" applyProtection="1">
      <alignment horizontal="center" vertical="center"/>
      <protection hidden="1"/>
    </xf>
    <xf numFmtId="0" fontId="4" fillId="0" borderId="8" xfId="9" applyFont="1" applyFill="1" applyBorder="1" applyAlignment="1" applyProtection="1">
      <alignment horizontal="center" vertical="center" textRotation="90" wrapText="1"/>
      <protection hidden="1"/>
    </xf>
    <xf numFmtId="0" fontId="6" fillId="0" borderId="0" xfId="0" applyFont="1" applyFill="1" applyBorder="1" applyAlignment="1" applyProtection="1">
      <protection hidden="1"/>
    </xf>
    <xf numFmtId="0" fontId="14" fillId="0" borderId="0" xfId="0" applyFont="1" applyFill="1" applyBorder="1" applyProtection="1">
      <protection hidden="1"/>
    </xf>
    <xf numFmtId="0" fontId="6" fillId="0" borderId="0" xfId="9" applyFont="1" applyFill="1" applyBorder="1" applyAlignment="1" applyProtection="1">
      <alignment vertical="center"/>
      <protection hidden="1"/>
    </xf>
    <xf numFmtId="0" fontId="14" fillId="0" borderId="0" xfId="0" applyFont="1" applyFill="1" applyProtection="1">
      <protection hidden="1"/>
    </xf>
    <xf numFmtId="0" fontId="14" fillId="0" borderId="0" xfId="0" applyFont="1" applyFill="1" applyAlignment="1" applyProtection="1">
      <protection hidden="1"/>
    </xf>
    <xf numFmtId="0" fontId="14" fillId="0" borderId="0" xfId="0" applyFont="1" applyProtection="1">
      <protection hidden="1"/>
    </xf>
    <xf numFmtId="0" fontId="37" fillId="0" borderId="0" xfId="17" applyFont="1" applyBorder="1" applyProtection="1">
      <protection hidden="1"/>
    </xf>
    <xf numFmtId="0" fontId="37" fillId="0" borderId="0" xfId="17" applyFont="1" applyProtection="1">
      <protection hidden="1"/>
    </xf>
    <xf numFmtId="0" fontId="37" fillId="4" borderId="0" xfId="17" applyFont="1" applyFill="1" applyProtection="1">
      <protection hidden="1"/>
    </xf>
    <xf numFmtId="0" fontId="35" fillId="3" borderId="30" xfId="17" applyFont="1" applyFill="1" applyBorder="1" applyAlignment="1" applyProtection="1">
      <alignment horizontal="center"/>
      <protection hidden="1"/>
    </xf>
    <xf numFmtId="166" fontId="35" fillId="7" borderId="31" xfId="13" applyFont="1" applyFill="1" applyBorder="1" applyAlignment="1" applyProtection="1">
      <alignment horizontal="center" vertical="center"/>
      <protection hidden="1"/>
    </xf>
    <xf numFmtId="0" fontId="35" fillId="3" borderId="32" xfId="17" applyFont="1" applyFill="1" applyBorder="1" applyAlignment="1" applyProtection="1">
      <alignment horizontal="center" vertical="center" wrapText="1"/>
      <protection hidden="1"/>
    </xf>
    <xf numFmtId="181" fontId="35" fillId="7" borderId="33" xfId="17" applyNumberFormat="1" applyFont="1" applyFill="1" applyBorder="1" applyAlignment="1" applyProtection="1">
      <alignment horizontal="center" vertical="center"/>
      <protection hidden="1"/>
    </xf>
    <xf numFmtId="0" fontId="37" fillId="4" borderId="0" xfId="17" applyFont="1" applyFill="1" applyBorder="1" applyProtection="1">
      <protection hidden="1"/>
    </xf>
    <xf numFmtId="164" fontId="37" fillId="4" borderId="0" xfId="17" applyNumberFormat="1" applyFont="1" applyFill="1" applyProtection="1">
      <protection hidden="1"/>
    </xf>
    <xf numFmtId="0" fontId="35" fillId="3" borderId="8" xfId="17" applyFont="1" applyFill="1" applyBorder="1" applyAlignment="1" applyProtection="1">
      <alignment horizontal="center" vertical="center"/>
      <protection hidden="1"/>
    </xf>
    <xf numFmtId="0" fontId="37" fillId="4" borderId="0" xfId="17" applyFont="1" applyFill="1" applyBorder="1" applyAlignment="1" applyProtection="1">
      <alignment horizontal="center"/>
      <protection hidden="1"/>
    </xf>
    <xf numFmtId="0" fontId="37" fillId="4" borderId="0" xfId="17" applyFont="1" applyFill="1" applyAlignment="1" applyProtection="1">
      <alignment horizontal="left"/>
      <protection hidden="1"/>
    </xf>
    <xf numFmtId="0" fontId="35" fillId="3" borderId="8" xfId="17" applyFont="1" applyFill="1" applyBorder="1" applyAlignment="1" applyProtection="1">
      <alignment horizontal="center" vertical="center" wrapText="1"/>
      <protection hidden="1"/>
    </xf>
    <xf numFmtId="0" fontId="35" fillId="3" borderId="8" xfId="17" applyFont="1" applyFill="1" applyBorder="1" applyAlignment="1" applyProtection="1">
      <alignment vertical="center" wrapText="1"/>
      <protection hidden="1"/>
    </xf>
    <xf numFmtId="0" fontId="35" fillId="3" borderId="14" xfId="17" applyFont="1" applyFill="1" applyBorder="1" applyAlignment="1" applyProtection="1">
      <alignment horizontal="center" vertical="center" wrapText="1"/>
      <protection hidden="1"/>
    </xf>
    <xf numFmtId="0" fontId="35" fillId="3" borderId="13" xfId="17" applyFont="1" applyFill="1" applyBorder="1" applyAlignment="1" applyProtection="1">
      <alignment horizontal="center" vertical="center" wrapText="1"/>
      <protection hidden="1"/>
    </xf>
    <xf numFmtId="0" fontId="35" fillId="4" borderId="8" xfId="17" applyFont="1" applyFill="1" applyBorder="1" applyAlignment="1" applyProtection="1">
      <alignment horizontal="center" vertical="center"/>
      <protection hidden="1"/>
    </xf>
    <xf numFmtId="0" fontId="35" fillId="9" borderId="8" xfId="17" applyFont="1" applyFill="1" applyBorder="1" applyAlignment="1" applyProtection="1">
      <alignment horizontal="center" vertical="center" wrapText="1"/>
      <protection hidden="1"/>
    </xf>
    <xf numFmtId="182" fontId="37" fillId="4" borderId="8" xfId="17" applyNumberFormat="1" applyFont="1" applyFill="1" applyBorder="1" applyAlignment="1" applyProtection="1">
      <alignment horizontal="center" vertical="center"/>
      <protection hidden="1"/>
    </xf>
    <xf numFmtId="10" fontId="37" fillId="4" borderId="8" xfId="15" applyNumberFormat="1" applyFont="1" applyFill="1" applyBorder="1" applyAlignment="1" applyProtection="1">
      <alignment horizontal="center" vertical="center"/>
      <protection hidden="1"/>
    </xf>
    <xf numFmtId="2" fontId="37" fillId="4" borderId="8" xfId="17" applyNumberFormat="1" applyFont="1" applyFill="1" applyBorder="1" applyAlignment="1" applyProtection="1">
      <alignment horizontal="center" vertical="center"/>
      <protection hidden="1"/>
    </xf>
    <xf numFmtId="2" fontId="35" fillId="4" borderId="8" xfId="17" applyNumberFormat="1" applyFont="1" applyFill="1" applyBorder="1" applyAlignment="1" applyProtection="1">
      <alignment horizontal="center" vertical="center"/>
      <protection hidden="1"/>
    </xf>
    <xf numFmtId="1" fontId="35" fillId="0" borderId="8" xfId="17" applyNumberFormat="1" applyFont="1" applyFill="1" applyBorder="1" applyAlignment="1" applyProtection="1">
      <alignment horizontal="center" vertical="center"/>
      <protection hidden="1"/>
    </xf>
    <xf numFmtId="0" fontId="37" fillId="0" borderId="0" xfId="17" applyFont="1" applyAlignment="1" applyProtection="1">
      <alignment vertical="center"/>
      <protection hidden="1"/>
    </xf>
    <xf numFmtId="180" fontId="37" fillId="0" borderId="0" xfId="17" applyNumberFormat="1" applyFont="1" applyBorder="1" applyAlignment="1" applyProtection="1">
      <alignment vertical="center"/>
      <protection hidden="1"/>
    </xf>
    <xf numFmtId="1" fontId="37" fillId="0" borderId="0" xfId="17" applyNumberFormat="1" applyFont="1" applyBorder="1" applyAlignment="1" applyProtection="1">
      <alignment horizontal="center" vertical="center"/>
      <protection hidden="1"/>
    </xf>
    <xf numFmtId="9" fontId="37" fillId="0" borderId="0" xfId="17" applyNumberFormat="1" applyFont="1" applyProtection="1">
      <protection hidden="1"/>
    </xf>
    <xf numFmtId="0" fontId="8" fillId="4" borderId="11" xfId="9" applyFill="1" applyBorder="1" applyAlignment="1" applyProtection="1">
      <alignment horizontal="center" vertical="center"/>
      <protection hidden="1"/>
    </xf>
    <xf numFmtId="177" fontId="39" fillId="0" borderId="11" xfId="13" applyNumberFormat="1" applyFont="1" applyBorder="1" applyAlignment="1" applyProtection="1">
      <alignment horizontal="center" vertical="center"/>
      <protection hidden="1"/>
    </xf>
    <xf numFmtId="170" fontId="39" fillId="0" borderId="11" xfId="0" applyNumberFormat="1" applyFont="1" applyBorder="1" applyAlignment="1" applyProtection="1">
      <alignment horizontal="center" vertical="center"/>
      <protection hidden="1"/>
    </xf>
    <xf numFmtId="0" fontId="25" fillId="0" borderId="0" xfId="0" applyFont="1" applyFill="1" applyAlignment="1" applyProtection="1">
      <alignment horizontal="center" vertical="center"/>
      <protection hidden="1"/>
    </xf>
    <xf numFmtId="0" fontId="42" fillId="0" borderId="0" xfId="0" applyFont="1" applyFill="1" applyAlignment="1" applyProtection="1">
      <alignment horizontal="center" vertical="center"/>
      <protection hidden="1"/>
    </xf>
    <xf numFmtId="0" fontId="43" fillId="0" borderId="0" xfId="0" applyFont="1" applyProtection="1">
      <protection hidden="1"/>
    </xf>
    <xf numFmtId="0" fontId="14" fillId="0" borderId="8"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protection hidden="1"/>
    </xf>
    <xf numFmtId="0" fontId="6" fillId="9" borderId="8" xfId="0" applyFont="1" applyFill="1" applyBorder="1" applyAlignment="1" applyProtection="1">
      <alignment horizontal="center" vertical="center" wrapText="1"/>
      <protection hidden="1"/>
    </xf>
    <xf numFmtId="0" fontId="44" fillId="0" borderId="8" xfId="0" applyFont="1" applyBorder="1" applyAlignment="1" applyProtection="1">
      <alignment horizontal="left" vertical="center"/>
      <protection hidden="1"/>
    </xf>
    <xf numFmtId="0" fontId="14" fillId="0" borderId="8" xfId="0" applyFont="1" applyFill="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10" fontId="4" fillId="0" borderId="8" xfId="15" applyNumberFormat="1" applyFont="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0" fontId="8" fillId="0" borderId="0" xfId="0" applyFont="1" applyProtection="1">
      <protection hidden="1"/>
    </xf>
    <xf numFmtId="0" fontId="14" fillId="15" borderId="8" xfId="0" applyFont="1" applyFill="1" applyBorder="1" applyAlignment="1" applyProtection="1">
      <alignment horizontal="center" vertical="center" wrapText="1"/>
      <protection hidden="1"/>
    </xf>
    <xf numFmtId="0" fontId="14" fillId="0" borderId="0" xfId="0" applyFont="1" applyFill="1" applyAlignment="1" applyProtection="1">
      <alignment horizontal="center" vertical="center"/>
      <protection hidden="1"/>
    </xf>
    <xf numFmtId="0" fontId="14" fillId="15" borderId="8" xfId="0" applyFont="1" applyFill="1" applyBorder="1" applyAlignment="1" applyProtection="1">
      <alignment horizontal="center" vertical="center"/>
      <protection hidden="1"/>
    </xf>
    <xf numFmtId="169" fontId="14" fillId="0" borderId="8" xfId="0" applyNumberFormat="1" applyFont="1" applyBorder="1" applyAlignment="1" applyProtection="1">
      <alignment horizontal="center" vertical="center"/>
      <protection hidden="1"/>
    </xf>
    <xf numFmtId="2" fontId="14" fillId="0" borderId="8" xfId="0" applyNumberFormat="1" applyFont="1" applyFill="1" applyBorder="1" applyAlignment="1" applyProtection="1">
      <alignment horizontal="center" vertical="center"/>
      <protection hidden="1"/>
    </xf>
    <xf numFmtId="0" fontId="6" fillId="9" borderId="8" xfId="0" applyFont="1" applyFill="1" applyBorder="1" applyAlignment="1" applyProtection="1">
      <alignment vertical="center"/>
      <protection hidden="1"/>
    </xf>
    <xf numFmtId="0" fontId="20" fillId="9" borderId="15" xfId="0" applyFont="1" applyFill="1" applyBorder="1" applyAlignment="1" applyProtection="1">
      <alignment vertical="center"/>
      <protection hidden="1"/>
    </xf>
    <xf numFmtId="0" fontId="20" fillId="9" borderId="7" xfId="0" applyFont="1" applyFill="1" applyBorder="1" applyAlignment="1" applyProtection="1">
      <alignment vertical="center"/>
      <protection hidden="1"/>
    </xf>
    <xf numFmtId="0" fontId="20" fillId="9" borderId="16" xfId="0" applyFont="1" applyFill="1" applyBorder="1" applyAlignment="1" applyProtection="1">
      <alignment vertical="center"/>
      <protection hidden="1"/>
    </xf>
    <xf numFmtId="0" fontId="19" fillId="9" borderId="11" xfId="0" applyFont="1" applyFill="1" applyBorder="1" applyAlignment="1" applyProtection="1">
      <alignment horizontal="center" vertical="center" wrapText="1"/>
      <protection hidden="1"/>
    </xf>
    <xf numFmtId="0" fontId="19" fillId="9" borderId="11" xfId="3" applyFont="1" applyFill="1" applyBorder="1" applyAlignment="1" applyProtection="1">
      <alignment horizontal="center" vertical="center" wrapText="1"/>
      <protection hidden="1"/>
    </xf>
    <xf numFmtId="0" fontId="19" fillId="12" borderId="14" xfId="0" applyFont="1" applyFill="1" applyBorder="1" applyAlignment="1" applyProtection="1">
      <alignment horizontal="center" vertical="center" wrapText="1"/>
      <protection hidden="1"/>
    </xf>
    <xf numFmtId="0" fontId="19" fillId="0" borderId="8" xfId="0" applyNumberFormat="1" applyFont="1" applyFill="1" applyBorder="1" applyAlignment="1" applyProtection="1">
      <alignment horizontal="center" vertical="center" wrapText="1"/>
      <protection hidden="1"/>
    </xf>
    <xf numFmtId="0" fontId="19" fillId="0" borderId="8" xfId="0" applyFont="1" applyBorder="1" applyAlignment="1" applyProtection="1">
      <alignment vertical="center"/>
      <protection hidden="1"/>
    </xf>
    <xf numFmtId="0" fontId="19" fillId="0" borderId="8" xfId="0" applyFont="1" applyBorder="1" applyAlignment="1" applyProtection="1">
      <alignment horizontal="center"/>
      <protection hidden="1"/>
    </xf>
    <xf numFmtId="0" fontId="29" fillId="0" borderId="8"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29" fillId="2" borderId="0" xfId="3" applyFont="1" applyFill="1" applyBorder="1" applyAlignment="1" applyProtection="1">
      <alignment horizontal="left" vertical="center" wrapText="1"/>
      <protection hidden="1"/>
    </xf>
    <xf numFmtId="0" fontId="45" fillId="0" borderId="0" xfId="17" applyFont="1" applyProtection="1">
      <protection hidden="1"/>
    </xf>
    <xf numFmtId="0" fontId="0" fillId="0" borderId="0" xfId="0" applyAlignment="1" applyProtection="1">
      <alignment vertical="center"/>
      <protection hidden="1"/>
    </xf>
    <xf numFmtId="170" fontId="0" fillId="0" borderId="0" xfId="0" applyNumberFormat="1" applyProtection="1">
      <protection hidden="1"/>
    </xf>
    <xf numFmtId="0" fontId="5" fillId="0" borderId="0" xfId="0" applyFont="1" applyAlignment="1" applyProtection="1">
      <alignment vertical="center"/>
      <protection hidden="1"/>
    </xf>
    <xf numFmtId="0" fontId="9" fillId="3" borderId="8" xfId="0" applyFont="1" applyFill="1" applyBorder="1" applyAlignment="1" applyProtection="1">
      <alignment horizontal="center" vertical="center" wrapText="1"/>
      <protection hidden="1"/>
    </xf>
    <xf numFmtId="0" fontId="6" fillId="3" borderId="8" xfId="0" applyFont="1" applyFill="1" applyBorder="1" applyAlignment="1" applyProtection="1">
      <alignment vertical="center"/>
      <protection hidden="1"/>
    </xf>
    <xf numFmtId="0" fontId="9" fillId="9" borderId="8" xfId="0" applyNumberFormat="1" applyFont="1" applyFill="1" applyBorder="1" applyAlignment="1" applyProtection="1">
      <alignment horizontal="center" vertical="center"/>
      <protection hidden="1"/>
    </xf>
    <xf numFmtId="177" fontId="9" fillId="3" borderId="8" xfId="0" applyNumberFormat="1" applyFont="1" applyFill="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84" fontId="0" fillId="9" borderId="8" xfId="1" applyNumberFormat="1" applyFont="1" applyFill="1" applyBorder="1" applyAlignment="1" applyProtection="1">
      <alignment horizontal="center" vertical="center"/>
      <protection hidden="1"/>
    </xf>
    <xf numFmtId="0" fontId="6" fillId="3" borderId="8" xfId="0" applyFont="1" applyFill="1" applyBorder="1" applyAlignment="1" applyProtection="1">
      <alignment horizontal="centerContinuous" vertical="center"/>
      <protection hidden="1"/>
    </xf>
    <xf numFmtId="10" fontId="35" fillId="7" borderId="29" xfId="2" applyNumberFormat="1" applyFont="1" applyFill="1" applyBorder="1" applyAlignment="1" applyProtection="1">
      <alignment horizontal="center" vertical="center"/>
      <protection hidden="1"/>
    </xf>
    <xf numFmtId="166" fontId="37" fillId="0" borderId="0" xfId="17" applyNumberFormat="1" applyFont="1" applyProtection="1">
      <protection hidden="1"/>
    </xf>
    <xf numFmtId="10" fontId="37" fillId="0" borderId="0" xfId="2" applyNumberFormat="1" applyFont="1" applyBorder="1" applyProtection="1">
      <protection hidden="1"/>
    </xf>
    <xf numFmtId="0" fontId="6" fillId="9" borderId="8"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5" fillId="4" borderId="8" xfId="0" applyFont="1" applyFill="1" applyBorder="1" applyAlignment="1" applyProtection="1">
      <protection hidden="1"/>
    </xf>
    <xf numFmtId="0" fontId="5" fillId="4" borderId="8" xfId="0" applyFont="1" applyFill="1" applyBorder="1" applyAlignment="1" applyProtection="1">
      <alignment wrapText="1"/>
      <protection hidden="1"/>
    </xf>
    <xf numFmtId="0" fontId="10" fillId="0" borderId="0" xfId="4" applyFont="1" applyFill="1" applyProtection="1">
      <protection hidden="1"/>
    </xf>
    <xf numFmtId="0" fontId="7" fillId="4" borderId="5" xfId="4" applyFont="1" applyFill="1" applyBorder="1" applyAlignment="1" applyProtection="1">
      <alignment horizontal="center" vertical="center" wrapText="1"/>
      <protection hidden="1"/>
    </xf>
    <xf numFmtId="0" fontId="12" fillId="2" borderId="0" xfId="5" applyFont="1" applyFill="1" applyAlignment="1" applyProtection="1">
      <alignment vertical="center"/>
      <protection hidden="1"/>
    </xf>
    <xf numFmtId="0" fontId="6" fillId="4" borderId="12" xfId="5" applyFont="1" applyFill="1" applyBorder="1" applyAlignment="1" applyProtection="1">
      <alignment horizontal="center" vertical="center" wrapText="1"/>
      <protection hidden="1"/>
    </xf>
    <xf numFmtId="0" fontId="6" fillId="4" borderId="0" xfId="5" applyFont="1" applyFill="1" applyBorder="1" applyAlignment="1" applyProtection="1">
      <alignment horizontal="center" vertical="center" wrapText="1"/>
      <protection hidden="1"/>
    </xf>
    <xf numFmtId="0" fontId="13" fillId="7" borderId="8" xfId="5" applyFont="1" applyFill="1" applyBorder="1" applyAlignment="1" applyProtection="1">
      <alignment horizontal="center" vertical="center" wrapText="1"/>
      <protection hidden="1"/>
    </xf>
    <xf numFmtId="0" fontId="12" fillId="7" borderId="8" xfId="5" applyFont="1" applyFill="1" applyBorder="1" applyAlignment="1" applyProtection="1">
      <alignment horizontal="center" vertical="center" wrapText="1"/>
      <protection hidden="1"/>
    </xf>
    <xf numFmtId="0" fontId="6" fillId="4" borderId="8" xfId="5" applyFont="1" applyFill="1" applyBorder="1" applyAlignment="1" applyProtection="1">
      <alignment vertical="center" wrapText="1"/>
      <protection hidden="1"/>
    </xf>
    <xf numFmtId="0" fontId="12" fillId="4" borderId="8" xfId="5" applyFont="1" applyFill="1" applyBorder="1" applyAlignment="1" applyProtection="1">
      <alignment horizontal="center" vertical="center" wrapText="1"/>
      <protection hidden="1"/>
    </xf>
    <xf numFmtId="0" fontId="12" fillId="6" borderId="8" xfId="5" applyFont="1" applyFill="1" applyBorder="1" applyAlignment="1" applyProtection="1">
      <alignment horizontal="center" vertical="center" wrapText="1"/>
      <protection hidden="1"/>
    </xf>
    <xf numFmtId="0" fontId="6" fillId="6" borderId="8" xfId="5" applyFont="1" applyFill="1" applyBorder="1" applyAlignment="1" applyProtection="1">
      <alignment vertical="center"/>
      <protection hidden="1"/>
    </xf>
    <xf numFmtId="0" fontId="14" fillId="6" borderId="8" xfId="5" applyFont="1" applyFill="1" applyBorder="1" applyAlignment="1" applyProtection="1">
      <alignment horizontal="justify" vertical="center" wrapText="1"/>
      <protection hidden="1"/>
    </xf>
    <xf numFmtId="0" fontId="15" fillId="0" borderId="8" xfId="5" applyFont="1" applyFill="1" applyBorder="1" applyAlignment="1" applyProtection="1">
      <alignment horizontal="center" vertical="center" wrapText="1"/>
      <protection hidden="1"/>
    </xf>
    <xf numFmtId="0" fontId="12" fillId="0" borderId="8" xfId="5" applyFont="1" applyFill="1" applyBorder="1" applyAlignment="1" applyProtection="1">
      <alignment horizontal="center" vertical="center" wrapText="1"/>
      <protection hidden="1"/>
    </xf>
    <xf numFmtId="0" fontId="6" fillId="6" borderId="8" xfId="5" applyFont="1" applyFill="1" applyBorder="1" applyAlignment="1" applyProtection="1">
      <alignment horizontal="right" vertical="center" wrapText="1"/>
      <protection hidden="1"/>
    </xf>
    <xf numFmtId="0" fontId="17" fillId="0" borderId="8" xfId="5" applyFont="1" applyFill="1" applyBorder="1" applyAlignment="1" applyProtection="1">
      <alignment horizontal="left" vertical="center"/>
      <protection hidden="1"/>
    </xf>
    <xf numFmtId="0" fontId="12" fillId="8" borderId="8" xfId="5" applyFont="1" applyFill="1" applyBorder="1" applyAlignment="1" applyProtection="1">
      <alignment horizontal="center" vertical="center"/>
      <protection hidden="1"/>
    </xf>
    <xf numFmtId="0" fontId="6" fillId="8" borderId="8" xfId="5" applyFont="1" applyFill="1" applyBorder="1" applyAlignment="1" applyProtection="1">
      <alignment vertical="center"/>
      <protection hidden="1"/>
    </xf>
    <xf numFmtId="0" fontId="14" fillId="0" borderId="8" xfId="5" applyFont="1" applyFill="1" applyBorder="1" applyAlignment="1" applyProtection="1">
      <alignment horizontal="center" vertical="center"/>
      <protection hidden="1"/>
    </xf>
    <xf numFmtId="0" fontId="14" fillId="8" borderId="8" xfId="0" applyFont="1" applyFill="1" applyBorder="1" applyAlignment="1" applyProtection="1">
      <alignment horizontal="justify" vertical="center" wrapText="1"/>
      <protection hidden="1"/>
    </xf>
    <xf numFmtId="0" fontId="12" fillId="8" borderId="8" xfId="5" applyFont="1" applyFill="1" applyBorder="1" applyAlignment="1" applyProtection="1">
      <alignment horizontal="right" vertical="center"/>
      <protection hidden="1"/>
    </xf>
    <xf numFmtId="0" fontId="12" fillId="0" borderId="0" xfId="5" applyFont="1" applyFill="1" applyAlignment="1" applyProtection="1">
      <alignment vertical="center"/>
      <protection hidden="1"/>
    </xf>
    <xf numFmtId="173" fontId="4" fillId="9" borderId="8" xfId="8" applyNumberFormat="1" applyFont="1" applyFill="1" applyBorder="1" applyAlignment="1" applyProtection="1">
      <alignment horizontal="center" vertical="center" wrapText="1"/>
      <protection hidden="1"/>
    </xf>
    <xf numFmtId="9" fontId="7" fillId="5" borderId="8" xfId="3" applyNumberFormat="1" applyFont="1" applyFill="1" applyBorder="1" applyAlignment="1" applyProtection="1">
      <alignment horizontal="center" vertical="center" wrapText="1"/>
      <protection hidden="1"/>
    </xf>
    <xf numFmtId="4" fontId="8" fillId="9" borderId="8" xfId="8" applyNumberFormat="1" applyFont="1" applyFill="1" applyBorder="1" applyAlignment="1" applyProtection="1">
      <alignment horizontal="center" vertical="center" wrapText="1"/>
      <protection hidden="1"/>
    </xf>
    <xf numFmtId="0" fontId="32" fillId="0" borderId="8" xfId="5" applyFont="1" applyFill="1" applyBorder="1" applyAlignment="1" applyProtection="1">
      <alignment horizontal="center" vertical="center" wrapText="1"/>
      <protection hidden="1"/>
    </xf>
    <xf numFmtId="0" fontId="34" fillId="4" borderId="0" xfId="10" applyFont="1" applyFill="1" applyAlignment="1" applyProtection="1">
      <alignment vertical="center"/>
      <protection hidden="1"/>
    </xf>
    <xf numFmtId="0" fontId="34" fillId="0" borderId="0" xfId="10" applyFont="1" applyAlignment="1" applyProtection="1">
      <alignment vertical="center"/>
      <protection hidden="1"/>
    </xf>
    <xf numFmtId="0" fontId="34" fillId="0" borderId="0" xfId="10" applyFont="1" applyFill="1" applyAlignment="1" applyProtection="1">
      <alignment vertical="center"/>
      <protection hidden="1"/>
    </xf>
    <xf numFmtId="0" fontId="37" fillId="0" borderId="0" xfId="10" applyFont="1" applyFill="1" applyAlignment="1" applyProtection="1">
      <alignment vertical="center"/>
      <protection hidden="1"/>
    </xf>
    <xf numFmtId="0" fontId="19" fillId="9"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179" fontId="40" fillId="9" borderId="29" xfId="18" applyNumberFormat="1" applyFont="1" applyFill="1" applyBorder="1" applyAlignment="1" applyProtection="1">
      <alignment horizontal="center" vertical="center"/>
      <protection hidden="1"/>
    </xf>
    <xf numFmtId="14" fontId="35" fillId="9" borderId="29" xfId="17" applyNumberFormat="1" applyFont="1" applyFill="1" applyBorder="1" applyAlignment="1" applyProtection="1">
      <alignment horizontal="center" vertical="center" wrapText="1"/>
      <protection hidden="1"/>
    </xf>
    <xf numFmtId="0" fontId="35" fillId="9" borderId="29" xfId="17" applyFont="1" applyFill="1" applyBorder="1" applyAlignment="1" applyProtection="1">
      <alignment horizontal="center" vertical="center"/>
      <protection hidden="1"/>
    </xf>
    <xf numFmtId="164" fontId="35" fillId="9" borderId="29" xfId="17" applyNumberFormat="1" applyFont="1" applyFill="1" applyBorder="1" applyAlignment="1" applyProtection="1">
      <alignment horizontal="center" vertical="center" wrapText="1"/>
      <protection hidden="1"/>
    </xf>
    <xf numFmtId="0" fontId="35" fillId="9" borderId="8" xfId="18" applyNumberFormat="1" applyFont="1" applyFill="1" applyBorder="1" applyAlignment="1" applyProtection="1">
      <alignment horizontal="center" vertical="center" wrapText="1"/>
      <protection hidden="1"/>
    </xf>
    <xf numFmtId="0" fontId="35" fillId="9" borderId="15" xfId="17" applyFont="1" applyFill="1" applyBorder="1" applyAlignment="1" applyProtection="1">
      <alignment horizontal="center" vertical="center" wrapText="1"/>
      <protection hidden="1"/>
    </xf>
    <xf numFmtId="0" fontId="35" fillId="9" borderId="7" xfId="17" applyFont="1" applyFill="1" applyBorder="1" applyAlignment="1" applyProtection="1">
      <alignment horizontal="center" vertical="center" wrapText="1"/>
      <protection hidden="1"/>
    </xf>
    <xf numFmtId="0" fontId="35" fillId="9" borderId="16" xfId="17" applyFont="1" applyFill="1" applyBorder="1" applyAlignment="1" applyProtection="1">
      <alignment horizontal="center" vertical="center" wrapText="1"/>
      <protection hidden="1"/>
    </xf>
    <xf numFmtId="0" fontId="6" fillId="9" borderId="8" xfId="0" applyFont="1" applyFill="1" applyBorder="1" applyAlignment="1" applyProtection="1">
      <alignment horizontal="center" vertical="center"/>
      <protection hidden="1"/>
    </xf>
    <xf numFmtId="0" fontId="5" fillId="4" borderId="8" xfId="0" applyNumberFormat="1" applyFont="1" applyFill="1" applyBorder="1" applyAlignment="1" applyProtection="1">
      <alignment horizontal="left" wrapText="1"/>
      <protection hidden="1"/>
    </xf>
    <xf numFmtId="22" fontId="10" fillId="0" borderId="0" xfId="4" applyNumberFormat="1" applyFont="1" applyProtection="1">
      <protection hidden="1"/>
    </xf>
    <xf numFmtId="0" fontId="5" fillId="0" borderId="8" xfId="4" applyFont="1" applyBorder="1" applyAlignment="1" applyProtection="1">
      <alignment horizontal="left" vertical="center" wrapText="1"/>
      <protection hidden="1"/>
    </xf>
    <xf numFmtId="0" fontId="14" fillId="8" borderId="8" xfId="5" applyFont="1" applyFill="1" applyBorder="1" applyAlignment="1" applyProtection="1">
      <alignment horizontal="left" vertical="center" wrapText="1"/>
      <protection hidden="1"/>
    </xf>
    <xf numFmtId="3" fontId="37" fillId="0" borderId="0" xfId="17" applyNumberFormat="1" applyFont="1" applyProtection="1">
      <protection hidden="1"/>
    </xf>
    <xf numFmtId="41" fontId="37" fillId="0" borderId="0" xfId="22" applyFont="1" applyProtection="1">
      <protection hidden="1"/>
    </xf>
    <xf numFmtId="41" fontId="37" fillId="0" borderId="0" xfId="17" applyNumberFormat="1" applyFont="1" applyProtection="1">
      <protection hidden="1"/>
    </xf>
    <xf numFmtId="170" fontId="14" fillId="0" borderId="0" xfId="0" applyNumberFormat="1" applyFont="1" applyFill="1" applyAlignment="1" applyProtection="1">
      <protection hidden="1"/>
    </xf>
    <xf numFmtId="169" fontId="14" fillId="0" borderId="0" xfId="0" applyNumberFormat="1" applyFont="1" applyFill="1" applyAlignment="1" applyProtection="1">
      <protection hidden="1"/>
    </xf>
    <xf numFmtId="182" fontId="37" fillId="0" borderId="0" xfId="17" applyNumberFormat="1" applyFont="1" applyProtection="1">
      <protection hidden="1"/>
    </xf>
    <xf numFmtId="177" fontId="0" fillId="0" borderId="0" xfId="0" applyNumberFormat="1" applyProtection="1">
      <protection hidden="1"/>
    </xf>
    <xf numFmtId="0" fontId="7" fillId="4" borderId="3" xfId="4" applyFont="1" applyFill="1" applyBorder="1" applyAlignment="1" applyProtection="1">
      <alignment horizontal="center" vertical="center" wrapText="1"/>
      <protection hidden="1"/>
    </xf>
    <xf numFmtId="0" fontId="7" fillId="4" borderId="0" xfId="4" applyFont="1" applyFill="1" applyBorder="1" applyAlignment="1" applyProtection="1">
      <alignment vertical="center" wrapText="1"/>
      <protection hidden="1"/>
    </xf>
    <xf numFmtId="0" fontId="7" fillId="4" borderId="4" xfId="4" applyFont="1" applyFill="1" applyBorder="1" applyAlignment="1" applyProtection="1">
      <alignment vertical="center" wrapText="1"/>
      <protection hidden="1"/>
    </xf>
    <xf numFmtId="166" fontId="5" fillId="5" borderId="56" xfId="23" applyFont="1" applyFill="1" applyBorder="1" applyAlignment="1" applyProtection="1">
      <alignment horizontal="center" vertical="center" wrapText="1"/>
      <protection hidden="1"/>
    </xf>
    <xf numFmtId="9" fontId="5" fillId="5" borderId="56" xfId="2" applyFont="1" applyFill="1" applyBorder="1" applyAlignment="1" applyProtection="1">
      <alignment horizontal="center" vertical="center" wrapText="1"/>
      <protection hidden="1"/>
    </xf>
    <xf numFmtId="0" fontId="5" fillId="0" borderId="58" xfId="4" applyFont="1" applyBorder="1" applyAlignment="1" applyProtection="1">
      <alignment horizontal="left" vertical="center" wrapText="1"/>
      <protection hidden="1"/>
    </xf>
    <xf numFmtId="0" fontId="5" fillId="0" borderId="33" xfId="4" applyFont="1" applyBorder="1" applyAlignment="1" applyProtection="1">
      <alignment horizontal="left" vertical="center" wrapText="1"/>
      <protection hidden="1"/>
    </xf>
    <xf numFmtId="0" fontId="7" fillId="3" borderId="61" xfId="4" applyFont="1" applyFill="1" applyBorder="1" applyAlignment="1" applyProtection="1">
      <alignment horizontal="center" vertical="center"/>
      <protection hidden="1"/>
    </xf>
    <xf numFmtId="0" fontId="5" fillId="0" borderId="62" xfId="4" applyNumberFormat="1" applyFont="1" applyBorder="1" applyAlignment="1" applyProtection="1">
      <alignment horizontal="center" vertical="center"/>
      <protection hidden="1"/>
    </xf>
    <xf numFmtId="0" fontId="5" fillId="0" borderId="48" xfId="4" applyNumberFormat="1" applyFont="1" applyBorder="1" applyAlignment="1" applyProtection="1">
      <alignment horizontal="center" vertical="center"/>
      <protection hidden="1"/>
    </xf>
    <xf numFmtId="1" fontId="5" fillId="5" borderId="8" xfId="23" applyNumberFormat="1" applyFont="1" applyFill="1" applyBorder="1" applyAlignment="1" applyProtection="1">
      <alignment horizontal="center" vertical="center" wrapText="1"/>
      <protection hidden="1"/>
    </xf>
    <xf numFmtId="0" fontId="7" fillId="3" borderId="63" xfId="4" applyFont="1" applyFill="1" applyBorder="1" applyAlignment="1" applyProtection="1">
      <alignment horizontal="center" vertical="center" wrapText="1"/>
      <protection hidden="1"/>
    </xf>
    <xf numFmtId="0" fontId="7" fillId="3" borderId="64" xfId="4" applyFont="1" applyFill="1" applyBorder="1" applyAlignment="1" applyProtection="1">
      <alignment horizontal="center" vertical="center" wrapText="1"/>
      <protection hidden="1"/>
    </xf>
    <xf numFmtId="0" fontId="7" fillId="3" borderId="63" xfId="4" applyFont="1" applyFill="1" applyBorder="1" applyAlignment="1" applyProtection="1">
      <alignment horizontal="center" vertical="center"/>
      <protection hidden="1"/>
    </xf>
    <xf numFmtId="0" fontId="7" fillId="3" borderId="65" xfId="4" applyFont="1" applyFill="1" applyBorder="1" applyAlignment="1" applyProtection="1">
      <alignment horizontal="center" vertical="center" wrapText="1"/>
      <protection hidden="1"/>
    </xf>
    <xf numFmtId="22" fontId="32" fillId="0" borderId="50" xfId="0" applyNumberFormat="1" applyFont="1" applyBorder="1" applyAlignment="1">
      <alignment horizontal="center" vertical="center" wrapText="1"/>
    </xf>
    <xf numFmtId="22" fontId="32" fillId="0" borderId="32" xfId="0" applyNumberFormat="1" applyFont="1" applyBorder="1" applyAlignment="1">
      <alignment horizontal="center" vertical="center" wrapText="1"/>
    </xf>
    <xf numFmtId="0" fontId="5" fillId="0" borderId="59" xfId="4" applyFont="1" applyBorder="1" applyAlignment="1" applyProtection="1">
      <alignment horizontal="left" vertical="center" wrapText="1"/>
      <protection hidden="1"/>
    </xf>
    <xf numFmtId="1" fontId="5" fillId="5" borderId="59" xfId="23" applyNumberFormat="1" applyFont="1" applyFill="1" applyBorder="1" applyAlignment="1" applyProtection="1">
      <alignment horizontal="center" vertical="center" wrapText="1"/>
      <protection hidden="1"/>
    </xf>
    <xf numFmtId="9" fontId="5" fillId="0" borderId="56" xfId="2" applyFont="1" applyFill="1" applyBorder="1" applyAlignment="1" applyProtection="1">
      <alignment horizontal="center" vertical="center" wrapText="1"/>
      <protection hidden="1"/>
    </xf>
    <xf numFmtId="0" fontId="32" fillId="0" borderId="53" xfId="0" applyFont="1" applyBorder="1" applyAlignment="1">
      <alignment horizontal="center" vertical="center" wrapText="1"/>
    </xf>
    <xf numFmtId="1" fontId="32" fillId="0" borderId="53" xfId="0" applyNumberFormat="1" applyFont="1" applyBorder="1" applyAlignment="1">
      <alignment horizontal="center" vertical="center" wrapText="1"/>
    </xf>
    <xf numFmtId="0" fontId="6" fillId="0" borderId="50" xfId="8" applyNumberFormat="1" applyFont="1" applyFill="1" applyBorder="1" applyAlignment="1" applyProtection="1">
      <alignment horizontal="center" vertical="center" wrapText="1"/>
      <protection hidden="1"/>
    </xf>
    <xf numFmtId="171" fontId="6" fillId="0" borderId="58" xfId="8" applyFont="1" applyFill="1" applyBorder="1" applyAlignment="1" applyProtection="1">
      <alignment horizontal="center" vertical="center" wrapText="1"/>
      <protection hidden="1"/>
    </xf>
    <xf numFmtId="0" fontId="6" fillId="0" borderId="32" xfId="8" applyNumberFormat="1" applyFont="1" applyFill="1" applyBorder="1" applyAlignment="1" applyProtection="1">
      <alignment horizontal="center" vertical="center" wrapText="1"/>
      <protection hidden="1"/>
    </xf>
    <xf numFmtId="171" fontId="6" fillId="0" borderId="59" xfId="8" applyFont="1" applyFill="1" applyBorder="1" applyAlignment="1" applyProtection="1">
      <alignment vertical="center" wrapText="1"/>
      <protection hidden="1"/>
    </xf>
    <xf numFmtId="171" fontId="6" fillId="0" borderId="33" xfId="8" applyFont="1" applyFill="1" applyBorder="1" applyAlignment="1" applyProtection="1">
      <alignment horizontal="center" vertical="center" wrapText="1"/>
      <protection hidden="1"/>
    </xf>
    <xf numFmtId="0" fontId="6" fillId="0" borderId="66" xfId="8" applyNumberFormat="1" applyFont="1" applyFill="1" applyBorder="1" applyAlignment="1" applyProtection="1">
      <alignment horizontal="center" vertical="center" wrapText="1"/>
      <protection hidden="1"/>
    </xf>
    <xf numFmtId="171" fontId="6" fillId="0" borderId="11" xfId="8" applyFont="1" applyFill="1" applyBorder="1" applyAlignment="1" applyProtection="1">
      <alignment vertical="center" wrapText="1"/>
      <protection hidden="1"/>
    </xf>
    <xf numFmtId="171" fontId="6" fillId="0" borderId="67" xfId="8" applyFont="1" applyFill="1" applyBorder="1" applyAlignment="1" applyProtection="1">
      <alignment horizontal="center" vertical="center" wrapText="1"/>
      <protection hidden="1"/>
    </xf>
    <xf numFmtId="171" fontId="6" fillId="9" borderId="52" xfId="8" applyFont="1" applyFill="1" applyBorder="1" applyAlignment="1" applyProtection="1">
      <alignment horizontal="center" vertical="center" wrapText="1"/>
      <protection hidden="1"/>
    </xf>
    <xf numFmtId="0" fontId="30" fillId="7" borderId="59" xfId="3" applyFont="1" applyFill="1" applyBorder="1" applyAlignment="1" applyProtection="1">
      <alignment horizontal="center" vertical="center" wrapText="1"/>
      <protection hidden="1"/>
    </xf>
    <xf numFmtId="0" fontId="30" fillId="13" borderId="59" xfId="3" applyFont="1" applyFill="1" applyBorder="1" applyAlignment="1" applyProtection="1">
      <alignment horizontal="center" vertical="center" wrapText="1"/>
      <protection hidden="1"/>
    </xf>
    <xf numFmtId="9" fontId="5" fillId="9" borderId="15" xfId="3" applyNumberFormat="1" applyFont="1" applyFill="1" applyBorder="1" applyAlignment="1" applyProtection="1">
      <alignment horizontal="center" vertical="center" wrapText="1"/>
      <protection hidden="1"/>
    </xf>
    <xf numFmtId="0" fontId="30" fillId="7" borderId="69" xfId="3" applyFont="1" applyFill="1" applyBorder="1" applyAlignment="1" applyProtection="1">
      <alignment horizontal="center" vertical="center" wrapText="1"/>
      <protection hidden="1"/>
    </xf>
    <xf numFmtId="0" fontId="30" fillId="13" borderId="50" xfId="0" applyFont="1" applyFill="1" applyBorder="1" applyAlignment="1" applyProtection="1">
      <alignment horizontal="center" vertical="center" wrapText="1"/>
      <protection hidden="1"/>
    </xf>
    <xf numFmtId="0" fontId="30" fillId="13" borderId="32" xfId="3" applyFont="1" applyFill="1" applyBorder="1" applyAlignment="1" applyProtection="1">
      <alignment horizontal="center" vertical="center" wrapText="1"/>
      <protection hidden="1"/>
    </xf>
    <xf numFmtId="4" fontId="8" fillId="9" borderId="56" xfId="8" applyNumberFormat="1" applyFont="1" applyFill="1" applyBorder="1" applyAlignment="1" applyProtection="1">
      <alignment horizontal="center" vertical="center" wrapText="1"/>
      <protection hidden="1"/>
    </xf>
    <xf numFmtId="9" fontId="8" fillId="0" borderId="56" xfId="2" applyFont="1" applyFill="1" applyBorder="1" applyAlignment="1" applyProtection="1">
      <alignment horizontal="center" vertical="center"/>
      <protection hidden="1"/>
    </xf>
    <xf numFmtId="4" fontId="7" fillId="6" borderId="56" xfId="3" applyNumberFormat="1" applyFont="1" applyFill="1" applyBorder="1" applyAlignment="1" applyProtection="1">
      <alignment horizontal="center" vertical="center"/>
      <protection hidden="1"/>
    </xf>
    <xf numFmtId="4" fontId="8" fillId="9" borderId="56" xfId="3" applyNumberFormat="1" applyFont="1" applyFill="1" applyBorder="1" applyAlignment="1" applyProtection="1">
      <alignment horizontal="center" vertical="center"/>
      <protection hidden="1"/>
    </xf>
    <xf numFmtId="4" fontId="8" fillId="0" borderId="56" xfId="3" applyNumberFormat="1" applyFont="1" applyFill="1" applyBorder="1" applyAlignment="1" applyProtection="1">
      <alignment horizontal="center" vertical="center"/>
      <protection hidden="1"/>
    </xf>
    <xf numFmtId="4" fontId="8" fillId="9" borderId="59" xfId="8" applyNumberFormat="1" applyFont="1" applyFill="1" applyBorder="1" applyAlignment="1" applyProtection="1">
      <alignment horizontal="center" vertical="center" wrapText="1"/>
      <protection hidden="1"/>
    </xf>
    <xf numFmtId="9" fontId="8" fillId="0" borderId="59" xfId="2" applyFont="1" applyFill="1" applyBorder="1" applyAlignment="1" applyProtection="1">
      <alignment horizontal="center" vertical="center"/>
      <protection hidden="1"/>
    </xf>
    <xf numFmtId="4" fontId="7" fillId="6" borderId="59" xfId="3" applyNumberFormat="1" applyFont="1" applyFill="1" applyBorder="1" applyAlignment="1" applyProtection="1">
      <alignment horizontal="center" vertical="center"/>
      <protection hidden="1"/>
    </xf>
    <xf numFmtId="4" fontId="8" fillId="9" borderId="59" xfId="3" applyNumberFormat="1" applyFont="1" applyFill="1" applyBorder="1" applyAlignment="1" applyProtection="1">
      <alignment horizontal="center" vertical="center"/>
      <protection hidden="1"/>
    </xf>
    <xf numFmtId="4" fontId="8" fillId="0" borderId="59" xfId="3" applyNumberFormat="1" applyFont="1" applyFill="1" applyBorder="1" applyAlignment="1" applyProtection="1">
      <alignment horizontal="center" vertical="center"/>
      <protection hidden="1"/>
    </xf>
    <xf numFmtId="4" fontId="5" fillId="0" borderId="57" xfId="8" applyNumberFormat="1" applyFont="1" applyFill="1" applyBorder="1" applyAlignment="1" applyProtection="1">
      <alignment horizontal="left" vertical="center" wrapText="1"/>
      <protection hidden="1"/>
    </xf>
    <xf numFmtId="4" fontId="5" fillId="0" borderId="16" xfId="8" applyNumberFormat="1" applyFont="1" applyFill="1" applyBorder="1" applyAlignment="1" applyProtection="1">
      <alignment horizontal="left" vertical="center" wrapText="1"/>
      <protection hidden="1"/>
    </xf>
    <xf numFmtId="4" fontId="5" fillId="0" borderId="60" xfId="8" applyNumberFormat="1" applyFont="1" applyFill="1" applyBorder="1" applyAlignment="1" applyProtection="1">
      <alignment horizontal="left" vertical="center" wrapText="1"/>
      <protection hidden="1"/>
    </xf>
    <xf numFmtId="1" fontId="5" fillId="0" borderId="70" xfId="0" applyNumberFormat="1" applyFont="1" applyFill="1" applyBorder="1" applyAlignment="1" applyProtection="1">
      <alignment horizontal="center" vertical="center" wrapText="1"/>
      <protection hidden="1"/>
    </xf>
    <xf numFmtId="1" fontId="5" fillId="0" borderId="71" xfId="0" applyNumberFormat="1" applyFont="1" applyFill="1" applyBorder="1" applyAlignment="1" applyProtection="1">
      <alignment horizontal="center" vertical="center" wrapText="1"/>
      <protection hidden="1"/>
    </xf>
    <xf numFmtId="1" fontId="5" fillId="0" borderId="54" xfId="0" applyNumberFormat="1" applyFont="1" applyFill="1" applyBorder="1" applyAlignment="1" applyProtection="1">
      <alignment horizontal="center" vertical="center" wrapText="1"/>
      <protection hidden="1"/>
    </xf>
    <xf numFmtId="41" fontId="5" fillId="9" borderId="0" xfId="22" applyFont="1" applyFill="1" applyBorder="1" applyAlignment="1" applyProtection="1">
      <alignment horizontal="center" vertical="center"/>
      <protection hidden="1"/>
    </xf>
    <xf numFmtId="0" fontId="30" fillId="13" borderId="69" xfId="3" applyFont="1" applyFill="1" applyBorder="1" applyAlignment="1" applyProtection="1">
      <alignment horizontal="center" vertical="center" wrapText="1"/>
      <protection hidden="1"/>
    </xf>
    <xf numFmtId="4" fontId="7" fillId="6" borderId="68" xfId="3" applyNumberFormat="1" applyFont="1" applyFill="1" applyBorder="1" applyAlignment="1" applyProtection="1">
      <alignment horizontal="center" vertical="center"/>
      <protection hidden="1"/>
    </xf>
    <xf numFmtId="4" fontId="7" fillId="6" borderId="15" xfId="3" applyNumberFormat="1" applyFont="1" applyFill="1" applyBorder="1" applyAlignment="1" applyProtection="1">
      <alignment horizontal="center" vertical="center"/>
      <protection hidden="1"/>
    </xf>
    <xf numFmtId="4" fontId="7" fillId="6" borderId="69" xfId="3" applyNumberFormat="1" applyFont="1" applyFill="1" applyBorder="1" applyAlignment="1" applyProtection="1">
      <alignment horizontal="center" vertical="center"/>
      <protection hidden="1"/>
    </xf>
    <xf numFmtId="171" fontId="6" fillId="0" borderId="71" xfId="8" applyFont="1" applyFill="1" applyBorder="1" applyAlignment="1" applyProtection="1">
      <alignment vertical="center" wrapText="1"/>
      <protection hidden="1"/>
    </xf>
    <xf numFmtId="0" fontId="14" fillId="0" borderId="71" xfId="3" applyFont="1" applyFill="1" applyBorder="1" applyAlignment="1" applyProtection="1">
      <alignment vertical="center" wrapText="1"/>
      <protection hidden="1"/>
    </xf>
    <xf numFmtId="0" fontId="14" fillId="0" borderId="54" xfId="3" applyFont="1" applyFill="1" applyBorder="1" applyAlignment="1" applyProtection="1">
      <alignment vertical="center" wrapText="1"/>
      <protection hidden="1"/>
    </xf>
    <xf numFmtId="0" fontId="46" fillId="4" borderId="8" xfId="28" applyFill="1" applyBorder="1" applyAlignment="1">
      <alignment horizontal="center" vertical="center"/>
    </xf>
    <xf numFmtId="0" fontId="46" fillId="0" borderId="8" xfId="28" applyFill="1" applyBorder="1" applyAlignment="1">
      <alignment horizontal="center" vertical="center"/>
    </xf>
    <xf numFmtId="2" fontId="46" fillId="0" borderId="8" xfId="28" applyNumberFormat="1" applyFill="1" applyBorder="1" applyAlignment="1">
      <alignment horizontal="center" vertical="center"/>
    </xf>
    <xf numFmtId="41" fontId="0" fillId="0" borderId="0" xfId="22" applyFont="1" applyProtection="1">
      <protection hidden="1"/>
    </xf>
    <xf numFmtId="0" fontId="46" fillId="4" borderId="8" xfId="28" applyFill="1" applyBorder="1" applyAlignment="1">
      <alignment horizontal="center" vertical="center"/>
    </xf>
    <xf numFmtId="3" fontId="15" fillId="0" borderId="8" xfId="5" applyNumberFormat="1" applyFont="1" applyFill="1" applyBorder="1" applyAlignment="1" applyProtection="1">
      <alignment horizontal="center" vertical="center" wrapText="1"/>
      <protection hidden="1"/>
    </xf>
    <xf numFmtId="3" fontId="14" fillId="0" borderId="8" xfId="5" applyNumberFormat="1" applyFont="1" applyFill="1" applyBorder="1" applyAlignment="1" applyProtection="1">
      <alignment horizontal="center" vertical="center"/>
      <protection hidden="1"/>
    </xf>
    <xf numFmtId="164" fontId="15" fillId="0" borderId="8" xfId="5" applyNumberFormat="1" applyFont="1" applyFill="1" applyBorder="1" applyAlignment="1" applyProtection="1">
      <alignment horizontal="center" vertical="center" wrapText="1"/>
      <protection hidden="1"/>
    </xf>
    <xf numFmtId="41" fontId="14" fillId="0" borderId="0" xfId="22" applyFont="1" applyFill="1" applyAlignment="1" applyProtection="1">
      <alignment vertical="center" wrapText="1"/>
      <protection hidden="1"/>
    </xf>
    <xf numFmtId="0" fontId="19" fillId="9" borderId="8" xfId="0" applyFont="1" applyFill="1" applyBorder="1" applyAlignment="1" applyProtection="1">
      <alignment horizontal="left" vertical="center" wrapText="1"/>
      <protection hidden="1"/>
    </xf>
    <xf numFmtId="0" fontId="19" fillId="9" borderId="8" xfId="0" applyFont="1" applyFill="1" applyBorder="1" applyAlignment="1" applyProtection="1">
      <alignment vertical="center" wrapText="1"/>
      <protection hidden="1"/>
    </xf>
    <xf numFmtId="0" fontId="19" fillId="0" borderId="8" xfId="0" applyFont="1" applyBorder="1" applyAlignment="1" applyProtection="1">
      <alignment horizontal="center" vertical="center"/>
      <protection hidden="1"/>
    </xf>
    <xf numFmtId="164" fontId="37" fillId="0" borderId="0" xfId="17" applyNumberFormat="1" applyFont="1" applyProtection="1">
      <protection hidden="1"/>
    </xf>
    <xf numFmtId="0" fontId="47" fillId="0" borderId="8" xfId="5" applyFont="1" applyFill="1" applyBorder="1" applyAlignment="1" applyProtection="1">
      <alignment horizontal="left" vertical="center" wrapText="1"/>
      <protection hidden="1"/>
    </xf>
    <xf numFmtId="171" fontId="4" fillId="7" borderId="8" xfId="8" applyFont="1" applyFill="1" applyBorder="1" applyAlignment="1" applyProtection="1">
      <alignment horizontal="center" vertical="center" wrapText="1"/>
      <protection hidden="1"/>
    </xf>
    <xf numFmtId="0" fontId="29" fillId="2" borderId="0" xfId="3" applyFont="1" applyFill="1" applyBorder="1" applyAlignment="1" applyProtection="1">
      <alignment horizontal="center" vertical="center" wrapText="1"/>
      <protection hidden="1"/>
    </xf>
    <xf numFmtId="0" fontId="35" fillId="3" borderId="16" xfId="17" applyFont="1" applyFill="1" applyBorder="1" applyAlignment="1" applyProtection="1">
      <alignment horizontal="center" vertical="center" wrapText="1"/>
      <protection hidden="1"/>
    </xf>
    <xf numFmtId="22" fontId="32" fillId="0" borderId="66" xfId="0" applyNumberFormat="1" applyFont="1" applyBorder="1" applyAlignment="1">
      <alignment horizontal="center" vertical="center" wrapText="1"/>
    </xf>
    <xf numFmtId="0" fontId="5" fillId="0" borderId="11" xfId="4" applyFont="1" applyBorder="1" applyAlignment="1" applyProtection="1">
      <alignment horizontal="left" vertical="center" wrapText="1"/>
      <protection hidden="1"/>
    </xf>
    <xf numFmtId="1" fontId="5" fillId="5" borderId="11" xfId="23" applyNumberFormat="1" applyFont="1" applyFill="1" applyBorder="1" applyAlignment="1" applyProtection="1">
      <alignment horizontal="center" vertical="center" wrapText="1"/>
      <protection hidden="1"/>
    </xf>
    <xf numFmtId="166" fontId="5" fillId="5" borderId="11" xfId="23" applyFont="1" applyFill="1" applyBorder="1" applyAlignment="1" applyProtection="1">
      <alignment horizontal="center" vertical="center" wrapText="1"/>
      <protection hidden="1"/>
    </xf>
    <xf numFmtId="9" fontId="5" fillId="0" borderId="11" xfId="2" applyFont="1" applyFill="1" applyBorder="1" applyAlignment="1" applyProtection="1">
      <alignment horizontal="center" vertical="center" wrapText="1"/>
      <protection hidden="1"/>
    </xf>
    <xf numFmtId="9" fontId="5" fillId="5" borderId="11" xfId="2" applyFont="1" applyFill="1" applyBorder="1" applyAlignment="1" applyProtection="1">
      <alignment horizontal="center" vertical="center" wrapText="1"/>
      <protection hidden="1"/>
    </xf>
    <xf numFmtId="0" fontId="5" fillId="0" borderId="67" xfId="4" applyFont="1" applyBorder="1" applyAlignment="1" applyProtection="1">
      <alignment horizontal="left" vertical="center" wrapText="1"/>
      <protection hidden="1"/>
    </xf>
    <xf numFmtId="0" fontId="32" fillId="0" borderId="8" xfId="0" applyFont="1" applyBorder="1" applyAlignment="1">
      <alignment horizontal="center" vertical="center" wrapText="1"/>
    </xf>
    <xf numFmtId="166" fontId="5" fillId="5" borderId="8" xfId="23" applyFont="1" applyFill="1" applyBorder="1" applyAlignment="1" applyProtection="1">
      <alignment horizontal="center" vertical="center" wrapText="1"/>
      <protection hidden="1"/>
    </xf>
    <xf numFmtId="165" fontId="5" fillId="5" borderId="8" xfId="23" applyNumberFormat="1" applyFont="1" applyFill="1" applyBorder="1" applyAlignment="1" applyProtection="1">
      <alignment horizontal="right" vertical="center" wrapText="1"/>
      <protection hidden="1"/>
    </xf>
    <xf numFmtId="0" fontId="5" fillId="0" borderId="8" xfId="4" applyFont="1" applyBorder="1" applyAlignment="1" applyProtection="1">
      <alignment horizontal="center" vertical="center" wrapText="1"/>
      <protection hidden="1"/>
    </xf>
    <xf numFmtId="22" fontId="32" fillId="5" borderId="8" xfId="0" applyNumberFormat="1" applyFont="1" applyFill="1" applyBorder="1" applyAlignment="1">
      <alignment horizontal="center" vertical="center" wrapText="1"/>
    </xf>
    <xf numFmtId="4" fontId="7" fillId="6" borderId="7" xfId="3" applyNumberFormat="1" applyFont="1" applyFill="1" applyBorder="1" applyAlignment="1" applyProtection="1">
      <alignment horizontal="center" vertical="center"/>
      <protection hidden="1"/>
    </xf>
    <xf numFmtId="4" fontId="7" fillId="6" borderId="72" xfId="3" applyNumberFormat="1" applyFont="1" applyFill="1" applyBorder="1" applyAlignment="1" applyProtection="1">
      <alignment horizontal="center" vertical="center"/>
      <protection hidden="1"/>
    </xf>
    <xf numFmtId="9" fontId="5" fillId="9" borderId="0" xfId="22" applyNumberFormat="1" applyFont="1" applyFill="1" applyBorder="1" applyAlignment="1" applyProtection="1">
      <alignment horizontal="center" vertical="center"/>
      <protection hidden="1"/>
    </xf>
    <xf numFmtId="9" fontId="14" fillId="0" borderId="0" xfId="3" applyNumberFormat="1" applyFont="1" applyFill="1" applyAlignment="1" applyProtection="1">
      <alignment vertical="center" wrapText="1"/>
      <protection hidden="1"/>
    </xf>
    <xf numFmtId="4" fontId="8" fillId="9" borderId="11" xfId="8" applyNumberFormat="1" applyFont="1" applyFill="1" applyBorder="1" applyAlignment="1" applyProtection="1">
      <alignment horizontal="center" vertical="center" wrapText="1"/>
      <protection hidden="1"/>
    </xf>
    <xf numFmtId="9" fontId="8" fillId="0" borderId="11" xfId="2" applyFont="1" applyFill="1" applyBorder="1" applyAlignment="1" applyProtection="1">
      <alignment horizontal="center" vertical="center"/>
      <protection hidden="1"/>
    </xf>
    <xf numFmtId="0" fontId="30" fillId="7" borderId="30" xfId="3" applyFont="1" applyFill="1" applyBorder="1" applyAlignment="1" applyProtection="1">
      <alignment horizontal="center" wrapText="1"/>
      <protection hidden="1"/>
    </xf>
    <xf numFmtId="0" fontId="30" fillId="7" borderId="56" xfId="3" applyFont="1" applyFill="1" applyBorder="1" applyAlignment="1" applyProtection="1">
      <alignment horizontal="center" wrapText="1"/>
      <protection hidden="1"/>
    </xf>
    <xf numFmtId="0" fontId="30" fillId="7" borderId="31" xfId="3" applyFont="1" applyFill="1" applyBorder="1" applyAlignment="1" applyProtection="1">
      <alignment horizontal="center" wrapText="1"/>
      <protection hidden="1"/>
    </xf>
    <xf numFmtId="0" fontId="7" fillId="7" borderId="32" xfId="3" applyFont="1" applyFill="1" applyBorder="1" applyAlignment="1" applyProtection="1">
      <alignment horizontal="center" vertical="center" wrapText="1"/>
      <protection hidden="1"/>
    </xf>
    <xf numFmtId="0" fontId="7" fillId="7" borderId="59" xfId="3" applyFont="1" applyFill="1" applyBorder="1" applyAlignment="1" applyProtection="1">
      <alignment horizontal="center" vertical="center" wrapText="1"/>
      <protection hidden="1"/>
    </xf>
    <xf numFmtId="0" fontId="7" fillId="7" borderId="33" xfId="3" applyFont="1" applyFill="1" applyBorder="1" applyAlignment="1" applyProtection="1">
      <alignment horizontal="center" vertical="center" wrapText="1"/>
      <protection hidden="1"/>
    </xf>
    <xf numFmtId="0" fontId="6" fillId="10" borderId="0" xfId="0" applyFont="1" applyFill="1" applyBorder="1" applyAlignment="1" applyProtection="1">
      <alignment horizontal="center" vertical="center" wrapText="1"/>
      <protection hidden="1"/>
    </xf>
    <xf numFmtId="0" fontId="14" fillId="15" borderId="0" xfId="0" applyFont="1" applyFill="1" applyBorder="1" applyAlignment="1" applyProtection="1">
      <alignment horizontal="center" vertical="center" wrapText="1"/>
      <protection hidden="1"/>
    </xf>
    <xf numFmtId="0" fontId="14" fillId="15"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2" fontId="14" fillId="0" borderId="0" xfId="0" applyNumberFormat="1" applyFont="1" applyFill="1" applyBorder="1" applyAlignment="1" applyProtection="1">
      <alignment horizontal="center" vertical="center"/>
      <protection hidden="1"/>
    </xf>
    <xf numFmtId="0" fontId="49" fillId="16" borderId="75" xfId="0" applyFont="1" applyFill="1" applyBorder="1" applyAlignment="1">
      <alignment horizontal="center" vertical="center" wrapText="1"/>
    </xf>
    <xf numFmtId="0" fontId="49" fillId="16" borderId="76" xfId="0" applyFont="1" applyFill="1" applyBorder="1" applyAlignment="1">
      <alignment horizontal="center" vertical="center" wrapText="1"/>
    </xf>
    <xf numFmtId="0" fontId="49" fillId="16" borderId="77" xfId="0" applyFont="1" applyFill="1" applyBorder="1" applyAlignment="1">
      <alignment horizontal="center" vertical="center" wrapText="1"/>
    </xf>
    <xf numFmtId="3" fontId="49" fillId="16" borderId="77" xfId="0" applyNumberFormat="1" applyFont="1" applyFill="1" applyBorder="1" applyAlignment="1">
      <alignment horizontal="center" vertical="center" wrapText="1"/>
    </xf>
    <xf numFmtId="4" fontId="49" fillId="16" borderId="77" xfId="0" applyNumberFormat="1" applyFont="1" applyFill="1" applyBorder="1" applyAlignment="1">
      <alignment horizontal="center" vertical="center" wrapText="1"/>
    </xf>
    <xf numFmtId="3" fontId="49" fillId="16" borderId="78" xfId="0" applyNumberFormat="1" applyFont="1" applyFill="1" applyBorder="1" applyAlignment="1">
      <alignment horizontal="center" vertical="center" wrapText="1"/>
    </xf>
    <xf numFmtId="0" fontId="12" fillId="0" borderId="8" xfId="0" applyFont="1" applyBorder="1" applyAlignment="1">
      <alignment horizontal="center" vertical="center"/>
    </xf>
    <xf numFmtId="0" fontId="11" fillId="0" borderId="79" xfId="0" applyFont="1" applyBorder="1" applyAlignment="1">
      <alignment horizontal="left" vertical="center" wrapText="1"/>
    </xf>
    <xf numFmtId="0" fontId="14" fillId="4" borderId="80" xfId="0" applyFont="1" applyFill="1" applyBorder="1" applyAlignment="1">
      <alignment horizontal="center" vertical="center"/>
    </xf>
    <xf numFmtId="185" fontId="14" fillId="9" borderId="81" xfId="0" applyNumberFormat="1" applyFont="1" applyFill="1" applyBorder="1" applyAlignment="1">
      <alignment horizontal="center" vertical="center"/>
    </xf>
    <xf numFmtId="185" fontId="14" fillId="4" borderId="81" xfId="0" applyNumberFormat="1" applyFont="1" applyFill="1" applyBorder="1" applyAlignment="1">
      <alignment horizontal="center" vertical="center"/>
    </xf>
    <xf numFmtId="2" fontId="14" fillId="4" borderId="80" xfId="0" applyNumberFormat="1" applyFont="1" applyFill="1" applyBorder="1" applyAlignment="1">
      <alignment horizontal="center" vertical="center"/>
    </xf>
    <xf numFmtId="173" fontId="14" fillId="4" borderId="80" xfId="0" applyNumberFormat="1" applyFont="1" applyFill="1" applyBorder="1" applyAlignment="1">
      <alignment horizontal="center" vertical="center"/>
    </xf>
    <xf numFmtId="173" fontId="14" fillId="4" borderId="82" xfId="0" applyNumberFormat="1" applyFont="1" applyFill="1" applyBorder="1" applyAlignment="1">
      <alignment horizontal="center" vertical="center"/>
    </xf>
    <xf numFmtId="186" fontId="6" fillId="17" borderId="83" xfId="0" applyNumberFormat="1" applyFont="1" applyFill="1" applyBorder="1" applyAlignment="1">
      <alignment vertical="center"/>
    </xf>
    <xf numFmtId="0" fontId="12" fillId="18" borderId="79" xfId="0" applyFont="1" applyFill="1" applyBorder="1" applyAlignment="1">
      <alignment horizontal="left" vertical="center" wrapText="1"/>
    </xf>
    <xf numFmtId="2" fontId="14" fillId="18" borderId="80" xfId="0" applyNumberFormat="1" applyFont="1" applyFill="1" applyBorder="1" applyAlignment="1">
      <alignment horizontal="center" vertical="center"/>
    </xf>
    <xf numFmtId="0" fontId="11" fillId="18" borderId="79" xfId="0" applyFont="1" applyFill="1" applyBorder="1" applyAlignment="1">
      <alignment horizontal="left" vertical="center" wrapText="1"/>
    </xf>
    <xf numFmtId="0" fontId="49" fillId="0" borderId="84" xfId="0" applyFont="1" applyBorder="1" applyAlignment="1">
      <alignment horizontal="center" vertical="center"/>
    </xf>
    <xf numFmtId="0" fontId="49" fillId="0" borderId="85" xfId="0" applyFont="1" applyBorder="1" applyAlignment="1">
      <alignment horizontal="center" vertical="center"/>
    </xf>
    <xf numFmtId="0" fontId="51" fillId="0" borderId="85" xfId="0" applyFont="1" applyBorder="1" applyAlignment="1">
      <alignment horizontal="center"/>
    </xf>
    <xf numFmtId="0" fontId="51" fillId="0" borderId="79" xfId="0" applyFont="1" applyBorder="1" applyAlignment="1">
      <alignment horizontal="center"/>
    </xf>
    <xf numFmtId="186" fontId="49" fillId="0" borderId="86" xfId="0" applyNumberFormat="1" applyFont="1" applyBorder="1" applyAlignment="1">
      <alignment vertical="center"/>
    </xf>
    <xf numFmtId="0" fontId="51" fillId="19" borderId="87" xfId="0" applyFont="1" applyFill="1" applyBorder="1" applyAlignment="1">
      <alignment horizontal="center" vertical="center"/>
    </xf>
    <xf numFmtId="0" fontId="51" fillId="19" borderId="85" xfId="0" applyFont="1" applyFill="1" applyBorder="1" applyAlignment="1">
      <alignment horizontal="center" vertical="center"/>
    </xf>
    <xf numFmtId="0" fontId="52" fillId="0" borderId="85" xfId="0" applyFont="1" applyBorder="1"/>
    <xf numFmtId="186" fontId="49" fillId="20" borderId="86" xfId="0" applyNumberFormat="1" applyFont="1" applyFill="1" applyBorder="1" applyAlignment="1">
      <alignment horizontal="right" vertical="center"/>
    </xf>
    <xf numFmtId="0" fontId="51" fillId="0" borderId="87" xfId="0" applyFont="1" applyBorder="1" applyAlignment="1">
      <alignment horizontal="center" vertical="center"/>
    </xf>
    <xf numFmtId="0" fontId="51" fillId="0" borderId="85" xfId="0" applyFont="1" applyBorder="1" applyAlignment="1">
      <alignment horizontal="center" vertical="center"/>
    </xf>
    <xf numFmtId="0" fontId="51" fillId="0" borderId="82" xfId="0" applyFont="1" applyBorder="1" applyAlignment="1">
      <alignment vertical="center"/>
    </xf>
    <xf numFmtId="186" fontId="51" fillId="0" borderId="79" xfId="0" applyNumberFormat="1" applyFont="1" applyBorder="1" applyAlignment="1">
      <alignment horizontal="right" vertical="center"/>
    </xf>
    <xf numFmtId="186" fontId="51" fillId="0" borderId="85" xfId="0" applyNumberFormat="1" applyFont="1" applyBorder="1" applyAlignment="1">
      <alignment horizontal="right" vertical="center"/>
    </xf>
    <xf numFmtId="4" fontId="49" fillId="21" borderId="86" xfId="0" applyNumberFormat="1" applyFont="1" applyFill="1" applyBorder="1" applyAlignment="1">
      <alignment vertical="center"/>
    </xf>
    <xf numFmtId="0" fontId="51" fillId="20" borderId="87" xfId="0" applyFont="1" applyFill="1" applyBorder="1" applyAlignment="1">
      <alignment horizontal="center" vertical="center"/>
    </xf>
    <xf numFmtId="0" fontId="51" fillId="20" borderId="85" xfId="0" applyFont="1" applyFill="1" applyBorder="1" applyAlignment="1">
      <alignment horizontal="center" vertical="center"/>
    </xf>
    <xf numFmtId="0" fontId="51" fillId="0" borderId="0" xfId="0" applyFont="1" applyAlignment="1">
      <alignment vertical="center" wrapText="1"/>
    </xf>
    <xf numFmtId="0" fontId="51" fillId="0" borderId="89" xfId="0" applyFont="1" applyBorder="1" applyAlignment="1">
      <alignment vertical="center" wrapText="1"/>
    </xf>
    <xf numFmtId="0" fontId="49" fillId="22" borderId="87" xfId="0" applyFont="1" applyFill="1" applyBorder="1" applyAlignment="1">
      <alignment horizontal="center" vertical="center" wrapText="1"/>
    </xf>
    <xf numFmtId="0" fontId="49" fillId="22" borderId="79" xfId="0" applyFont="1" applyFill="1" applyBorder="1" applyAlignment="1">
      <alignment horizontal="center" vertical="center" wrapText="1"/>
    </xf>
    <xf numFmtId="0" fontId="49" fillId="22" borderId="80" xfId="0" applyFont="1" applyFill="1" applyBorder="1" applyAlignment="1">
      <alignment horizontal="center" vertical="center" wrapText="1"/>
    </xf>
    <xf numFmtId="3" fontId="49" fillId="22" borderId="80" xfId="0" applyNumberFormat="1" applyFont="1" applyFill="1" applyBorder="1" applyAlignment="1">
      <alignment horizontal="center" vertical="center" wrapText="1"/>
    </xf>
    <xf numFmtId="4" fontId="49" fillId="22" borderId="80" xfId="0" applyNumberFormat="1" applyFont="1" applyFill="1" applyBorder="1" applyAlignment="1">
      <alignment horizontal="center" vertical="center" wrapText="1"/>
    </xf>
    <xf numFmtId="4" fontId="49" fillId="22" borderId="82" xfId="0" applyNumberFormat="1" applyFont="1" applyFill="1" applyBorder="1" applyAlignment="1">
      <alignment horizontal="center" vertical="center" wrapText="1"/>
    </xf>
    <xf numFmtId="3" fontId="49" fillId="22" borderId="86" xfId="0" applyNumberFormat="1" applyFont="1" applyFill="1" applyBorder="1" applyAlignment="1">
      <alignment horizontal="center" vertical="center" wrapText="1"/>
    </xf>
    <xf numFmtId="0" fontId="49" fillId="20" borderId="87" xfId="0" applyFont="1" applyFill="1" applyBorder="1" applyAlignment="1">
      <alignment horizontal="center" vertical="center"/>
    </xf>
    <xf numFmtId="0" fontId="49" fillId="20" borderId="85" xfId="0" applyFont="1" applyFill="1" applyBorder="1" applyAlignment="1">
      <alignment horizontal="center" vertical="center"/>
    </xf>
    <xf numFmtId="0" fontId="49" fillId="0" borderId="82" xfId="0" applyFont="1" applyBorder="1" applyAlignment="1">
      <alignment vertical="center"/>
    </xf>
    <xf numFmtId="0" fontId="49" fillId="20" borderId="85" xfId="0" applyFont="1" applyFill="1" applyBorder="1" applyAlignment="1">
      <alignment vertical="center"/>
    </xf>
    <xf numFmtId="0" fontId="49" fillId="20" borderId="90" xfId="0" applyFont="1" applyFill="1" applyBorder="1" applyAlignment="1">
      <alignment vertical="center"/>
    </xf>
    <xf numFmtId="0" fontId="49" fillId="0" borderId="87" xfId="0" applyFont="1" applyBorder="1" applyAlignment="1">
      <alignment horizontal="center" vertical="center"/>
    </xf>
    <xf numFmtId="0" fontId="49" fillId="0" borderId="79" xfId="0" applyFont="1" applyBorder="1" applyAlignment="1">
      <alignment horizontal="center" vertical="center"/>
    </xf>
    <xf numFmtId="0" fontId="51" fillId="0" borderId="80" xfId="0" applyFont="1" applyBorder="1" applyAlignment="1">
      <alignment horizontal="left" vertical="center" wrapText="1"/>
    </xf>
    <xf numFmtId="0" fontId="51" fillId="0" borderId="80" xfId="0" applyFont="1" applyBorder="1" applyAlignment="1">
      <alignment horizontal="center" vertical="center"/>
    </xf>
    <xf numFmtId="186" fontId="51" fillId="18" borderId="80" xfId="0" applyNumberFormat="1" applyFont="1" applyFill="1" applyBorder="1" applyAlignment="1">
      <alignment vertical="center"/>
    </xf>
    <xf numFmtId="173" fontId="51" fillId="0" borderId="80" xfId="0" applyNumberFormat="1" applyFont="1" applyBorder="1" applyAlignment="1">
      <alignment horizontal="center" vertical="center"/>
    </xf>
    <xf numFmtId="173" fontId="51" fillId="0" borderId="82" xfId="0" applyNumberFormat="1" applyFont="1" applyBorder="1" applyAlignment="1">
      <alignment horizontal="center" vertical="center"/>
    </xf>
    <xf numFmtId="186" fontId="51" fillId="23" borderId="86" xfId="0" applyNumberFormat="1" applyFont="1" applyFill="1" applyBorder="1" applyAlignment="1">
      <alignment vertical="center"/>
    </xf>
    <xf numFmtId="0" fontId="51" fillId="4" borderId="80" xfId="0" applyFont="1" applyFill="1" applyBorder="1" applyAlignment="1">
      <alignment horizontal="center" vertical="center"/>
    </xf>
    <xf numFmtId="186" fontId="49" fillId="18" borderId="86" xfId="0" applyNumberFormat="1" applyFont="1" applyFill="1" applyBorder="1" applyAlignment="1">
      <alignment horizontal="right" vertical="center"/>
    </xf>
    <xf numFmtId="0" fontId="51" fillId="0" borderId="88" xfId="0" applyFont="1" applyBorder="1" applyAlignment="1">
      <alignment horizontal="center" vertical="center" wrapText="1"/>
    </xf>
    <xf numFmtId="0" fontId="51" fillId="0" borderId="0" xfId="0" applyFont="1" applyAlignment="1">
      <alignment horizontal="center" vertical="center" wrapText="1"/>
    </xf>
    <xf numFmtId="187" fontId="49" fillId="20" borderId="86" xfId="0" applyNumberFormat="1" applyFont="1" applyFill="1" applyBorder="1" applyAlignment="1">
      <alignment horizontal="right" vertical="center"/>
    </xf>
    <xf numFmtId="0" fontId="49" fillId="20" borderId="91" xfId="0" applyFont="1" applyFill="1" applyBorder="1" applyAlignment="1">
      <alignment horizontal="center" vertical="center"/>
    </xf>
    <xf numFmtId="0" fontId="49" fillId="20" borderId="92" xfId="0" applyFont="1" applyFill="1" applyBorder="1" applyAlignment="1">
      <alignment horizontal="center" vertical="center"/>
    </xf>
    <xf numFmtId="0" fontId="52" fillId="0" borderId="92" xfId="0" applyFont="1" applyBorder="1"/>
    <xf numFmtId="187" fontId="49" fillId="20" borderId="95" xfId="0" applyNumberFormat="1" applyFont="1" applyFill="1" applyBorder="1" applyAlignment="1">
      <alignment horizontal="right" vertical="center"/>
    </xf>
    <xf numFmtId="0" fontId="51" fillId="0" borderId="0" xfId="0" applyFont="1"/>
    <xf numFmtId="0" fontId="49" fillId="20" borderId="80" xfId="0" applyFont="1" applyFill="1" applyBorder="1" applyAlignment="1">
      <alignment horizontal="center" vertical="center"/>
    </xf>
    <xf numFmtId="0" fontId="49" fillId="20" borderId="82" xfId="0" applyFont="1" applyFill="1" applyBorder="1" applyAlignment="1">
      <alignment horizontal="center" vertical="center"/>
    </xf>
    <xf numFmtId="0" fontId="52" fillId="0" borderId="79" xfId="0" applyFont="1" applyBorder="1"/>
    <xf numFmtId="187" fontId="49" fillId="20" borderId="80" xfId="0" applyNumberFormat="1" applyFont="1" applyFill="1" applyBorder="1" applyAlignment="1">
      <alignment horizontal="right" vertical="center"/>
    </xf>
    <xf numFmtId="187" fontId="49" fillId="24" borderId="80" xfId="0" applyNumberFormat="1" applyFont="1" applyFill="1" applyBorder="1" applyAlignment="1">
      <alignment horizontal="right" vertical="center"/>
    </xf>
    <xf numFmtId="0" fontId="49" fillId="20" borderId="82" xfId="0" applyFont="1" applyFill="1" applyBorder="1" applyAlignment="1">
      <alignment horizontal="left" vertical="center"/>
    </xf>
    <xf numFmtId="0" fontId="53" fillId="19" borderId="8" xfId="0" applyFont="1" applyFill="1" applyBorder="1" applyAlignment="1">
      <alignment horizontal="center" vertical="center"/>
    </xf>
    <xf numFmtId="0" fontId="14" fillId="0" borderId="96" xfId="0" applyFont="1" applyBorder="1" applyAlignment="1">
      <alignment horizontal="left" vertical="center" wrapText="1"/>
    </xf>
    <xf numFmtId="0" fontId="14" fillId="4" borderId="81" xfId="0" applyFont="1" applyFill="1" applyBorder="1" applyAlignment="1">
      <alignment horizontal="center" vertical="center"/>
    </xf>
    <xf numFmtId="2" fontId="14" fillId="4" borderId="81" xfId="0" applyNumberFormat="1" applyFont="1" applyFill="1" applyBorder="1" applyAlignment="1">
      <alignment horizontal="center" vertical="center"/>
    </xf>
    <xf numFmtId="173" fontId="14" fillId="4" borderId="81" xfId="0" applyNumberFormat="1" applyFont="1" applyFill="1" applyBorder="1" applyAlignment="1">
      <alignment horizontal="center" vertical="center"/>
    </xf>
    <xf numFmtId="173" fontId="14" fillId="4" borderId="97" xfId="0" applyNumberFormat="1" applyFont="1" applyFill="1" applyBorder="1" applyAlignment="1">
      <alignment horizontal="center" vertical="center"/>
    </xf>
    <xf numFmtId="0" fontId="14" fillId="18" borderId="80" xfId="0" applyFont="1" applyFill="1" applyBorder="1" applyAlignment="1">
      <alignment horizontal="center" vertical="center"/>
    </xf>
    <xf numFmtId="0" fontId="50" fillId="0" borderId="79" xfId="0" applyFont="1" applyBorder="1" applyAlignment="1">
      <alignment horizontal="left" vertical="center" wrapText="1"/>
    </xf>
    <xf numFmtId="0" fontId="12" fillId="19" borderId="88" xfId="0" applyFont="1" applyFill="1" applyBorder="1" applyAlignment="1">
      <alignment horizontal="center" vertical="center"/>
    </xf>
    <xf numFmtId="0" fontId="12" fillId="19" borderId="0" xfId="0" applyFont="1" applyFill="1" applyAlignment="1">
      <alignment horizontal="center" vertical="center"/>
    </xf>
    <xf numFmtId="0" fontId="14" fillId="0" borderId="85" xfId="0" applyFont="1" applyBorder="1"/>
    <xf numFmtId="186" fontId="12" fillId="23" borderId="86" xfId="0" applyNumberFormat="1" applyFont="1" applyFill="1" applyBorder="1" applyAlignment="1">
      <alignment vertical="center"/>
    </xf>
    <xf numFmtId="0" fontId="49" fillId="0" borderId="0" xfId="0" applyFont="1" applyFill="1" applyBorder="1" applyAlignment="1">
      <alignment horizontal="center" vertical="center"/>
    </xf>
    <xf numFmtId="0" fontId="49" fillId="0" borderId="0" xfId="0" applyFont="1" applyFill="1" applyBorder="1" applyAlignment="1">
      <alignment horizontal="left" vertical="center"/>
    </xf>
    <xf numFmtId="0" fontId="52" fillId="0" borderId="0" xfId="0" applyFont="1" applyFill="1" applyBorder="1"/>
    <xf numFmtId="187" fontId="49" fillId="0" borderId="0" xfId="0" applyNumberFormat="1" applyFont="1" applyFill="1" applyBorder="1" applyAlignment="1">
      <alignment horizontal="right" vertical="center"/>
    </xf>
    <xf numFmtId="179" fontId="35" fillId="9" borderId="29" xfId="22" applyNumberFormat="1" applyFont="1" applyFill="1" applyBorder="1" applyAlignment="1" applyProtection="1">
      <alignment horizontal="center" vertical="center" wrapText="1"/>
      <protection hidden="1"/>
    </xf>
    <xf numFmtId="0" fontId="49" fillId="16" borderId="100" xfId="0" applyFont="1" applyFill="1" applyBorder="1" applyAlignment="1">
      <alignment horizontal="center" vertical="center" wrapText="1"/>
    </xf>
    <xf numFmtId="3" fontId="49" fillId="16" borderId="101" xfId="0" applyNumberFormat="1" applyFont="1" applyFill="1" applyBorder="1" applyAlignment="1">
      <alignment horizontal="center" vertical="center" wrapText="1"/>
    </xf>
    <xf numFmtId="0" fontId="53" fillId="19" borderId="50" xfId="0" applyFont="1" applyFill="1" applyBorder="1" applyAlignment="1">
      <alignment horizontal="center" vertical="center"/>
    </xf>
    <xf numFmtId="0" fontId="12" fillId="0" borderId="50" xfId="0" applyFont="1" applyBorder="1" applyAlignment="1">
      <alignment horizontal="center" vertical="center"/>
    </xf>
    <xf numFmtId="186" fontId="6" fillId="17" borderId="102" xfId="0" applyNumberFormat="1" applyFont="1" applyFill="1" applyBorder="1" applyAlignment="1">
      <alignment vertical="center"/>
    </xf>
    <xf numFmtId="0" fontId="12" fillId="0" borderId="32" xfId="0" applyFont="1" applyBorder="1" applyAlignment="1">
      <alignment horizontal="center" vertical="center"/>
    </xf>
    <xf numFmtId="0" fontId="12" fillId="0" borderId="59" xfId="0" applyFont="1" applyBorder="1" applyAlignment="1">
      <alignment horizontal="center" vertical="center"/>
    </xf>
    <xf numFmtId="0" fontId="11" fillId="0" borderId="103" xfId="0" applyFont="1" applyBorder="1" applyAlignment="1">
      <alignment horizontal="left" vertical="center" wrapText="1"/>
    </xf>
    <xf numFmtId="0" fontId="14" fillId="4" borderId="104" xfId="0" applyFont="1" applyFill="1" applyBorder="1" applyAlignment="1">
      <alignment horizontal="center" vertical="center"/>
    </xf>
    <xf numFmtId="185" fontId="14" fillId="9" borderId="105" xfId="0" applyNumberFormat="1" applyFont="1" applyFill="1" applyBorder="1" applyAlignment="1">
      <alignment horizontal="center" vertical="center"/>
    </xf>
    <xf numFmtId="185" fontId="14" fillId="4" borderId="105" xfId="0" applyNumberFormat="1" applyFont="1" applyFill="1" applyBorder="1" applyAlignment="1">
      <alignment horizontal="center" vertical="center"/>
    </xf>
    <xf numFmtId="2" fontId="14" fillId="4" borderId="104" xfId="0" applyNumberFormat="1" applyFont="1" applyFill="1" applyBorder="1" applyAlignment="1">
      <alignment horizontal="center" vertical="center"/>
    </xf>
    <xf numFmtId="173" fontId="14" fillId="4" borderId="104" xfId="0" applyNumberFormat="1" applyFont="1" applyFill="1" applyBorder="1" applyAlignment="1">
      <alignment horizontal="center" vertical="center"/>
    </xf>
    <xf numFmtId="173" fontId="14" fillId="4" borderId="106" xfId="0" applyNumberFormat="1" applyFont="1" applyFill="1" applyBorder="1" applyAlignment="1">
      <alignment horizontal="center" vertical="center"/>
    </xf>
    <xf numFmtId="186" fontId="6" fillId="17" borderId="107" xfId="0" applyNumberFormat="1" applyFont="1" applyFill="1" applyBorder="1" applyAlignment="1">
      <alignment vertical="center"/>
    </xf>
    <xf numFmtId="0" fontId="12" fillId="19" borderId="46" xfId="0" applyFont="1" applyFill="1" applyBorder="1" applyAlignment="1">
      <alignment horizontal="center" vertical="center"/>
    </xf>
    <xf numFmtId="0" fontId="12" fillId="19" borderId="45" xfId="0" applyFont="1" applyFill="1" applyBorder="1" applyAlignment="1">
      <alignment horizontal="center" vertical="center"/>
    </xf>
    <xf numFmtId="186" fontId="12" fillId="23" borderId="112" xfId="0" applyNumberFormat="1" applyFont="1" applyFill="1" applyBorder="1" applyAlignment="1">
      <alignment vertical="center"/>
    </xf>
    <xf numFmtId="0" fontId="49" fillId="0" borderId="113" xfId="0" applyFont="1" applyBorder="1" applyAlignment="1">
      <alignment horizontal="center" vertical="center"/>
    </xf>
    <xf numFmtId="186" fontId="49" fillId="0" borderId="112" xfId="0" applyNumberFormat="1" applyFont="1" applyBorder="1" applyAlignment="1">
      <alignment vertical="center"/>
    </xf>
    <xf numFmtId="0" fontId="51" fillId="19" borderId="114" xfId="0" applyFont="1" applyFill="1" applyBorder="1" applyAlignment="1">
      <alignment horizontal="center" vertical="center"/>
    </xf>
    <xf numFmtId="186" fontId="49" fillId="20" borderId="112" xfId="0" applyNumberFormat="1" applyFont="1" applyFill="1" applyBorder="1" applyAlignment="1">
      <alignment horizontal="right" vertical="center"/>
    </xf>
    <xf numFmtId="0" fontId="51" fillId="0" borderId="114" xfId="0" applyFont="1" applyBorder="1" applyAlignment="1">
      <alignment horizontal="center" vertical="center"/>
    </xf>
    <xf numFmtId="4" fontId="49" fillId="21" borderId="112" xfId="0" applyNumberFormat="1" applyFont="1" applyFill="1" applyBorder="1" applyAlignment="1">
      <alignment vertical="center"/>
    </xf>
    <xf numFmtId="0" fontId="51" fillId="20" borderId="114" xfId="0" applyFont="1" applyFill="1" applyBorder="1" applyAlignment="1">
      <alignment horizontal="center" vertical="center"/>
    </xf>
    <xf numFmtId="0" fontId="51" fillId="0" borderId="0" xfId="0" applyFont="1" applyBorder="1" applyAlignment="1">
      <alignment vertical="center" wrapText="1"/>
    </xf>
    <xf numFmtId="0" fontId="51" fillId="0" borderId="73" xfId="0" applyFont="1" applyBorder="1" applyAlignment="1">
      <alignment vertical="center" wrapText="1"/>
    </xf>
    <xf numFmtId="0" fontId="49" fillId="22" borderId="114" xfId="0" applyFont="1" applyFill="1" applyBorder="1" applyAlignment="1">
      <alignment horizontal="center" vertical="center" wrapText="1"/>
    </xf>
    <xf numFmtId="3" fontId="49" fillId="22" borderId="112" xfId="0" applyNumberFormat="1" applyFont="1" applyFill="1" applyBorder="1" applyAlignment="1">
      <alignment horizontal="center" vertical="center" wrapText="1"/>
    </xf>
    <xf numFmtId="0" fontId="49" fillId="20" borderId="114" xfId="0" applyFont="1" applyFill="1" applyBorder="1" applyAlignment="1">
      <alignment horizontal="center" vertical="center"/>
    </xf>
    <xf numFmtId="0" fontId="49" fillId="20" borderId="115" xfId="0" applyFont="1" applyFill="1" applyBorder="1" applyAlignment="1">
      <alignment vertical="center"/>
    </xf>
    <xf numFmtId="0" fontId="49" fillId="0" borderId="114" xfId="0" applyFont="1" applyBorder="1" applyAlignment="1">
      <alignment horizontal="center" vertical="center"/>
    </xf>
    <xf numFmtId="186" fontId="51" fillId="23" borderId="112" xfId="0" applyNumberFormat="1" applyFont="1" applyFill="1" applyBorder="1" applyAlignment="1">
      <alignment vertical="center"/>
    </xf>
    <xf numFmtId="186" fontId="49" fillId="18" borderId="112" xfId="0" applyNumberFormat="1" applyFont="1" applyFill="1" applyBorder="1" applyAlignment="1">
      <alignment horizontal="right" vertical="center"/>
    </xf>
    <xf numFmtId="0" fontId="51" fillId="0" borderId="12" xfId="0" applyFont="1" applyBorder="1" applyAlignment="1">
      <alignment horizontal="center" vertical="center" wrapText="1"/>
    </xf>
    <xf numFmtId="0" fontId="51" fillId="0" borderId="0" xfId="0" applyFont="1" applyBorder="1" applyAlignment="1">
      <alignment horizontal="center" vertical="center" wrapText="1"/>
    </xf>
    <xf numFmtId="187" fontId="49" fillId="20" borderId="112" xfId="0" applyNumberFormat="1" applyFont="1" applyFill="1" applyBorder="1" applyAlignment="1">
      <alignment horizontal="right" vertical="center"/>
    </xf>
    <xf numFmtId="0" fontId="49" fillId="20" borderId="116" xfId="0" applyFont="1" applyFill="1" applyBorder="1" applyAlignment="1">
      <alignment horizontal="center" vertical="center"/>
    </xf>
    <xf numFmtId="187" fontId="49" fillId="20" borderId="117" xfId="0" applyNumberFormat="1" applyFont="1" applyFill="1" applyBorder="1" applyAlignment="1">
      <alignment horizontal="right" vertical="center"/>
    </xf>
    <xf numFmtId="0" fontId="51" fillId="0" borderId="12" xfId="0" applyFont="1" applyBorder="1"/>
    <xf numFmtId="0" fontId="51" fillId="0" borderId="0" xfId="0" applyFont="1" applyBorder="1"/>
    <xf numFmtId="0" fontId="51" fillId="0" borderId="73" xfId="0" applyFont="1" applyBorder="1"/>
    <xf numFmtId="187" fontId="49" fillId="24" borderId="112" xfId="0" applyNumberFormat="1" applyFont="1" applyFill="1" applyBorder="1" applyAlignment="1">
      <alignment horizontal="right" vertical="center"/>
    </xf>
    <xf numFmtId="0" fontId="6" fillId="0" borderId="0" xfId="0" applyFont="1" applyFill="1" applyAlignment="1" applyProtection="1">
      <protection hidden="1"/>
    </xf>
    <xf numFmtId="170" fontId="6" fillId="0" borderId="0" xfId="0" applyNumberFormat="1" applyFont="1" applyFill="1" applyAlignment="1" applyProtection="1">
      <protection hidden="1"/>
    </xf>
    <xf numFmtId="0" fontId="51" fillId="0" borderId="114" xfId="0" applyFont="1" applyFill="1" applyBorder="1" applyAlignment="1">
      <alignment horizontal="center" vertical="center"/>
    </xf>
    <xf numFmtId="0" fontId="51" fillId="0" borderId="85" xfId="0" applyFont="1" applyFill="1" applyBorder="1" applyAlignment="1">
      <alignment horizontal="center" vertical="center"/>
    </xf>
    <xf numFmtId="0" fontId="49" fillId="0" borderId="82" xfId="0" applyFont="1" applyFill="1" applyBorder="1" applyAlignment="1">
      <alignment horizontal="left" vertical="center"/>
    </xf>
    <xf numFmtId="0" fontId="52" fillId="0" borderId="85" xfId="0" applyFont="1" applyFill="1" applyBorder="1"/>
    <xf numFmtId="177" fontId="57" fillId="0" borderId="11" xfId="13" applyNumberFormat="1" applyFont="1" applyBorder="1" applyAlignment="1" applyProtection="1">
      <alignment horizontal="center" vertical="center"/>
      <protection hidden="1"/>
    </xf>
    <xf numFmtId="0" fontId="30" fillId="7" borderId="30" xfId="3" applyFont="1" applyFill="1" applyBorder="1" applyAlignment="1" applyProtection="1">
      <alignment horizontal="center" vertical="center" wrapText="1"/>
      <protection hidden="1"/>
    </xf>
    <xf numFmtId="17" fontId="0" fillId="0" borderId="0" xfId="0" applyNumberFormat="1"/>
    <xf numFmtId="0" fontId="30" fillId="7" borderId="47" xfId="3" applyFont="1" applyFill="1" applyBorder="1" applyAlignment="1" applyProtection="1">
      <alignment horizontal="center" wrapText="1"/>
      <protection hidden="1"/>
    </xf>
    <xf numFmtId="0" fontId="7" fillId="7" borderId="49" xfId="3" applyFont="1" applyFill="1" applyBorder="1" applyAlignment="1" applyProtection="1">
      <alignment horizontal="center" vertical="center" wrapText="1"/>
      <protection hidden="1"/>
    </xf>
    <xf numFmtId="0" fontId="15" fillId="0" borderId="8" xfId="5" applyFont="1" applyBorder="1" applyAlignment="1" applyProtection="1">
      <alignment horizontal="center" vertical="center" wrapText="1"/>
      <protection hidden="1"/>
    </xf>
    <xf numFmtId="4" fontId="8" fillId="0" borderId="14" xfId="8" applyNumberFormat="1" applyFont="1" applyFill="1" applyBorder="1" applyAlignment="1" applyProtection="1">
      <alignment horizontal="center" vertical="center" wrapText="1"/>
      <protection hidden="1"/>
    </xf>
    <xf numFmtId="0" fontId="6" fillId="9" borderId="8" xfId="8" applyNumberFormat="1" applyFont="1" applyFill="1" applyBorder="1" applyAlignment="1" applyProtection="1">
      <alignment horizontal="center" vertical="center" wrapText="1"/>
      <protection hidden="1"/>
    </xf>
    <xf numFmtId="0" fontId="61" fillId="3" borderId="0" xfId="17" applyFont="1" applyFill="1" applyBorder="1" applyAlignment="1" applyProtection="1">
      <alignment horizontal="center"/>
      <protection hidden="1"/>
    </xf>
    <xf numFmtId="180" fontId="61" fillId="7" borderId="29" xfId="17" applyNumberFormat="1" applyFont="1" applyFill="1" applyBorder="1" applyAlignment="1" applyProtection="1">
      <alignment horizontal="center" vertical="center"/>
      <protection hidden="1"/>
    </xf>
    <xf numFmtId="0" fontId="60" fillId="7" borderId="29" xfId="17" applyFont="1" applyFill="1" applyBorder="1" applyAlignment="1" applyProtection="1">
      <alignment horizontal="center" vertical="center"/>
      <protection hidden="1"/>
    </xf>
    <xf numFmtId="0" fontId="1" fillId="2" borderId="0" xfId="5" applyFont="1" applyFill="1" applyAlignment="1" applyProtection="1">
      <alignment vertical="center"/>
      <protection hidden="1"/>
    </xf>
    <xf numFmtId="0" fontId="1" fillId="0" borderId="0" xfId="5" applyFont="1" applyFill="1" applyAlignment="1" applyProtection="1">
      <alignment vertical="center"/>
      <protection hidden="1"/>
    </xf>
    <xf numFmtId="0" fontId="1" fillId="7" borderId="8" xfId="5" applyFont="1" applyFill="1" applyBorder="1" applyAlignment="1" applyProtection="1">
      <alignment horizontal="center" vertical="center" wrapText="1"/>
      <protection hidden="1"/>
    </xf>
    <xf numFmtId="0" fontId="1" fillId="4" borderId="8" xfId="5" applyFont="1" applyFill="1" applyBorder="1" applyAlignment="1" applyProtection="1">
      <alignment horizontal="center" vertical="center" wrapText="1"/>
      <protection hidden="1"/>
    </xf>
    <xf numFmtId="0" fontId="1" fillId="6" borderId="8" xfId="5" applyFont="1" applyFill="1" applyBorder="1" applyAlignment="1" applyProtection="1">
      <alignment vertical="center"/>
      <protection hidden="1"/>
    </xf>
    <xf numFmtId="0" fontId="1" fillId="6" borderId="8" xfId="5" applyFont="1" applyFill="1" applyBorder="1" applyAlignment="1" applyProtection="1">
      <alignment horizontal="center" vertical="center" wrapText="1"/>
      <protection hidden="1"/>
    </xf>
    <xf numFmtId="0" fontId="12" fillId="0" borderId="8" xfId="5" applyFont="1" applyBorder="1" applyAlignment="1" applyProtection="1">
      <alignment horizontal="center" vertical="center" wrapText="1"/>
      <protection hidden="1"/>
    </xf>
    <xf numFmtId="0" fontId="1" fillId="0" borderId="8" xfId="5" applyFont="1" applyBorder="1" applyAlignment="1" applyProtection="1">
      <alignment horizontal="center" vertical="center" wrapText="1"/>
      <protection hidden="1"/>
    </xf>
    <xf numFmtId="0" fontId="1" fillId="0" borderId="8" xfId="6" applyFont="1" applyFill="1" applyBorder="1" applyAlignment="1" applyProtection="1">
      <alignment horizontal="center" vertical="center" wrapText="1"/>
      <protection hidden="1"/>
    </xf>
    <xf numFmtId="165" fontId="1" fillId="0" borderId="8" xfId="5" applyNumberFormat="1" applyFont="1" applyBorder="1" applyAlignment="1" applyProtection="1">
      <alignment horizontal="center" vertical="center" wrapText="1"/>
      <protection hidden="1"/>
    </xf>
    <xf numFmtId="164" fontId="1" fillId="0" borderId="8" xfId="5" applyNumberFormat="1" applyFont="1" applyFill="1" applyBorder="1" applyAlignment="1" applyProtection="1">
      <alignment horizontal="center" vertical="center"/>
      <protection hidden="1"/>
    </xf>
    <xf numFmtId="0" fontId="1" fillId="6" borderId="11" xfId="5" applyFont="1" applyFill="1" applyBorder="1" applyAlignment="1" applyProtection="1">
      <alignment horizontal="center" vertical="center" wrapText="1"/>
      <protection hidden="1"/>
    </xf>
    <xf numFmtId="0" fontId="1" fillId="0" borderId="8" xfId="5" applyFont="1" applyFill="1" applyBorder="1" applyAlignment="1" applyProtection="1">
      <alignment horizontal="left" vertical="center" wrapText="1"/>
      <protection hidden="1"/>
    </xf>
    <xf numFmtId="0" fontId="1" fillId="0" borderId="0" xfId="6" applyFont="1" applyFill="1" applyAlignment="1" applyProtection="1">
      <alignment horizontal="justify" vertical="center"/>
      <protection hidden="1"/>
    </xf>
    <xf numFmtId="0" fontId="1" fillId="0" borderId="0" xfId="5" applyFont="1" applyFill="1" applyBorder="1" applyAlignment="1" applyProtection="1">
      <alignment vertical="center"/>
      <protection hidden="1"/>
    </xf>
    <xf numFmtId="0" fontId="1" fillId="8" borderId="8" xfId="5" applyFont="1" applyFill="1" applyBorder="1" applyAlignment="1" applyProtection="1">
      <alignment horizontal="justify" vertical="center"/>
      <protection hidden="1"/>
    </xf>
    <xf numFmtId="0" fontId="1" fillId="8" borderId="8" xfId="5" applyFont="1" applyFill="1" applyBorder="1" applyAlignment="1" applyProtection="1">
      <alignment horizontal="center" vertical="center"/>
      <protection hidden="1"/>
    </xf>
    <xf numFmtId="14" fontId="1" fillId="0" borderId="8" xfId="6" applyNumberFormat="1" applyFont="1" applyFill="1" applyBorder="1" applyAlignment="1" applyProtection="1">
      <alignment horizontal="center" vertical="center" wrapText="1"/>
      <protection hidden="1"/>
    </xf>
    <xf numFmtId="0" fontId="1" fillId="0" borderId="0" xfId="5" applyFont="1" applyAlignment="1" applyProtection="1">
      <alignment vertical="center"/>
      <protection hidden="1"/>
    </xf>
    <xf numFmtId="14" fontId="1" fillId="0" borderId="0" xfId="5" applyNumberFormat="1" applyFont="1" applyAlignment="1" applyProtection="1">
      <alignment vertical="center"/>
      <protection hidden="1"/>
    </xf>
    <xf numFmtId="173" fontId="6" fillId="9" borderId="8" xfId="8" applyNumberFormat="1" applyFont="1" applyFill="1" applyBorder="1" applyAlignment="1" applyProtection="1">
      <alignment horizontal="center" vertical="center" wrapText="1"/>
      <protection hidden="1"/>
    </xf>
    <xf numFmtId="174" fontId="6" fillId="7" borderId="8" xfId="8" applyNumberFormat="1" applyFont="1" applyFill="1" applyBorder="1" applyAlignment="1" applyProtection="1">
      <alignment horizontal="center" vertical="center" wrapText="1"/>
      <protection hidden="1"/>
    </xf>
    <xf numFmtId="0" fontId="64" fillId="9" borderId="8" xfId="0" applyNumberFormat="1" applyFont="1" applyFill="1" applyBorder="1" applyAlignment="1" applyProtection="1">
      <alignment horizontal="center" vertical="center" wrapText="1"/>
      <protection hidden="1"/>
    </xf>
    <xf numFmtId="0" fontId="6" fillId="9" borderId="8" xfId="3" applyFont="1" applyFill="1" applyBorder="1" applyAlignment="1" applyProtection="1">
      <alignment horizontal="center" vertical="center" wrapText="1"/>
      <protection hidden="1"/>
    </xf>
    <xf numFmtId="9" fontId="6" fillId="7" borderId="8" xfId="3" applyNumberFormat="1" applyFont="1" applyFill="1" applyBorder="1" applyAlignment="1" applyProtection="1">
      <alignment horizontal="center" vertical="center" wrapText="1"/>
      <protection hidden="1"/>
    </xf>
    <xf numFmtId="0" fontId="14" fillId="0" borderId="8" xfId="9" applyFont="1" applyBorder="1" applyAlignment="1" applyProtection="1">
      <alignment horizontal="center" vertical="center"/>
      <protection hidden="1"/>
    </xf>
    <xf numFmtId="0" fontId="14" fillId="0" borderId="8" xfId="9" applyFont="1" applyBorder="1" applyAlignment="1" applyProtection="1">
      <alignment vertical="center"/>
      <protection hidden="1"/>
    </xf>
    <xf numFmtId="2" fontId="6" fillId="0" borderId="8" xfId="8" applyNumberFormat="1" applyFont="1" applyFill="1" applyBorder="1" applyAlignment="1" applyProtection="1">
      <alignment horizontal="center" vertical="center" wrapText="1"/>
      <protection hidden="1"/>
    </xf>
    <xf numFmtId="175" fontId="6" fillId="0" borderId="8" xfId="8" applyNumberFormat="1" applyFont="1" applyFill="1" applyBorder="1" applyAlignment="1" applyProtection="1">
      <alignment vertical="center" wrapText="1"/>
      <protection hidden="1"/>
    </xf>
    <xf numFmtId="171" fontId="6" fillId="0" borderId="4" xfId="8" applyFont="1" applyFill="1" applyBorder="1" applyAlignment="1" applyProtection="1">
      <alignment vertical="center" wrapText="1"/>
      <protection hidden="1"/>
    </xf>
    <xf numFmtId="9" fontId="6" fillId="5" borderId="8" xfId="3" applyNumberFormat="1" applyFont="1" applyFill="1" applyBorder="1" applyAlignment="1" applyProtection="1">
      <alignment horizontal="center" vertical="center" wrapText="1"/>
      <protection hidden="1"/>
    </xf>
    <xf numFmtId="171" fontId="6" fillId="0" borderId="0" xfId="8" applyFont="1" applyFill="1" applyBorder="1" applyAlignment="1" applyProtection="1">
      <alignment vertical="center" wrapText="1"/>
      <protection hidden="1"/>
    </xf>
    <xf numFmtId="171" fontId="6" fillId="0" borderId="0" xfId="8" applyFont="1" applyFill="1" applyAlignment="1" applyProtection="1">
      <alignment horizontal="center" wrapText="1"/>
      <protection hidden="1"/>
    </xf>
    <xf numFmtId="171" fontId="63" fillId="0" borderId="0" xfId="8" applyFont="1" applyFill="1" applyAlignment="1" applyProtection="1">
      <alignment horizontal="center" wrapText="1"/>
      <protection hidden="1"/>
    </xf>
    <xf numFmtId="4" fontId="6" fillId="0" borderId="8" xfId="3" applyNumberFormat="1" applyFont="1" applyFill="1" applyBorder="1" applyAlignment="1" applyProtection="1">
      <alignment horizontal="center" vertical="center" wrapText="1"/>
      <protection hidden="1"/>
    </xf>
    <xf numFmtId="0" fontId="14" fillId="0" borderId="0" xfId="3" applyFont="1" applyFill="1" applyAlignment="1" applyProtection="1">
      <alignment horizontal="center" wrapText="1"/>
      <protection hidden="1"/>
    </xf>
    <xf numFmtId="0" fontId="8" fillId="4" borderId="0" xfId="0" applyFont="1" applyFill="1" applyAlignment="1" applyProtection="1">
      <alignment horizontal="justify" vertical="top" wrapText="1"/>
      <protection hidden="1"/>
    </xf>
    <xf numFmtId="0" fontId="3" fillId="5" borderId="1"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0" fontId="5" fillId="5" borderId="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5" fillId="0" borderId="41" xfId="4" applyFont="1" applyBorder="1" applyAlignment="1" applyProtection="1">
      <alignment horizontal="center" vertical="center" wrapText="1"/>
      <protection hidden="1"/>
    </xf>
    <xf numFmtId="0" fontId="5" fillId="0" borderId="42" xfId="4" applyFont="1" applyBorder="1" applyAlignment="1" applyProtection="1">
      <alignment horizontal="center" vertical="center" wrapText="1"/>
      <protection hidden="1"/>
    </xf>
    <xf numFmtId="0" fontId="5" fillId="0" borderId="42" xfId="4" applyFont="1" applyBorder="1" applyAlignment="1" applyProtection="1">
      <alignment horizontal="center" vertical="center"/>
      <protection hidden="1"/>
    </xf>
    <xf numFmtId="0" fontId="5" fillId="0" borderId="43" xfId="4" applyFont="1" applyBorder="1" applyAlignment="1" applyProtection="1">
      <alignment horizontal="center" vertical="center"/>
      <protection hidden="1"/>
    </xf>
    <xf numFmtId="0" fontId="5" fillId="5" borderId="1" xfId="4" applyFont="1" applyFill="1" applyBorder="1" applyAlignment="1" applyProtection="1">
      <alignment horizontal="center"/>
      <protection hidden="1"/>
    </xf>
    <xf numFmtId="0" fontId="5" fillId="5" borderId="3" xfId="4" applyFont="1" applyFill="1" applyBorder="1" applyAlignment="1" applyProtection="1">
      <alignment horizontal="center"/>
      <protection hidden="1"/>
    </xf>
    <xf numFmtId="0" fontId="3" fillId="5" borderId="9" xfId="4" applyFont="1" applyFill="1" applyBorder="1" applyAlignment="1" applyProtection="1">
      <alignment horizontal="center" wrapText="1"/>
      <protection hidden="1"/>
    </xf>
    <xf numFmtId="0" fontId="3" fillId="5" borderId="2" xfId="4" applyFont="1" applyFill="1" applyBorder="1" applyAlignment="1" applyProtection="1">
      <alignment horizontal="center" wrapText="1"/>
      <protection hidden="1"/>
    </xf>
    <xf numFmtId="0" fontId="4" fillId="5" borderId="0" xfId="4" applyFont="1" applyFill="1" applyBorder="1" applyAlignment="1" applyProtection="1">
      <alignment horizontal="center"/>
      <protection hidden="1"/>
    </xf>
    <xf numFmtId="0" fontId="4" fillId="5" borderId="4" xfId="4" applyFont="1" applyFill="1" applyBorder="1" applyAlignment="1" applyProtection="1">
      <alignment horizontal="center"/>
      <protection hidden="1"/>
    </xf>
    <xf numFmtId="0" fontId="7" fillId="5" borderId="0" xfId="4" applyFont="1" applyFill="1" applyBorder="1" applyAlignment="1" applyProtection="1">
      <alignment horizontal="center" vertical="center" wrapText="1"/>
      <protection hidden="1"/>
    </xf>
    <xf numFmtId="0" fontId="7" fillId="5" borderId="4" xfId="4" applyFont="1" applyFill="1" applyBorder="1" applyAlignment="1" applyProtection="1">
      <alignment horizontal="center" vertical="center" wrapText="1"/>
      <protection hidden="1"/>
    </xf>
    <xf numFmtId="0" fontId="6" fillId="5" borderId="5" xfId="4" applyFont="1" applyFill="1" applyBorder="1" applyAlignment="1" applyProtection="1">
      <alignment horizontal="center" vertical="center" wrapText="1"/>
      <protection hidden="1"/>
    </xf>
    <xf numFmtId="0" fontId="6" fillId="5" borderId="10" xfId="4" applyFont="1" applyFill="1" applyBorder="1" applyAlignment="1" applyProtection="1">
      <alignment horizontal="center" vertical="center" wrapText="1"/>
      <protection hidden="1"/>
    </xf>
    <xf numFmtId="0" fontId="6" fillId="5" borderId="6" xfId="4" applyFont="1" applyFill="1" applyBorder="1" applyAlignment="1" applyProtection="1">
      <alignment horizontal="center" vertical="center" wrapText="1"/>
      <protection hidden="1"/>
    </xf>
    <xf numFmtId="0" fontId="7" fillId="6" borderId="5" xfId="4" applyFont="1" applyFill="1" applyBorder="1" applyAlignment="1" applyProtection="1">
      <alignment horizontal="center" wrapText="1"/>
      <protection hidden="1"/>
    </xf>
    <xf numFmtId="0" fontId="7" fillId="6" borderId="10" xfId="4" applyFont="1" applyFill="1" applyBorder="1" applyAlignment="1" applyProtection="1">
      <alignment horizontal="center" wrapText="1"/>
      <protection hidden="1"/>
    </xf>
    <xf numFmtId="0" fontId="7" fillId="6" borderId="6" xfId="4" applyFont="1" applyFill="1" applyBorder="1" applyAlignment="1" applyProtection="1">
      <alignment horizontal="center" wrapText="1"/>
      <protection hidden="1"/>
    </xf>
    <xf numFmtId="0" fontId="7" fillId="6" borderId="3" xfId="4" applyFont="1" applyFill="1" applyBorder="1" applyAlignment="1" applyProtection="1">
      <alignment horizontal="center" vertical="center" wrapText="1"/>
      <protection hidden="1"/>
    </xf>
    <xf numFmtId="0" fontId="7" fillId="6" borderId="0" xfId="4" applyFont="1" applyFill="1" applyBorder="1" applyAlignment="1" applyProtection="1">
      <alignment horizontal="center" vertical="center" wrapText="1"/>
      <protection hidden="1"/>
    </xf>
    <xf numFmtId="0" fontId="7" fillId="6" borderId="4" xfId="4" applyFont="1" applyFill="1" applyBorder="1" applyAlignment="1" applyProtection="1">
      <alignment horizontal="center" vertical="center" wrapText="1"/>
      <protection hidden="1"/>
    </xf>
    <xf numFmtId="0" fontId="1" fillId="8" borderId="13" xfId="5" applyFont="1" applyFill="1" applyBorder="1" applyAlignment="1" applyProtection="1">
      <alignment horizontal="center" vertical="center"/>
      <protection hidden="1"/>
    </xf>
    <xf numFmtId="0" fontId="1" fillId="8" borderId="14" xfId="5" applyFont="1" applyFill="1" applyBorder="1" applyAlignment="1" applyProtection="1">
      <alignment horizontal="center" vertical="center"/>
      <protection hidden="1"/>
    </xf>
    <xf numFmtId="0" fontId="1" fillId="8" borderId="11" xfId="5" applyFont="1" applyFill="1" applyBorder="1" applyAlignment="1" applyProtection="1">
      <alignment horizontal="center" vertical="center"/>
      <protection hidden="1"/>
    </xf>
    <xf numFmtId="0" fontId="12" fillId="0" borderId="13" xfId="5" applyFont="1" applyBorder="1" applyAlignment="1" applyProtection="1">
      <alignment horizontal="center" vertical="center" wrapText="1"/>
      <protection hidden="1"/>
    </xf>
    <xf numFmtId="0" fontId="12" fillId="0" borderId="14" xfId="5" applyFont="1" applyBorder="1" applyAlignment="1" applyProtection="1">
      <alignment horizontal="center" vertical="center" wrapText="1"/>
      <protection hidden="1"/>
    </xf>
    <xf numFmtId="0" fontId="12" fillId="0" borderId="11" xfId="5" applyFont="1" applyBorder="1" applyAlignment="1" applyProtection="1">
      <alignment horizontal="center" vertical="center" wrapText="1"/>
      <protection hidden="1"/>
    </xf>
    <xf numFmtId="0" fontId="6" fillId="0" borderId="8" xfId="8" applyNumberFormat="1" applyFont="1" applyFill="1" applyBorder="1" applyAlignment="1" applyProtection="1">
      <alignment horizontal="center" vertical="center" wrapText="1"/>
      <protection hidden="1"/>
    </xf>
    <xf numFmtId="9" fontId="6" fillId="5" borderId="13" xfId="3" applyNumberFormat="1" applyFont="1" applyFill="1" applyBorder="1" applyAlignment="1" applyProtection="1">
      <alignment horizontal="center" vertical="center" wrapText="1"/>
      <protection hidden="1"/>
    </xf>
    <xf numFmtId="9" fontId="6" fillId="5" borderId="11" xfId="3" applyNumberFormat="1" applyFont="1" applyFill="1" applyBorder="1" applyAlignment="1" applyProtection="1">
      <alignment horizontal="center" vertical="center" wrapText="1"/>
      <protection hidden="1"/>
    </xf>
    <xf numFmtId="0" fontId="6" fillId="0" borderId="13" xfId="8" applyNumberFormat="1" applyFont="1" applyFill="1" applyBorder="1" applyAlignment="1" applyProtection="1">
      <alignment horizontal="center" vertical="center" wrapText="1"/>
      <protection hidden="1"/>
    </xf>
    <xf numFmtId="0" fontId="6" fillId="0" borderId="11" xfId="8" applyNumberFormat="1" applyFont="1" applyFill="1" applyBorder="1" applyAlignment="1" applyProtection="1">
      <alignment horizontal="center" vertical="center" wrapText="1"/>
      <protection hidden="1"/>
    </xf>
    <xf numFmtId="0" fontId="64" fillId="7" borderId="13" xfId="0" applyFont="1" applyFill="1" applyBorder="1" applyAlignment="1" applyProtection="1">
      <alignment horizontal="center" vertical="center" textRotation="255" wrapText="1"/>
      <protection hidden="1"/>
    </xf>
    <xf numFmtId="0" fontId="64" fillId="7" borderId="14" xfId="0" applyFont="1" applyFill="1" applyBorder="1" applyAlignment="1" applyProtection="1">
      <alignment horizontal="center" vertical="center" textRotation="255" wrapText="1"/>
      <protection hidden="1"/>
    </xf>
    <xf numFmtId="0" fontId="64" fillId="7" borderId="11" xfId="0" applyFont="1" applyFill="1" applyBorder="1" applyAlignment="1" applyProtection="1">
      <alignment horizontal="center" vertical="center" textRotation="255" wrapText="1"/>
      <protection hidden="1"/>
    </xf>
    <xf numFmtId="0" fontId="14" fillId="0" borderId="13" xfId="3" applyNumberFormat="1" applyFont="1" applyFill="1" applyBorder="1" applyAlignment="1" applyProtection="1">
      <alignment horizontal="center" vertical="center" wrapText="1"/>
      <protection hidden="1"/>
    </xf>
    <xf numFmtId="0" fontId="14" fillId="0" borderId="14" xfId="3" applyNumberFormat="1" applyFont="1" applyFill="1" applyBorder="1" applyAlignment="1" applyProtection="1">
      <alignment horizontal="center" vertical="center" wrapText="1"/>
      <protection hidden="1"/>
    </xf>
    <xf numFmtId="0" fontId="14" fillId="0" borderId="11" xfId="3" applyNumberFormat="1" applyFont="1" applyFill="1" applyBorder="1" applyAlignment="1" applyProtection="1">
      <alignment horizontal="center" vertical="center" wrapText="1"/>
      <protection hidden="1"/>
    </xf>
    <xf numFmtId="4" fontId="6" fillId="0" borderId="13" xfId="3" applyNumberFormat="1" applyFont="1" applyFill="1" applyBorder="1" applyAlignment="1" applyProtection="1">
      <alignment horizontal="center" vertical="center" wrapText="1"/>
      <protection hidden="1"/>
    </xf>
    <xf numFmtId="4" fontId="6" fillId="0" borderId="14" xfId="3" applyNumberFormat="1" applyFont="1" applyFill="1" applyBorder="1" applyAlignment="1" applyProtection="1">
      <alignment horizontal="center" vertical="center" wrapText="1"/>
      <protection hidden="1"/>
    </xf>
    <xf numFmtId="4" fontId="6" fillId="0" borderId="11" xfId="3" applyNumberFormat="1" applyFont="1" applyFill="1" applyBorder="1" applyAlignment="1" applyProtection="1">
      <alignment horizontal="center" vertical="center" wrapText="1"/>
      <protection hidden="1"/>
    </xf>
    <xf numFmtId="0" fontId="14" fillId="5" borderId="13" xfId="3" applyNumberFormat="1" applyFont="1" applyFill="1" applyBorder="1" applyAlignment="1" applyProtection="1">
      <alignment horizontal="center" vertical="center" wrapText="1"/>
      <protection hidden="1"/>
    </xf>
    <xf numFmtId="0" fontId="14" fillId="5" borderId="14" xfId="3" applyNumberFormat="1" applyFont="1" applyFill="1" applyBorder="1" applyAlignment="1" applyProtection="1">
      <alignment horizontal="center" vertical="center" wrapText="1"/>
      <protection hidden="1"/>
    </xf>
    <xf numFmtId="0" fontId="14" fillId="5" borderId="11" xfId="3" applyNumberFormat="1" applyFont="1" applyFill="1" applyBorder="1" applyAlignment="1" applyProtection="1">
      <alignment horizontal="center" vertical="center" wrapText="1"/>
      <protection hidden="1"/>
    </xf>
    <xf numFmtId="9" fontId="14" fillId="0" borderId="13" xfId="3" applyNumberFormat="1" applyFont="1" applyFill="1" applyBorder="1" applyAlignment="1" applyProtection="1">
      <alignment horizontal="center" vertical="center" wrapText="1"/>
      <protection hidden="1"/>
    </xf>
    <xf numFmtId="9" fontId="14" fillId="0" borderId="14" xfId="3" applyNumberFormat="1" applyFont="1" applyFill="1" applyBorder="1" applyAlignment="1" applyProtection="1">
      <alignment horizontal="center" vertical="center" wrapText="1"/>
      <protection hidden="1"/>
    </xf>
    <xf numFmtId="9" fontId="14" fillId="0" borderId="11" xfId="3" applyNumberFormat="1" applyFont="1" applyFill="1" applyBorder="1" applyAlignment="1" applyProtection="1">
      <alignment horizontal="center" vertical="center" wrapText="1"/>
      <protection hidden="1"/>
    </xf>
    <xf numFmtId="0" fontId="6" fillId="5" borderId="13" xfId="3" applyFont="1" applyFill="1" applyBorder="1" applyAlignment="1" applyProtection="1">
      <alignment horizontal="center" vertical="center" wrapText="1"/>
      <protection hidden="1"/>
    </xf>
    <xf numFmtId="0" fontId="6" fillId="5" borderId="14" xfId="3" applyFont="1" applyFill="1" applyBorder="1" applyAlignment="1" applyProtection="1">
      <alignment horizontal="center" vertical="center" wrapText="1"/>
      <protection hidden="1"/>
    </xf>
    <xf numFmtId="0" fontId="6" fillId="5" borderId="11" xfId="3" applyFont="1" applyFill="1" applyBorder="1" applyAlignment="1" applyProtection="1">
      <alignment horizontal="center" vertical="center" wrapText="1"/>
      <protection hidden="1"/>
    </xf>
    <xf numFmtId="0" fontId="14" fillId="0" borderId="13" xfId="3" quotePrefix="1" applyFont="1" applyFill="1" applyBorder="1" applyAlignment="1" applyProtection="1">
      <alignment horizontal="center" vertical="center" wrapText="1"/>
      <protection hidden="1"/>
    </xf>
    <xf numFmtId="0" fontId="14" fillId="0" borderId="14" xfId="3" applyFont="1" applyFill="1" applyBorder="1" applyAlignment="1" applyProtection="1">
      <alignment horizontal="center" vertical="center" wrapText="1"/>
      <protection hidden="1"/>
    </xf>
    <xf numFmtId="0" fontId="14" fillId="0" borderId="11" xfId="3" applyFont="1" applyFill="1" applyBorder="1" applyAlignment="1" applyProtection="1">
      <alignment horizontal="center" vertical="center" wrapText="1"/>
      <protection hidden="1"/>
    </xf>
    <xf numFmtId="0" fontId="6" fillId="0" borderId="14" xfId="8" applyNumberFormat="1" applyFont="1" applyFill="1" applyBorder="1" applyAlignment="1" applyProtection="1">
      <alignment horizontal="center" vertical="center" wrapText="1"/>
      <protection hidden="1"/>
    </xf>
    <xf numFmtId="4" fontId="6" fillId="10" borderId="13" xfId="3" applyNumberFormat="1" applyFont="1" applyFill="1" applyBorder="1" applyAlignment="1" applyProtection="1">
      <alignment horizontal="center" vertical="center" wrapText="1"/>
      <protection hidden="1"/>
    </xf>
    <xf numFmtId="4" fontId="6" fillId="10" borderId="14" xfId="3" applyNumberFormat="1" applyFont="1" applyFill="1" applyBorder="1" applyAlignment="1" applyProtection="1">
      <alignment horizontal="center" vertical="center" wrapText="1"/>
      <protection hidden="1"/>
    </xf>
    <xf numFmtId="4" fontId="6" fillId="10" borderId="11" xfId="3" applyNumberFormat="1" applyFont="1" applyFill="1" applyBorder="1" applyAlignment="1" applyProtection="1">
      <alignment horizontal="center" vertical="center" wrapText="1"/>
      <protection hidden="1"/>
    </xf>
    <xf numFmtId="0" fontId="14" fillId="2" borderId="13" xfId="3" applyNumberFormat="1" applyFont="1" applyFill="1" applyBorder="1" applyAlignment="1" applyProtection="1">
      <alignment horizontal="center" vertical="center" wrapText="1"/>
      <protection hidden="1"/>
    </xf>
    <xf numFmtId="0" fontId="14" fillId="2" borderId="14" xfId="3" applyNumberFormat="1" applyFont="1" applyFill="1" applyBorder="1" applyAlignment="1" applyProtection="1">
      <alignment horizontal="center" vertical="center" wrapText="1"/>
      <protection hidden="1"/>
    </xf>
    <xf numFmtId="0" fontId="14" fillId="2" borderId="11" xfId="3" applyNumberFormat="1" applyFont="1" applyFill="1" applyBorder="1" applyAlignment="1" applyProtection="1">
      <alignment horizontal="center" vertical="center" wrapText="1"/>
      <protection hidden="1"/>
    </xf>
    <xf numFmtId="4" fontId="6" fillId="2" borderId="13" xfId="3" applyNumberFormat="1" applyFont="1" applyFill="1" applyBorder="1" applyAlignment="1" applyProtection="1">
      <alignment horizontal="center" vertical="center" wrapText="1"/>
      <protection hidden="1"/>
    </xf>
    <xf numFmtId="4" fontId="6" fillId="2" borderId="14" xfId="3" applyNumberFormat="1" applyFont="1" applyFill="1" applyBorder="1" applyAlignment="1" applyProtection="1">
      <alignment horizontal="center" vertical="center" wrapText="1"/>
      <protection hidden="1"/>
    </xf>
    <xf numFmtId="4" fontId="6" fillId="2" borderId="11" xfId="3" applyNumberFormat="1" applyFont="1" applyFill="1" applyBorder="1" applyAlignment="1" applyProtection="1">
      <alignment horizontal="center" vertical="center" wrapText="1"/>
      <protection hidden="1"/>
    </xf>
    <xf numFmtId="9" fontId="14" fillId="2" borderId="13" xfId="3" applyNumberFormat="1" applyFont="1" applyFill="1" applyBorder="1" applyAlignment="1" applyProtection="1">
      <alignment horizontal="center" vertical="center" wrapText="1"/>
      <protection hidden="1"/>
    </xf>
    <xf numFmtId="9" fontId="14" fillId="2" borderId="14" xfId="3" applyNumberFormat="1" applyFont="1" applyFill="1" applyBorder="1" applyAlignment="1" applyProtection="1">
      <alignment horizontal="center" vertical="center" wrapText="1"/>
      <protection hidden="1"/>
    </xf>
    <xf numFmtId="9" fontId="14" fillId="2" borderId="11" xfId="3"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6" fillId="0" borderId="9" xfId="1" applyNumberFormat="1" applyFont="1" applyFill="1" applyBorder="1" applyAlignment="1" applyProtection="1">
      <alignment horizontal="center" vertical="center" wrapText="1"/>
      <protection hidden="1"/>
    </xf>
    <xf numFmtId="0" fontId="6" fillId="0" borderId="2" xfId="1" applyNumberFormat="1" applyFont="1" applyFill="1" applyBorder="1" applyAlignment="1" applyProtection="1">
      <alignment horizontal="center" vertical="center" wrapText="1"/>
      <protection hidden="1"/>
    </xf>
    <xf numFmtId="0" fontId="6" fillId="0" borderId="5" xfId="1" applyNumberFormat="1" applyFont="1" applyFill="1" applyBorder="1" applyAlignment="1" applyProtection="1">
      <alignment horizontal="center" vertical="center" wrapText="1"/>
      <protection hidden="1"/>
    </xf>
    <xf numFmtId="0" fontId="6" fillId="0" borderId="10" xfId="1" applyNumberFormat="1" applyFont="1" applyFill="1" applyBorder="1" applyAlignment="1" applyProtection="1">
      <alignment horizontal="center" vertical="center" wrapText="1"/>
      <protection hidden="1"/>
    </xf>
    <xf numFmtId="0" fontId="6" fillId="0" borderId="6" xfId="1" applyNumberFormat="1" applyFont="1" applyFill="1" applyBorder="1" applyAlignment="1" applyProtection="1">
      <alignment horizontal="center" vertical="center" wrapText="1"/>
      <protection hidden="1"/>
    </xf>
    <xf numFmtId="0" fontId="6" fillId="11" borderId="15" xfId="0" applyFont="1" applyFill="1" applyBorder="1" applyAlignment="1" applyProtection="1">
      <alignment horizontal="center" vertical="center"/>
      <protection hidden="1"/>
    </xf>
    <xf numFmtId="0" fontId="6" fillId="11" borderId="7" xfId="0" applyFont="1" applyFill="1" applyBorder="1" applyAlignment="1" applyProtection="1">
      <alignment horizontal="center" vertical="center"/>
      <protection hidden="1"/>
    </xf>
    <xf numFmtId="0" fontId="6" fillId="11" borderId="16" xfId="0" applyFont="1" applyFill="1" applyBorder="1" applyAlignment="1" applyProtection="1">
      <alignment horizontal="center" vertical="center"/>
      <protection hidden="1"/>
    </xf>
    <xf numFmtId="0" fontId="6" fillId="0" borderId="13" xfId="1" applyNumberFormat="1" applyFont="1" applyFill="1" applyBorder="1" applyAlignment="1" applyProtection="1">
      <alignment horizontal="center" vertical="center" wrapText="1"/>
      <protection hidden="1"/>
    </xf>
    <xf numFmtId="0" fontId="6" fillId="0" borderId="11" xfId="1" applyNumberFormat="1" applyFont="1" applyFill="1" applyBorder="1" applyAlignment="1" applyProtection="1">
      <alignment horizontal="center" vertical="center" wrapText="1"/>
      <protection hidden="1"/>
    </xf>
    <xf numFmtId="171" fontId="6" fillId="0" borderId="13" xfId="8" applyFont="1" applyFill="1" applyBorder="1" applyAlignment="1" applyProtection="1">
      <alignment horizontal="center" vertical="center" wrapText="1"/>
      <protection hidden="1"/>
    </xf>
    <xf numFmtId="171" fontId="6" fillId="0" borderId="14" xfId="8" applyFont="1" applyFill="1" applyBorder="1" applyAlignment="1" applyProtection="1">
      <alignment horizontal="center" vertical="center" wrapText="1"/>
      <protection hidden="1"/>
    </xf>
    <xf numFmtId="171" fontId="6" fillId="0" borderId="11" xfId="8" applyFont="1" applyFill="1" applyBorder="1" applyAlignment="1" applyProtection="1">
      <alignment horizontal="center" vertical="center" wrapText="1"/>
      <protection hidden="1"/>
    </xf>
    <xf numFmtId="0" fontId="6" fillId="7" borderId="15" xfId="3" applyNumberFormat="1" applyFont="1" applyFill="1" applyBorder="1" applyAlignment="1" applyProtection="1">
      <alignment horizontal="center" vertical="center" wrapText="1"/>
      <protection hidden="1"/>
    </xf>
    <xf numFmtId="0" fontId="6" fillId="7" borderId="16" xfId="3" applyNumberFormat="1" applyFont="1" applyFill="1" applyBorder="1" applyAlignment="1" applyProtection="1">
      <alignment horizontal="center" vertical="center" wrapText="1"/>
      <protection hidden="1"/>
    </xf>
    <xf numFmtId="0" fontId="6" fillId="7" borderId="13" xfId="3" applyNumberFormat="1" applyFont="1" applyFill="1" applyBorder="1" applyAlignment="1" applyProtection="1">
      <alignment horizontal="center" vertical="center" wrapText="1"/>
      <protection hidden="1"/>
    </xf>
    <xf numFmtId="0" fontId="6" fillId="7" borderId="11" xfId="3" applyNumberFormat="1" applyFont="1" applyFill="1" applyBorder="1" applyAlignment="1" applyProtection="1">
      <alignment horizontal="center" vertical="center" wrapText="1"/>
      <protection hidden="1"/>
    </xf>
    <xf numFmtId="9" fontId="6" fillId="7" borderId="15" xfId="3" applyNumberFormat="1" applyFont="1" applyFill="1" applyBorder="1" applyAlignment="1" applyProtection="1">
      <alignment horizontal="center" vertical="center" wrapText="1"/>
      <protection hidden="1"/>
    </xf>
    <xf numFmtId="9" fontId="6" fillId="7" borderId="7" xfId="3" applyNumberFormat="1" applyFont="1" applyFill="1" applyBorder="1" applyAlignment="1" applyProtection="1">
      <alignment horizontal="center" vertical="center" wrapText="1"/>
      <protection hidden="1"/>
    </xf>
    <xf numFmtId="9" fontId="6" fillId="7" borderId="16" xfId="3" applyNumberFormat="1" applyFont="1" applyFill="1" applyBorder="1" applyAlignment="1" applyProtection="1">
      <alignment horizontal="center" vertical="center" wrapText="1"/>
      <protection hidden="1"/>
    </xf>
    <xf numFmtId="0" fontId="64" fillId="7" borderId="15" xfId="0" applyFont="1" applyFill="1" applyBorder="1" applyAlignment="1" applyProtection="1">
      <alignment horizontal="center" vertical="center" wrapText="1"/>
      <protection hidden="1"/>
    </xf>
    <xf numFmtId="0" fontId="64" fillId="7" borderId="7" xfId="0" applyFont="1" applyFill="1" applyBorder="1" applyAlignment="1" applyProtection="1">
      <alignment horizontal="center" vertical="center" wrapText="1"/>
      <protection hidden="1"/>
    </xf>
    <xf numFmtId="0" fontId="64" fillId="7" borderId="16" xfId="0" applyFont="1" applyFill="1" applyBorder="1" applyAlignment="1" applyProtection="1">
      <alignment horizontal="center" vertical="center" wrapText="1"/>
      <protection hidden="1"/>
    </xf>
    <xf numFmtId="0" fontId="64" fillId="9" borderId="15" xfId="0" applyNumberFormat="1" applyFont="1" applyFill="1" applyBorder="1" applyAlignment="1" applyProtection="1">
      <alignment horizontal="center" vertical="center" wrapText="1"/>
      <protection hidden="1"/>
    </xf>
    <xf numFmtId="0" fontId="64" fillId="9" borderId="7" xfId="0" applyNumberFormat="1" applyFont="1" applyFill="1" applyBorder="1" applyAlignment="1" applyProtection="1">
      <alignment horizontal="center" vertical="center" wrapText="1"/>
      <protection hidden="1"/>
    </xf>
    <xf numFmtId="0" fontId="64" fillId="9" borderId="16" xfId="0" applyNumberFormat="1" applyFont="1" applyFill="1" applyBorder="1" applyAlignment="1" applyProtection="1">
      <alignment horizontal="center" vertical="center" wrapText="1"/>
      <protection hidden="1"/>
    </xf>
    <xf numFmtId="0" fontId="64" fillId="6" borderId="15" xfId="0" applyNumberFormat="1" applyFont="1" applyFill="1" applyBorder="1" applyAlignment="1" applyProtection="1">
      <alignment horizontal="center" vertical="center" wrapText="1"/>
      <protection hidden="1"/>
    </xf>
    <xf numFmtId="0" fontId="64" fillId="6" borderId="7" xfId="0" applyNumberFormat="1" applyFont="1" applyFill="1" applyBorder="1" applyAlignment="1" applyProtection="1">
      <alignment horizontal="center" vertical="center" wrapText="1"/>
      <protection hidden="1"/>
    </xf>
    <xf numFmtId="0" fontId="64" fillId="6" borderId="16" xfId="0" applyNumberFormat="1" applyFont="1" applyFill="1" applyBorder="1" applyAlignment="1" applyProtection="1">
      <alignment horizontal="center" vertical="center" wrapText="1"/>
      <protection hidden="1"/>
    </xf>
    <xf numFmtId="0" fontId="13" fillId="7" borderId="13" xfId="0" applyFont="1" applyFill="1" applyBorder="1" applyAlignment="1" applyProtection="1">
      <alignment horizontal="center" vertical="center" textRotation="255" wrapText="1"/>
      <protection hidden="1"/>
    </xf>
    <xf numFmtId="0" fontId="13" fillId="7" borderId="11" xfId="0" applyFont="1" applyFill="1" applyBorder="1" applyAlignment="1" applyProtection="1">
      <alignment horizontal="center" vertical="center" textRotation="255" wrapText="1"/>
      <protection hidden="1"/>
    </xf>
    <xf numFmtId="0" fontId="6" fillId="7" borderId="7" xfId="3" applyNumberFormat="1" applyFont="1" applyFill="1" applyBorder="1" applyAlignment="1" applyProtection="1">
      <alignment horizontal="center" vertical="center" wrapText="1"/>
      <protection hidden="1"/>
    </xf>
    <xf numFmtId="14" fontId="14" fillId="0" borderId="13" xfId="3" applyNumberFormat="1" applyFont="1" applyFill="1" applyBorder="1" applyAlignment="1" applyProtection="1">
      <alignment horizontal="center" vertical="center" wrapText="1"/>
      <protection hidden="1"/>
    </xf>
    <xf numFmtId="14" fontId="14" fillId="2" borderId="13" xfId="3" applyNumberFormat="1" applyFont="1" applyFill="1" applyBorder="1" applyAlignment="1" applyProtection="1">
      <alignment horizontal="center" vertical="center" wrapText="1"/>
      <protection hidden="1"/>
    </xf>
    <xf numFmtId="0" fontId="6" fillId="9" borderId="15" xfId="9" applyFont="1" applyFill="1" applyBorder="1" applyAlignment="1" applyProtection="1">
      <alignment horizontal="center" vertical="center"/>
      <protection hidden="1"/>
    </xf>
    <xf numFmtId="0" fontId="6" fillId="9" borderId="7" xfId="9" applyFont="1" applyFill="1" applyBorder="1" applyAlignment="1" applyProtection="1">
      <alignment horizontal="center" vertical="center"/>
      <protection hidden="1"/>
    </xf>
    <xf numFmtId="0" fontId="6" fillId="9" borderId="16" xfId="9" applyFont="1" applyFill="1" applyBorder="1" applyAlignment="1" applyProtection="1">
      <alignment horizontal="center" vertical="center"/>
      <protection hidden="1"/>
    </xf>
    <xf numFmtId="0" fontId="25" fillId="2" borderId="15" xfId="3" applyNumberFormat="1" applyFont="1" applyFill="1" applyBorder="1" applyAlignment="1" applyProtection="1">
      <alignment horizontal="center" vertical="center" wrapText="1"/>
      <protection hidden="1"/>
    </xf>
    <xf numFmtId="0" fontId="25" fillId="2" borderId="7" xfId="3" applyNumberFormat="1" applyFont="1" applyFill="1" applyBorder="1" applyAlignment="1" applyProtection="1">
      <alignment horizontal="center" vertical="center" wrapText="1"/>
      <protection hidden="1"/>
    </xf>
    <xf numFmtId="0" fontId="25" fillId="2" borderId="16" xfId="3" applyNumberFormat="1" applyFont="1" applyFill="1" applyBorder="1" applyAlignment="1" applyProtection="1">
      <alignment horizontal="center" vertical="center" wrapText="1"/>
      <protection hidden="1"/>
    </xf>
    <xf numFmtId="0" fontId="14" fillId="9" borderId="15" xfId="3" applyFont="1" applyFill="1" applyBorder="1" applyAlignment="1" applyProtection="1">
      <alignment horizontal="center" vertical="center" wrapText="1"/>
      <protection hidden="1"/>
    </xf>
    <xf numFmtId="0" fontId="14" fillId="9" borderId="7" xfId="3" applyFont="1" applyFill="1" applyBorder="1" applyAlignment="1" applyProtection="1">
      <alignment horizontal="center" vertical="center" wrapText="1"/>
      <protection hidden="1"/>
    </xf>
    <xf numFmtId="0" fontId="14" fillId="9" borderId="16" xfId="3" applyFont="1" applyFill="1" applyBorder="1" applyAlignment="1" applyProtection="1">
      <alignment horizontal="center" vertical="center" wrapText="1"/>
      <protection hidden="1"/>
    </xf>
    <xf numFmtId="0" fontId="14" fillId="0" borderId="0" xfId="3" applyFont="1" applyFill="1" applyAlignment="1" applyProtection="1">
      <alignment horizontal="left" vertical="center" wrapText="1"/>
      <protection hidden="1"/>
    </xf>
    <xf numFmtId="171" fontId="6" fillId="7" borderId="15" xfId="8" applyFont="1" applyFill="1" applyBorder="1" applyAlignment="1" applyProtection="1">
      <alignment horizontal="center" vertical="center" wrapText="1"/>
      <protection hidden="1"/>
    </xf>
    <xf numFmtId="171" fontId="6" fillId="7" borderId="16" xfId="8" applyFont="1" applyFill="1" applyBorder="1" applyAlignment="1" applyProtection="1">
      <alignment horizontal="center" vertical="center" wrapText="1"/>
      <protection hidden="1"/>
    </xf>
    <xf numFmtId="172" fontId="6" fillId="7" borderId="8" xfId="8" applyNumberFormat="1" applyFont="1" applyFill="1" applyBorder="1" applyAlignment="1" applyProtection="1">
      <alignment horizontal="center" vertical="center" wrapText="1"/>
      <protection hidden="1"/>
    </xf>
    <xf numFmtId="171" fontId="6" fillId="7" borderId="8" xfId="8" applyFont="1" applyFill="1" applyBorder="1" applyAlignment="1" applyProtection="1">
      <alignment horizontal="center" vertical="center" wrapText="1"/>
      <protection hidden="1"/>
    </xf>
    <xf numFmtId="169" fontId="6" fillId="9" borderId="15" xfId="8" applyNumberFormat="1" applyFont="1" applyFill="1" applyBorder="1" applyAlignment="1" applyProtection="1">
      <alignment horizontal="center" vertical="center" wrapText="1"/>
      <protection hidden="1"/>
    </xf>
    <xf numFmtId="169" fontId="6" fillId="9" borderId="16" xfId="8" applyNumberFormat="1" applyFont="1" applyFill="1" applyBorder="1" applyAlignment="1" applyProtection="1">
      <alignment horizontal="center" vertical="center" wrapText="1"/>
      <protection hidden="1"/>
    </xf>
    <xf numFmtId="170" fontId="6" fillId="9" borderId="8" xfId="8" applyNumberFormat="1" applyFont="1" applyFill="1" applyBorder="1" applyAlignment="1" applyProtection="1">
      <alignment horizontal="center" vertical="center" wrapText="1"/>
      <protection hidden="1"/>
    </xf>
    <xf numFmtId="0" fontId="18" fillId="2" borderId="15" xfId="3" applyNumberFormat="1" applyFont="1" applyFill="1" applyBorder="1" applyAlignment="1" applyProtection="1">
      <alignment horizontal="center" vertical="center" wrapText="1"/>
      <protection hidden="1"/>
    </xf>
    <xf numFmtId="0" fontId="18" fillId="2" borderId="7" xfId="3" applyNumberFormat="1" applyFont="1" applyFill="1" applyBorder="1" applyAlignment="1" applyProtection="1">
      <alignment horizontal="center" vertical="center" wrapText="1"/>
      <protection hidden="1"/>
    </xf>
    <xf numFmtId="0" fontId="18" fillId="2" borderId="16" xfId="3" applyNumberFormat="1" applyFont="1" applyFill="1" applyBorder="1" applyAlignment="1" applyProtection="1">
      <alignment horizontal="center" vertical="center" wrapText="1"/>
      <protection hidden="1"/>
    </xf>
    <xf numFmtId="0" fontId="19" fillId="9" borderId="15" xfId="3" applyFont="1" applyFill="1" applyBorder="1" applyAlignment="1" applyProtection="1">
      <alignment horizontal="center" vertical="center" wrapText="1"/>
      <protection hidden="1"/>
    </xf>
    <xf numFmtId="0" fontId="19" fillId="9" borderId="7" xfId="3" applyFont="1" applyFill="1" applyBorder="1" applyAlignment="1" applyProtection="1">
      <alignment horizontal="center" vertical="center" wrapText="1"/>
      <protection hidden="1"/>
    </xf>
    <xf numFmtId="0" fontId="19" fillId="9" borderId="16" xfId="3" applyFont="1" applyFill="1" applyBorder="1" applyAlignment="1" applyProtection="1">
      <alignment horizontal="center" vertical="center" wrapText="1"/>
      <protection hidden="1"/>
    </xf>
    <xf numFmtId="172" fontId="4" fillId="7" borderId="8" xfId="8" applyNumberFormat="1" applyFont="1" applyFill="1" applyBorder="1" applyAlignment="1" applyProtection="1">
      <alignment horizontal="center" vertical="center" wrapText="1"/>
      <protection hidden="1"/>
    </xf>
    <xf numFmtId="171" fontId="4" fillId="7" borderId="8" xfId="8" applyFont="1" applyFill="1" applyBorder="1" applyAlignment="1" applyProtection="1">
      <alignment horizontal="center" vertical="center" wrapText="1"/>
      <protection hidden="1"/>
    </xf>
    <xf numFmtId="169" fontId="4" fillId="9" borderId="15" xfId="8" applyNumberFormat="1" applyFont="1" applyFill="1" applyBorder="1" applyAlignment="1" applyProtection="1">
      <alignment horizontal="center" vertical="center" wrapText="1"/>
      <protection hidden="1"/>
    </xf>
    <xf numFmtId="169" fontId="4" fillId="9" borderId="16" xfId="8" applyNumberFormat="1" applyFont="1" applyFill="1" applyBorder="1" applyAlignment="1" applyProtection="1">
      <alignment horizontal="center" vertical="center" wrapText="1"/>
      <protection hidden="1"/>
    </xf>
    <xf numFmtId="170" fontId="4" fillId="9" borderId="8" xfId="8" applyNumberFormat="1" applyFont="1" applyFill="1" applyBorder="1" applyAlignment="1" applyProtection="1">
      <alignment horizontal="center" vertical="center" wrapText="1"/>
      <protection hidden="1"/>
    </xf>
    <xf numFmtId="0" fontId="7" fillId="7" borderId="13" xfId="3" applyNumberFormat="1" applyFont="1" applyFill="1" applyBorder="1" applyAlignment="1" applyProtection="1">
      <alignment horizontal="center" vertical="center" wrapText="1"/>
      <protection hidden="1"/>
    </xf>
    <xf numFmtId="0" fontId="7" fillId="7" borderId="11" xfId="3" applyNumberFormat="1" applyFont="1" applyFill="1" applyBorder="1" applyAlignment="1" applyProtection="1">
      <alignment horizontal="center" vertical="center" wrapText="1"/>
      <protection hidden="1"/>
    </xf>
    <xf numFmtId="0" fontId="4" fillId="9" borderId="15" xfId="9" applyFont="1" applyFill="1" applyBorder="1" applyAlignment="1" applyProtection="1">
      <alignment horizontal="center" vertical="center"/>
      <protection hidden="1"/>
    </xf>
    <xf numFmtId="0" fontId="4" fillId="9" borderId="7" xfId="9" applyFont="1" applyFill="1" applyBorder="1" applyAlignment="1" applyProtection="1">
      <alignment horizontal="center" vertical="center"/>
      <protection hidden="1"/>
    </xf>
    <xf numFmtId="0" fontId="4" fillId="9" borderId="16" xfId="9" applyFont="1" applyFill="1" applyBorder="1" applyAlignment="1" applyProtection="1">
      <alignment horizontal="center" vertical="center"/>
      <protection hidden="1"/>
    </xf>
    <xf numFmtId="9" fontId="7" fillId="7" borderId="15" xfId="3" applyNumberFormat="1" applyFont="1" applyFill="1" applyBorder="1" applyAlignment="1" applyProtection="1">
      <alignment horizontal="center" vertical="center" wrapText="1"/>
      <protection hidden="1"/>
    </xf>
    <xf numFmtId="9" fontId="7" fillId="7" borderId="7" xfId="3" applyNumberFormat="1" applyFont="1" applyFill="1" applyBorder="1" applyAlignment="1" applyProtection="1">
      <alignment horizontal="center" vertical="center" wrapText="1"/>
      <protection hidden="1"/>
    </xf>
    <xf numFmtId="9" fontId="7" fillId="7" borderId="16" xfId="3" applyNumberFormat="1" applyFont="1" applyFill="1" applyBorder="1" applyAlignment="1" applyProtection="1">
      <alignment horizontal="center" vertical="center" wrapText="1"/>
      <protection hidden="1"/>
    </xf>
    <xf numFmtId="0" fontId="23" fillId="7" borderId="13" xfId="0" applyFont="1" applyFill="1" applyBorder="1" applyAlignment="1" applyProtection="1">
      <alignment horizontal="center" vertical="center" textRotation="255" wrapText="1"/>
      <protection hidden="1"/>
    </xf>
    <xf numFmtId="0" fontId="23" fillId="7" borderId="14" xfId="0" applyFont="1" applyFill="1" applyBorder="1" applyAlignment="1" applyProtection="1">
      <alignment horizontal="center" vertical="center" textRotation="255" wrapText="1"/>
      <protection hidden="1"/>
    </xf>
    <xf numFmtId="0" fontId="23" fillId="7" borderId="11" xfId="0" applyFont="1" applyFill="1" applyBorder="1" applyAlignment="1" applyProtection="1">
      <alignment horizontal="center" vertical="center" textRotation="255" wrapText="1"/>
      <protection hidden="1"/>
    </xf>
    <xf numFmtId="0" fontId="5" fillId="0" borderId="13" xfId="3" applyNumberFormat="1" applyFont="1" applyFill="1" applyBorder="1" applyAlignment="1" applyProtection="1">
      <alignment horizontal="center" vertical="center" wrapText="1"/>
      <protection hidden="1"/>
    </xf>
    <xf numFmtId="0" fontId="5" fillId="0" borderId="14" xfId="3" applyNumberFormat="1" applyFont="1" applyFill="1" applyBorder="1" applyAlignment="1" applyProtection="1">
      <alignment horizontal="center" vertical="center" wrapText="1"/>
      <protection hidden="1"/>
    </xf>
    <xf numFmtId="0" fontId="5" fillId="0" borderId="11" xfId="3" applyNumberFormat="1" applyFont="1" applyFill="1" applyBorder="1" applyAlignment="1" applyProtection="1">
      <alignment horizontal="center" vertical="center" wrapText="1"/>
      <protection hidden="1"/>
    </xf>
    <xf numFmtId="0" fontId="7" fillId="7" borderId="15" xfId="3" applyNumberFormat="1" applyFont="1" applyFill="1" applyBorder="1" applyAlignment="1" applyProtection="1">
      <alignment horizontal="center" vertical="center" wrapText="1"/>
      <protection hidden="1"/>
    </xf>
    <xf numFmtId="0" fontId="7" fillId="7" borderId="7" xfId="3" applyNumberFormat="1" applyFont="1" applyFill="1" applyBorder="1" applyAlignment="1" applyProtection="1">
      <alignment horizontal="center" vertical="center" wrapText="1"/>
      <protection hidden="1"/>
    </xf>
    <xf numFmtId="0" fontId="7" fillId="7" borderId="16" xfId="3" applyNumberFormat="1" applyFont="1" applyFill="1" applyBorder="1" applyAlignment="1" applyProtection="1">
      <alignment horizontal="center" vertical="center" wrapText="1"/>
      <protection hidden="1"/>
    </xf>
    <xf numFmtId="0" fontId="21" fillId="7" borderId="15" xfId="0" applyFont="1" applyFill="1" applyBorder="1" applyAlignment="1" applyProtection="1">
      <alignment horizontal="center" vertical="center" wrapText="1"/>
      <protection hidden="1"/>
    </xf>
    <xf numFmtId="0" fontId="21" fillId="7" borderId="7" xfId="0" applyFont="1" applyFill="1" applyBorder="1" applyAlignment="1" applyProtection="1">
      <alignment horizontal="center" vertical="center" wrapText="1"/>
      <protection hidden="1"/>
    </xf>
    <xf numFmtId="0" fontId="21" fillId="7" borderId="16" xfId="0" applyFont="1" applyFill="1" applyBorder="1" applyAlignment="1" applyProtection="1">
      <alignment horizontal="center" vertical="center" wrapText="1"/>
      <protection hidden="1"/>
    </xf>
    <xf numFmtId="0" fontId="21" fillId="9" borderId="15" xfId="0" applyNumberFormat="1" applyFont="1" applyFill="1" applyBorder="1" applyAlignment="1" applyProtection="1">
      <alignment horizontal="center" vertical="center" wrapText="1"/>
      <protection hidden="1"/>
    </xf>
    <xf numFmtId="0" fontId="21" fillId="9" borderId="7" xfId="0" applyNumberFormat="1" applyFont="1" applyFill="1" applyBorder="1" applyAlignment="1" applyProtection="1">
      <alignment horizontal="center" vertical="center" wrapText="1"/>
      <protection hidden="1"/>
    </xf>
    <xf numFmtId="0" fontId="21" fillId="9" borderId="16" xfId="0" applyNumberFormat="1" applyFont="1" applyFill="1" applyBorder="1" applyAlignment="1" applyProtection="1">
      <alignment horizontal="center" vertical="center" wrapText="1"/>
      <protection hidden="1"/>
    </xf>
    <xf numFmtId="0" fontId="21" fillId="6" borderId="15" xfId="0" applyNumberFormat="1" applyFont="1" applyFill="1" applyBorder="1" applyAlignment="1" applyProtection="1">
      <alignment horizontal="center" vertical="center" wrapText="1"/>
      <protection hidden="1"/>
    </xf>
    <xf numFmtId="0" fontId="21" fillId="6" borderId="7" xfId="0" applyNumberFormat="1" applyFont="1" applyFill="1" applyBorder="1" applyAlignment="1" applyProtection="1">
      <alignment horizontal="center" vertical="center" wrapText="1"/>
      <protection hidden="1"/>
    </xf>
    <xf numFmtId="0" fontId="21" fillId="6" borderId="16" xfId="0" applyNumberFormat="1" applyFont="1" applyFill="1" applyBorder="1" applyAlignment="1" applyProtection="1">
      <alignment horizontal="center" vertical="center" wrapText="1"/>
      <protection hidden="1"/>
    </xf>
    <xf numFmtId="0" fontId="22" fillId="7" borderId="13" xfId="0" applyFont="1" applyFill="1" applyBorder="1" applyAlignment="1" applyProtection="1">
      <alignment horizontal="center" vertical="center" textRotation="255" wrapText="1"/>
      <protection hidden="1"/>
    </xf>
    <xf numFmtId="0" fontId="22" fillId="7" borderId="11" xfId="0" applyFont="1" applyFill="1" applyBorder="1" applyAlignment="1" applyProtection="1">
      <alignment horizontal="center" vertical="center" textRotation="255" wrapText="1"/>
      <protection hidden="1"/>
    </xf>
    <xf numFmtId="4" fontId="4" fillId="10" borderId="13" xfId="3" applyNumberFormat="1" applyFont="1" applyFill="1" applyBorder="1" applyAlignment="1" applyProtection="1">
      <alignment horizontal="center" vertical="center" wrapText="1"/>
      <protection hidden="1"/>
    </xf>
    <xf numFmtId="4" fontId="4" fillId="10" borderId="14" xfId="3" applyNumberFormat="1" applyFont="1" applyFill="1" applyBorder="1" applyAlignment="1" applyProtection="1">
      <alignment horizontal="center" vertical="center" wrapText="1"/>
      <protection hidden="1"/>
    </xf>
    <xf numFmtId="4" fontId="4" fillId="10" borderId="11" xfId="3" applyNumberFormat="1" applyFont="1" applyFill="1" applyBorder="1" applyAlignment="1" applyProtection="1">
      <alignment horizontal="center" vertical="center" wrapText="1"/>
      <protection hidden="1"/>
    </xf>
    <xf numFmtId="171" fontId="24" fillId="0" borderId="13" xfId="8" applyFont="1" applyFill="1" applyBorder="1" applyAlignment="1" applyProtection="1">
      <alignment horizontal="center" vertical="center" wrapText="1"/>
      <protection hidden="1"/>
    </xf>
    <xf numFmtId="171" fontId="24" fillId="0" borderId="14" xfId="8" applyFont="1" applyFill="1" applyBorder="1" applyAlignment="1" applyProtection="1">
      <alignment horizontal="center" vertical="center" wrapText="1"/>
      <protection hidden="1"/>
    </xf>
    <xf numFmtId="171" fontId="24" fillId="0" borderId="11" xfId="8" applyFont="1" applyFill="1" applyBorder="1" applyAlignment="1" applyProtection="1">
      <alignment horizontal="center" vertical="center" wrapText="1"/>
      <protection hidden="1"/>
    </xf>
    <xf numFmtId="0" fontId="25" fillId="0" borderId="8" xfId="8" applyNumberFormat="1" applyFont="1" applyFill="1" applyBorder="1" applyAlignment="1" applyProtection="1">
      <alignment horizontal="center" vertical="center" wrapText="1"/>
      <protection hidden="1"/>
    </xf>
    <xf numFmtId="0" fontId="7" fillId="0" borderId="13" xfId="8" applyNumberFormat="1" applyFont="1" applyFill="1" applyBorder="1" applyAlignment="1" applyProtection="1">
      <alignment horizontal="center" vertical="center" wrapText="1"/>
      <protection hidden="1"/>
    </xf>
    <xf numFmtId="0" fontId="7" fillId="0" borderId="14" xfId="8" applyNumberFormat="1" applyFont="1" applyFill="1" applyBorder="1" applyAlignment="1" applyProtection="1">
      <alignment horizontal="center" vertical="center" wrapText="1"/>
      <protection hidden="1"/>
    </xf>
    <xf numFmtId="0" fontId="7" fillId="0" borderId="11" xfId="8" applyNumberFormat="1" applyFont="1" applyFill="1" applyBorder="1" applyAlignment="1" applyProtection="1">
      <alignment horizontal="center" vertical="center" wrapText="1"/>
      <protection hidden="1"/>
    </xf>
    <xf numFmtId="4" fontId="7" fillId="0" borderId="13" xfId="3" applyNumberFormat="1" applyFont="1" applyFill="1" applyBorder="1" applyAlignment="1" applyProtection="1">
      <alignment horizontal="center" vertical="center" wrapText="1"/>
      <protection hidden="1"/>
    </xf>
    <xf numFmtId="4" fontId="7" fillId="0" borderId="14" xfId="3" applyNumberFormat="1" applyFont="1" applyFill="1" applyBorder="1" applyAlignment="1" applyProtection="1">
      <alignment horizontal="center" vertical="center" wrapText="1"/>
      <protection hidden="1"/>
    </xf>
    <xf numFmtId="4" fontId="7" fillId="0" borderId="11" xfId="3" applyNumberFormat="1" applyFont="1" applyFill="1" applyBorder="1" applyAlignment="1" applyProtection="1">
      <alignment horizontal="center" vertical="center" wrapText="1"/>
      <protection hidden="1"/>
    </xf>
    <xf numFmtId="0" fontId="5" fillId="5" borderId="13" xfId="3" applyNumberFormat="1" applyFont="1" applyFill="1" applyBorder="1" applyAlignment="1" applyProtection="1">
      <alignment horizontal="center" vertical="center" wrapText="1"/>
      <protection hidden="1"/>
    </xf>
    <xf numFmtId="0" fontId="5" fillId="5" borderId="14" xfId="3" applyNumberFormat="1" applyFont="1" applyFill="1" applyBorder="1" applyAlignment="1" applyProtection="1">
      <alignment horizontal="center" vertical="center" wrapText="1"/>
      <protection hidden="1"/>
    </xf>
    <xf numFmtId="0" fontId="5" fillId="5" borderId="11" xfId="3" applyNumberFormat="1" applyFont="1" applyFill="1" applyBorder="1" applyAlignment="1" applyProtection="1">
      <alignment horizontal="center" vertical="center" wrapText="1"/>
      <protection hidden="1"/>
    </xf>
    <xf numFmtId="9" fontId="5" fillId="0" borderId="13" xfId="3" applyNumberFormat="1" applyFont="1" applyFill="1" applyBorder="1" applyAlignment="1" applyProtection="1">
      <alignment horizontal="center" vertical="center" wrapText="1"/>
      <protection hidden="1"/>
    </xf>
    <xf numFmtId="9" fontId="5" fillId="0" borderId="14" xfId="3" applyNumberFormat="1" applyFont="1" applyFill="1" applyBorder="1" applyAlignment="1" applyProtection="1">
      <alignment horizontal="center" vertical="center" wrapText="1"/>
      <protection hidden="1"/>
    </xf>
    <xf numFmtId="9" fontId="5" fillId="0" borderId="11" xfId="3" applyNumberFormat="1" applyFont="1" applyFill="1" applyBorder="1" applyAlignment="1" applyProtection="1">
      <alignment horizontal="center" vertical="center" wrapText="1"/>
      <protection hidden="1"/>
    </xf>
    <xf numFmtId="0" fontId="7" fillId="5" borderId="13" xfId="3" applyFont="1" applyFill="1" applyBorder="1" applyAlignment="1" applyProtection="1">
      <alignment horizontal="center" vertical="center" wrapText="1"/>
      <protection hidden="1"/>
    </xf>
    <xf numFmtId="0" fontId="7" fillId="5" borderId="14" xfId="3" applyFont="1" applyFill="1" applyBorder="1" applyAlignment="1" applyProtection="1">
      <alignment horizontal="center" vertical="center" wrapText="1"/>
      <protection hidden="1"/>
    </xf>
    <xf numFmtId="0" fontId="7" fillId="5" borderId="11" xfId="3" applyFont="1" applyFill="1" applyBorder="1" applyAlignment="1" applyProtection="1">
      <alignment horizontal="center" vertical="center" wrapText="1"/>
      <protection hidden="1"/>
    </xf>
    <xf numFmtId="0" fontId="5" fillId="0" borderId="13" xfId="3" quotePrefix="1" applyFont="1" applyFill="1" applyBorder="1" applyAlignment="1" applyProtection="1">
      <alignment horizontal="center" vertical="center" wrapText="1"/>
      <protection hidden="1"/>
    </xf>
    <xf numFmtId="0" fontId="5" fillId="0" borderId="14" xfId="3" applyFont="1" applyFill="1" applyBorder="1" applyAlignment="1" applyProtection="1">
      <alignment horizontal="center" vertical="center" wrapText="1"/>
      <protection hidden="1"/>
    </xf>
    <xf numFmtId="0" fontId="5" fillId="0" borderId="11" xfId="3" applyFont="1" applyFill="1" applyBorder="1" applyAlignment="1" applyProtection="1">
      <alignment horizontal="center" vertical="center" wrapText="1"/>
      <protection hidden="1"/>
    </xf>
    <xf numFmtId="9" fontId="7" fillId="5" borderId="13" xfId="3" applyNumberFormat="1" applyFont="1" applyFill="1" applyBorder="1" applyAlignment="1" applyProtection="1">
      <alignment horizontal="center" vertical="center" wrapText="1"/>
      <protection hidden="1"/>
    </xf>
    <xf numFmtId="9" fontId="7" fillId="5" borderId="11" xfId="3" applyNumberFormat="1" applyFont="1" applyFill="1" applyBorder="1" applyAlignment="1" applyProtection="1">
      <alignment horizontal="center" vertical="center" wrapText="1"/>
      <protection hidden="1"/>
    </xf>
    <xf numFmtId="0" fontId="25" fillId="0" borderId="1" xfId="1" applyNumberFormat="1" applyFont="1" applyFill="1" applyBorder="1" applyAlignment="1" applyProtection="1">
      <alignment horizontal="center" vertical="center" wrapText="1"/>
      <protection hidden="1"/>
    </xf>
    <xf numFmtId="0" fontId="25" fillId="0" borderId="9" xfId="1" applyNumberFormat="1" applyFont="1" applyFill="1" applyBorder="1" applyAlignment="1" applyProtection="1">
      <alignment horizontal="center" vertical="center" wrapText="1"/>
      <protection hidden="1"/>
    </xf>
    <xf numFmtId="0" fontId="25" fillId="0" borderId="2" xfId="1" applyNumberFormat="1" applyFont="1" applyFill="1" applyBorder="1" applyAlignment="1" applyProtection="1">
      <alignment horizontal="center" vertical="center" wrapText="1"/>
      <protection hidden="1"/>
    </xf>
    <xf numFmtId="0" fontId="25" fillId="0" borderId="5" xfId="1" applyNumberFormat="1" applyFont="1" applyFill="1" applyBorder="1" applyAlignment="1" applyProtection="1">
      <alignment horizontal="center" vertical="center" wrapText="1"/>
      <protection hidden="1"/>
    </xf>
    <xf numFmtId="0" fontId="25" fillId="0" borderId="10" xfId="1" applyNumberFormat="1" applyFont="1" applyFill="1" applyBorder="1" applyAlignment="1" applyProtection="1">
      <alignment horizontal="center" vertical="center" wrapText="1"/>
      <protection hidden="1"/>
    </xf>
    <xf numFmtId="0" fontId="25" fillId="0" borderId="6" xfId="1" applyNumberFormat="1" applyFont="1" applyFill="1" applyBorder="1" applyAlignment="1" applyProtection="1">
      <alignment horizontal="center" vertical="center" wrapText="1"/>
      <protection hidden="1"/>
    </xf>
    <xf numFmtId="0" fontId="4" fillId="11" borderId="15" xfId="0" applyFont="1" applyFill="1" applyBorder="1" applyAlignment="1" applyProtection="1">
      <alignment horizontal="center" vertical="center"/>
      <protection hidden="1"/>
    </xf>
    <xf numFmtId="0" fontId="4" fillId="11" borderId="7" xfId="0" applyFont="1" applyFill="1" applyBorder="1" applyAlignment="1" applyProtection="1">
      <alignment horizontal="center" vertical="center"/>
      <protection hidden="1"/>
    </xf>
    <xf numFmtId="0" fontId="4" fillId="11" borderId="16" xfId="0" applyFont="1" applyFill="1" applyBorder="1" applyAlignment="1" applyProtection="1">
      <alignment horizontal="center" vertical="center"/>
      <protection hidden="1"/>
    </xf>
    <xf numFmtId="0" fontId="25" fillId="0" borderId="13" xfId="1" applyNumberFormat="1" applyFont="1" applyFill="1" applyBorder="1" applyAlignment="1" applyProtection="1">
      <alignment horizontal="center" vertical="center" wrapText="1"/>
      <protection hidden="1"/>
    </xf>
    <xf numFmtId="0" fontId="25" fillId="0" borderId="11" xfId="1" applyNumberFormat="1" applyFont="1" applyFill="1" applyBorder="1" applyAlignment="1" applyProtection="1">
      <alignment horizontal="center" vertical="center" wrapText="1"/>
      <protection hidden="1"/>
    </xf>
    <xf numFmtId="9" fontId="5" fillId="2" borderId="13" xfId="3" applyNumberFormat="1" applyFont="1" applyFill="1" applyBorder="1" applyAlignment="1" applyProtection="1">
      <alignment horizontal="center" vertical="center" wrapText="1"/>
      <protection hidden="1"/>
    </xf>
    <xf numFmtId="9" fontId="5" fillId="2" borderId="14" xfId="3" applyNumberFormat="1" applyFont="1" applyFill="1" applyBorder="1" applyAlignment="1" applyProtection="1">
      <alignment horizontal="center" vertical="center" wrapText="1"/>
      <protection hidden="1"/>
    </xf>
    <xf numFmtId="9" fontId="5" fillId="2" borderId="11" xfId="3" applyNumberFormat="1" applyFont="1" applyFill="1" applyBorder="1" applyAlignment="1" applyProtection="1">
      <alignment horizontal="center" vertical="center" wrapText="1"/>
      <protection hidden="1"/>
    </xf>
    <xf numFmtId="0" fontId="5" fillId="2" borderId="13" xfId="3" applyNumberFormat="1" applyFont="1" applyFill="1" applyBorder="1" applyAlignment="1" applyProtection="1">
      <alignment horizontal="center" vertical="center" wrapText="1"/>
      <protection hidden="1"/>
    </xf>
    <xf numFmtId="0" fontId="5" fillId="2" borderId="14" xfId="3" applyNumberFormat="1" applyFont="1" applyFill="1" applyBorder="1" applyAlignment="1" applyProtection="1">
      <alignment horizontal="center" vertical="center" wrapText="1"/>
      <protection hidden="1"/>
    </xf>
    <xf numFmtId="0" fontId="5" fillId="2" borderId="11" xfId="3" applyNumberFormat="1" applyFont="1" applyFill="1" applyBorder="1" applyAlignment="1" applyProtection="1">
      <alignment horizontal="center" vertical="center" wrapText="1"/>
      <protection hidden="1"/>
    </xf>
    <xf numFmtId="4" fontId="7" fillId="2" borderId="13" xfId="3" applyNumberFormat="1" applyFont="1" applyFill="1" applyBorder="1" applyAlignment="1" applyProtection="1">
      <alignment horizontal="center" vertical="center" wrapText="1"/>
      <protection hidden="1"/>
    </xf>
    <xf numFmtId="4" fontId="7" fillId="2" borderId="14" xfId="3" applyNumberFormat="1" applyFont="1" applyFill="1" applyBorder="1" applyAlignment="1" applyProtection="1">
      <alignment horizontal="center" vertical="center" wrapText="1"/>
      <protection hidden="1"/>
    </xf>
    <xf numFmtId="4" fontId="7" fillId="2" borderId="11" xfId="3" applyNumberFormat="1" applyFont="1" applyFill="1" applyBorder="1" applyAlignment="1" applyProtection="1">
      <alignment horizontal="center" vertical="center" wrapText="1"/>
      <protection hidden="1"/>
    </xf>
    <xf numFmtId="0" fontId="8" fillId="2" borderId="13" xfId="3" applyNumberFormat="1" applyFont="1" applyFill="1" applyBorder="1" applyAlignment="1" applyProtection="1">
      <alignment horizontal="center" vertical="center" wrapText="1"/>
      <protection hidden="1"/>
    </xf>
    <xf numFmtId="0" fontId="8" fillId="2" borderId="14" xfId="3" applyNumberFormat="1" applyFont="1" applyFill="1" applyBorder="1" applyAlignment="1" applyProtection="1">
      <alignment horizontal="center" vertical="center" wrapText="1"/>
      <protection hidden="1"/>
    </xf>
    <xf numFmtId="0" fontId="8" fillId="2" borderId="11" xfId="3" applyNumberFormat="1" applyFont="1" applyFill="1" applyBorder="1" applyAlignment="1" applyProtection="1">
      <alignment horizontal="center" vertical="center" wrapText="1"/>
      <protection hidden="1"/>
    </xf>
    <xf numFmtId="0" fontId="48" fillId="9" borderId="46" xfId="0" applyFont="1" applyFill="1" applyBorder="1" applyAlignment="1">
      <alignment horizontal="center" vertical="center" wrapText="1"/>
    </xf>
    <xf numFmtId="0" fontId="48" fillId="9" borderId="45" xfId="0" applyFont="1" applyFill="1" applyBorder="1" applyAlignment="1">
      <alignment horizontal="center" vertical="center" wrapText="1"/>
    </xf>
    <xf numFmtId="0" fontId="48" fillId="9" borderId="47" xfId="0" applyFont="1" applyFill="1" applyBorder="1" applyAlignment="1">
      <alignment horizontal="center" vertical="center" wrapText="1"/>
    </xf>
    <xf numFmtId="0" fontId="48" fillId="9" borderId="12"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48" fillId="9" borderId="73" xfId="0" applyFont="1" applyFill="1" applyBorder="1" applyAlignment="1">
      <alignment horizontal="center" vertical="center" wrapText="1"/>
    </xf>
    <xf numFmtId="0" fontId="48" fillId="9" borderId="48" xfId="0" applyFont="1" applyFill="1" applyBorder="1" applyAlignment="1">
      <alignment horizontal="center" vertical="center" wrapText="1"/>
    </xf>
    <xf numFmtId="0" fontId="48" fillId="9" borderId="44" xfId="0" applyFont="1" applyFill="1" applyBorder="1" applyAlignment="1">
      <alignment horizontal="center" vertical="center" wrapText="1"/>
    </xf>
    <xf numFmtId="0" fontId="48" fillId="9" borderId="49" xfId="0" applyFont="1" applyFill="1" applyBorder="1" applyAlignment="1">
      <alignment horizontal="center" vertical="center" wrapText="1"/>
    </xf>
    <xf numFmtId="0" fontId="6" fillId="0" borderId="30" xfId="3" applyFont="1" applyFill="1" applyBorder="1" applyAlignment="1" applyProtection="1">
      <alignment horizontal="center" vertical="center" wrapText="1"/>
      <protection hidden="1"/>
    </xf>
    <xf numFmtId="0" fontId="6" fillId="0" borderId="50" xfId="3" applyFont="1" applyFill="1" applyBorder="1" applyAlignment="1" applyProtection="1">
      <alignment horizontal="center" vertical="center" wrapText="1"/>
      <protection hidden="1"/>
    </xf>
    <xf numFmtId="0" fontId="6" fillId="0" borderId="32" xfId="3" applyFont="1" applyFill="1" applyBorder="1" applyAlignment="1" applyProtection="1">
      <alignment horizontal="center" vertical="center" wrapText="1"/>
      <protection hidden="1"/>
    </xf>
    <xf numFmtId="0" fontId="6" fillId="0" borderId="68" xfId="3" applyFont="1" applyFill="1" applyBorder="1" applyAlignment="1" applyProtection="1">
      <alignment horizontal="center" vertical="center" wrapText="1"/>
      <protection hidden="1"/>
    </xf>
    <xf numFmtId="0" fontId="6" fillId="0" borderId="15" xfId="3" applyFont="1" applyFill="1" applyBorder="1" applyAlignment="1" applyProtection="1">
      <alignment horizontal="center" vertical="center" wrapText="1"/>
      <protection hidden="1"/>
    </xf>
    <xf numFmtId="0" fontId="6" fillId="0" borderId="69" xfId="3" applyFont="1" applyFill="1" applyBorder="1" applyAlignment="1" applyProtection="1">
      <alignment horizontal="center" vertical="center" wrapText="1"/>
      <protection hidden="1"/>
    </xf>
    <xf numFmtId="0" fontId="6" fillId="7" borderId="64" xfId="3" applyNumberFormat="1" applyFont="1" applyFill="1" applyBorder="1" applyAlignment="1" applyProtection="1">
      <alignment horizontal="center" vertical="center" wrapText="1"/>
      <protection hidden="1"/>
    </xf>
    <xf numFmtId="0" fontId="6" fillId="7" borderId="63" xfId="3" applyNumberFormat="1" applyFont="1" applyFill="1" applyBorder="1" applyAlignment="1" applyProtection="1">
      <alignment horizontal="center" vertical="center" wrapText="1"/>
      <protection hidden="1"/>
    </xf>
    <xf numFmtId="0" fontId="6" fillId="7" borderId="118" xfId="3" applyNumberFormat="1" applyFont="1" applyFill="1" applyBorder="1" applyAlignment="1" applyProtection="1">
      <alignment horizontal="center" vertical="center" wrapText="1"/>
      <protection hidden="1"/>
    </xf>
    <xf numFmtId="0" fontId="6" fillId="7" borderId="65" xfId="3" applyNumberFormat="1" applyFont="1" applyFill="1" applyBorder="1" applyAlignment="1" applyProtection="1">
      <alignment horizontal="center" vertical="center" wrapText="1"/>
      <protection hidden="1"/>
    </xf>
    <xf numFmtId="9" fontId="7" fillId="9" borderId="47" xfId="3" applyNumberFormat="1" applyFont="1" applyFill="1" applyBorder="1" applyAlignment="1" applyProtection="1">
      <alignment horizontal="center" vertical="center" wrapText="1"/>
      <protection hidden="1"/>
    </xf>
    <xf numFmtId="9" fontId="7" fillId="9" borderId="49" xfId="3" applyNumberFormat="1" applyFont="1" applyFill="1" applyBorder="1" applyAlignment="1" applyProtection="1">
      <alignment horizontal="center" vertical="center" wrapText="1"/>
      <protection hidden="1"/>
    </xf>
    <xf numFmtId="0" fontId="6" fillId="9" borderId="51" xfId="8" applyNumberFormat="1" applyFont="1" applyFill="1" applyBorder="1" applyAlignment="1" applyProtection="1">
      <alignment horizontal="center" vertical="center" wrapText="1"/>
      <protection hidden="1"/>
    </xf>
    <xf numFmtId="0" fontId="6" fillId="9" borderId="55" xfId="8" applyNumberFormat="1" applyFont="1" applyFill="1" applyBorder="1" applyAlignment="1" applyProtection="1">
      <alignment horizontal="center" vertical="center" wrapText="1"/>
      <protection hidden="1"/>
    </xf>
    <xf numFmtId="0" fontId="29" fillId="2" borderId="8" xfId="3" applyFont="1" applyFill="1" applyBorder="1" applyAlignment="1" applyProtection="1">
      <alignment horizontal="center" vertical="center" wrapText="1"/>
      <protection hidden="1"/>
    </xf>
    <xf numFmtId="0" fontId="6" fillId="0" borderId="56" xfId="3" applyFont="1" applyFill="1" applyBorder="1" applyAlignment="1" applyProtection="1">
      <alignment horizontal="center" vertical="center" wrapText="1"/>
      <protection hidden="1"/>
    </xf>
    <xf numFmtId="0" fontId="6" fillId="0" borderId="8" xfId="3" applyFont="1" applyFill="1" applyBorder="1" applyAlignment="1" applyProtection="1">
      <alignment horizontal="center" vertical="center" wrapText="1"/>
      <protection hidden="1"/>
    </xf>
    <xf numFmtId="0" fontId="6" fillId="0" borderId="59" xfId="3" applyFont="1" applyFill="1" applyBorder="1" applyAlignment="1" applyProtection="1">
      <alignment horizontal="center" vertical="center" wrapText="1"/>
      <protection hidden="1"/>
    </xf>
    <xf numFmtId="0" fontId="6" fillId="7" borderId="56" xfId="3" applyNumberFormat="1" applyFont="1" applyFill="1" applyBorder="1" applyAlignment="1" applyProtection="1">
      <alignment horizontal="center" vertical="center" wrapText="1"/>
      <protection hidden="1"/>
    </xf>
    <xf numFmtId="0" fontId="6" fillId="7" borderId="68" xfId="3" applyNumberFormat="1" applyFont="1" applyFill="1" applyBorder="1" applyAlignment="1" applyProtection="1">
      <alignment horizontal="center" vertical="center" wrapText="1"/>
      <protection hidden="1"/>
    </xf>
    <xf numFmtId="0" fontId="6" fillId="13" borderId="30" xfId="3" applyNumberFormat="1" applyFont="1" applyFill="1" applyBorder="1" applyAlignment="1" applyProtection="1">
      <alignment horizontal="center" vertical="center" wrapText="1"/>
      <protection hidden="1"/>
    </xf>
    <xf numFmtId="0" fontId="6" fillId="13" borderId="56" xfId="3" applyNumberFormat="1" applyFont="1" applyFill="1" applyBorder="1" applyAlignment="1" applyProtection="1">
      <alignment horizontal="center" vertical="center" wrapText="1"/>
      <protection hidden="1"/>
    </xf>
    <xf numFmtId="0" fontId="6" fillId="13" borderId="31" xfId="3" applyNumberFormat="1" applyFont="1" applyFill="1" applyBorder="1" applyAlignment="1" applyProtection="1">
      <alignment horizontal="center" vertical="center" wrapText="1"/>
      <protection hidden="1"/>
    </xf>
    <xf numFmtId="0" fontId="31" fillId="7" borderId="15" xfId="3" applyFont="1" applyFill="1" applyBorder="1" applyAlignment="1" applyProtection="1">
      <alignment horizontal="center" vertical="center" wrapText="1"/>
      <protection hidden="1"/>
    </xf>
    <xf numFmtId="0" fontId="31" fillId="7" borderId="16" xfId="3" applyFont="1" applyFill="1" applyBorder="1" applyAlignment="1" applyProtection="1">
      <alignment horizontal="center" vertical="center" wrapText="1"/>
      <protection hidden="1"/>
    </xf>
    <xf numFmtId="0" fontId="31" fillId="13" borderId="15" xfId="3" applyFont="1" applyFill="1" applyBorder="1" applyAlignment="1" applyProtection="1">
      <alignment horizontal="center" vertical="center" wrapText="1"/>
      <protection hidden="1"/>
    </xf>
    <xf numFmtId="0" fontId="31" fillId="13" borderId="16" xfId="3" applyFont="1" applyFill="1" applyBorder="1" applyAlignment="1" applyProtection="1">
      <alignment horizontal="center" vertical="center" wrapText="1"/>
      <protection hidden="1"/>
    </xf>
    <xf numFmtId="0" fontId="14" fillId="0" borderId="70" xfId="3" applyFont="1" applyFill="1" applyBorder="1" applyAlignment="1" applyProtection="1">
      <alignment horizontal="center" vertical="center" wrapText="1"/>
      <protection hidden="1"/>
    </xf>
    <xf numFmtId="0" fontId="14" fillId="0" borderId="71" xfId="3" applyFont="1" applyFill="1" applyBorder="1" applyAlignment="1" applyProtection="1">
      <alignment horizontal="center" vertical="center" wrapText="1"/>
      <protection hidden="1"/>
    </xf>
    <xf numFmtId="0" fontId="29" fillId="2" borderId="3" xfId="3" applyFont="1" applyFill="1" applyBorder="1" applyAlignment="1" applyProtection="1">
      <alignment horizontal="center" vertical="center" wrapText="1"/>
      <protection hidden="1"/>
    </xf>
    <xf numFmtId="0" fontId="29" fillId="2" borderId="0" xfId="3" applyFont="1" applyFill="1" applyBorder="1" applyAlignment="1" applyProtection="1">
      <alignment horizontal="center" vertical="center" wrapText="1"/>
      <protection hidden="1"/>
    </xf>
    <xf numFmtId="0" fontId="6" fillId="9" borderId="8" xfId="8" applyNumberFormat="1" applyFont="1" applyFill="1" applyBorder="1" applyAlignment="1" applyProtection="1">
      <alignment horizontal="center" vertical="center" wrapText="1"/>
      <protection hidden="1"/>
    </xf>
    <xf numFmtId="0" fontId="49" fillId="20" borderId="82" xfId="0" applyFont="1" applyFill="1" applyBorder="1" applyAlignment="1">
      <alignment horizontal="left" vertical="center"/>
    </xf>
    <xf numFmtId="0" fontId="52" fillId="0" borderId="85" xfId="0" applyFont="1" applyBorder="1"/>
    <xf numFmtId="0" fontId="52" fillId="0" borderId="79" xfId="0" applyFont="1" applyBorder="1"/>
    <xf numFmtId="0" fontId="24" fillId="0" borderId="23" xfId="0" applyFont="1" applyBorder="1" applyAlignment="1" applyProtection="1">
      <alignment horizontal="center" vertical="center"/>
      <protection hidden="1"/>
    </xf>
    <xf numFmtId="0" fontId="24" fillId="0" borderId="24" xfId="0" applyFont="1" applyBorder="1" applyAlignment="1" applyProtection="1">
      <alignment horizontal="center" vertical="center"/>
      <protection hidden="1"/>
    </xf>
    <xf numFmtId="0" fontId="24" fillId="0" borderId="25" xfId="0" applyFont="1" applyBorder="1" applyAlignment="1" applyProtection="1">
      <alignment horizontal="center" vertical="center"/>
      <protection hidden="1"/>
    </xf>
    <xf numFmtId="0" fontId="4" fillId="9" borderId="17" xfId="0" applyFont="1" applyFill="1" applyBorder="1" applyAlignment="1" applyProtection="1">
      <alignment horizontal="center" vertical="center" wrapText="1"/>
      <protection hidden="1"/>
    </xf>
    <xf numFmtId="0" fontId="4" fillId="9" borderId="20"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0" fontId="4" fillId="9" borderId="19" xfId="0" applyFont="1" applyFill="1" applyBorder="1" applyAlignment="1" applyProtection="1">
      <alignment horizontal="center" vertical="center" wrapText="1"/>
      <protection hidden="1"/>
    </xf>
    <xf numFmtId="0" fontId="4" fillId="9" borderId="21" xfId="0" applyFont="1" applyFill="1" applyBorder="1" applyAlignment="1" applyProtection="1">
      <alignment horizontal="center" vertical="center" wrapText="1"/>
      <protection hidden="1"/>
    </xf>
    <xf numFmtId="0" fontId="4" fillId="9" borderId="22" xfId="0" applyFont="1" applyFill="1" applyBorder="1" applyAlignment="1" applyProtection="1">
      <alignment horizontal="center" vertical="center" wrapText="1"/>
      <protection hidden="1"/>
    </xf>
    <xf numFmtId="0" fontId="4" fillId="9" borderId="35" xfId="0" applyFont="1" applyFill="1" applyBorder="1" applyAlignment="1" applyProtection="1">
      <alignment horizontal="center" vertical="center" wrapText="1"/>
      <protection hidden="1"/>
    </xf>
    <xf numFmtId="0" fontId="4" fillId="9" borderId="34" xfId="0" applyFont="1" applyFill="1" applyBorder="1" applyAlignment="1" applyProtection="1">
      <alignment horizontal="center" vertical="center" wrapText="1"/>
      <protection hidden="1"/>
    </xf>
    <xf numFmtId="0" fontId="36" fillId="14" borderId="17" xfId="9" applyFont="1" applyFill="1" applyBorder="1" applyAlignment="1" applyProtection="1">
      <alignment horizontal="center" vertical="center" textRotation="90" wrapText="1"/>
      <protection hidden="1"/>
    </xf>
    <xf numFmtId="0" fontId="36" fillId="14" borderId="26" xfId="9" applyFont="1" applyFill="1" applyBorder="1" applyAlignment="1" applyProtection="1">
      <alignment horizontal="center" vertical="center" textRotation="90" wrapText="1"/>
      <protection hidden="1"/>
    </xf>
    <xf numFmtId="0" fontId="36" fillId="14" borderId="20" xfId="9" applyFont="1" applyFill="1" applyBorder="1" applyAlignment="1" applyProtection="1">
      <alignment horizontal="center" vertical="center" textRotation="90" wrapText="1"/>
      <protection hidden="1"/>
    </xf>
    <xf numFmtId="0" fontId="55" fillId="0" borderId="98" xfId="0" applyFont="1" applyBorder="1" applyAlignment="1">
      <alignment horizontal="center" vertical="center"/>
    </xf>
    <xf numFmtId="0" fontId="55" fillId="0" borderId="99" xfId="0" applyFont="1" applyBorder="1" applyAlignment="1">
      <alignment horizontal="center" vertical="center"/>
    </xf>
    <xf numFmtId="0" fontId="14" fillId="0" borderId="85" xfId="0" applyFont="1" applyBorder="1"/>
    <xf numFmtId="0" fontId="14" fillId="0" borderId="79" xfId="0" applyFont="1" applyBorder="1"/>
    <xf numFmtId="0" fontId="8" fillId="4" borderId="15" xfId="9" applyFill="1" applyBorder="1" applyAlignment="1" applyProtection="1">
      <alignment horizontal="center" vertical="center"/>
      <protection hidden="1"/>
    </xf>
    <xf numFmtId="0" fontId="8" fillId="4" borderId="7" xfId="9" applyFill="1" applyBorder="1" applyAlignment="1" applyProtection="1">
      <alignment horizontal="center" vertical="center"/>
      <protection hidden="1"/>
    </xf>
    <xf numFmtId="0" fontId="8" fillId="4" borderId="16" xfId="9" applyFill="1" applyBorder="1" applyAlignment="1" applyProtection="1">
      <alignment horizontal="center" vertical="center"/>
      <protection hidden="1"/>
    </xf>
    <xf numFmtId="0" fontId="49" fillId="19" borderId="82" xfId="0" applyFont="1" applyFill="1" applyBorder="1" applyAlignment="1">
      <alignment horizontal="right" vertical="center"/>
    </xf>
    <xf numFmtId="173" fontId="49" fillId="19" borderId="82" xfId="0" applyNumberFormat="1" applyFont="1" applyFill="1" applyBorder="1" applyAlignment="1">
      <alignment horizontal="left" vertical="center" wrapText="1"/>
    </xf>
    <xf numFmtId="0" fontId="36" fillId="5" borderId="17" xfId="9" applyFont="1" applyFill="1" applyBorder="1" applyAlignment="1" applyProtection="1">
      <alignment horizontal="center" vertical="center" textRotation="90" wrapText="1"/>
      <protection hidden="1"/>
    </xf>
    <xf numFmtId="0" fontId="36" fillId="5" borderId="26" xfId="9" applyFont="1" applyFill="1" applyBorder="1" applyAlignment="1" applyProtection="1">
      <alignment horizontal="center" vertical="center" textRotation="90" wrapText="1"/>
      <protection hidden="1"/>
    </xf>
    <xf numFmtId="0" fontId="36" fillId="5" borderId="20" xfId="9" applyFont="1" applyFill="1" applyBorder="1" applyAlignment="1" applyProtection="1">
      <alignment horizontal="center" vertical="center" textRotation="90" wrapText="1"/>
      <protection hidden="1"/>
    </xf>
    <xf numFmtId="0" fontId="49" fillId="20" borderId="93" xfId="0" applyFont="1" applyFill="1" applyBorder="1" applyAlignment="1">
      <alignment horizontal="left" vertical="center"/>
    </xf>
    <xf numFmtId="0" fontId="52" fillId="0" borderId="92" xfId="0" applyFont="1" applyBorder="1"/>
    <xf numFmtId="0" fontId="52" fillId="0" borderId="94" xfId="0" applyFont="1" applyBorder="1"/>
    <xf numFmtId="0" fontId="37" fillId="9" borderId="18" xfId="10" applyFont="1" applyFill="1" applyBorder="1" applyAlignment="1" applyProtection="1">
      <alignment horizontal="center" vertical="center" wrapText="1"/>
      <protection hidden="1"/>
    </xf>
    <xf numFmtId="0" fontId="37" fillId="9" borderId="35" xfId="10" applyFont="1" applyFill="1" applyBorder="1" applyAlignment="1" applyProtection="1">
      <alignment horizontal="center" vertical="center" wrapText="1"/>
      <protection hidden="1"/>
    </xf>
    <xf numFmtId="0" fontId="37" fillId="9" borderId="19" xfId="10" applyFont="1" applyFill="1" applyBorder="1" applyAlignment="1" applyProtection="1">
      <alignment horizontal="center" vertical="center" wrapText="1"/>
      <protection hidden="1"/>
    </xf>
    <xf numFmtId="0" fontId="37" fillId="9" borderId="27" xfId="10" applyFont="1" applyFill="1" applyBorder="1" applyAlignment="1" applyProtection="1">
      <alignment horizontal="center" vertical="center" wrapText="1"/>
      <protection hidden="1"/>
    </xf>
    <xf numFmtId="0" fontId="37" fillId="9" borderId="0" xfId="10" applyFont="1" applyFill="1" applyBorder="1" applyAlignment="1" applyProtection="1">
      <alignment horizontal="center" vertical="center" wrapText="1"/>
      <protection hidden="1"/>
    </xf>
    <xf numFmtId="0" fontId="37" fillId="9" borderId="28" xfId="10" applyFont="1" applyFill="1" applyBorder="1" applyAlignment="1" applyProtection="1">
      <alignment horizontal="center" vertical="center" wrapText="1"/>
      <protection hidden="1"/>
    </xf>
    <xf numFmtId="0" fontId="37" fillId="9" borderId="21" xfId="10" applyFont="1" applyFill="1" applyBorder="1" applyAlignment="1" applyProtection="1">
      <alignment horizontal="center" vertical="center" wrapText="1"/>
      <protection hidden="1"/>
    </xf>
    <xf numFmtId="0" fontId="37" fillId="9" borderId="34" xfId="10" applyFont="1" applyFill="1" applyBorder="1" applyAlignment="1" applyProtection="1">
      <alignment horizontal="center" vertical="center" wrapText="1"/>
      <protection hidden="1"/>
    </xf>
    <xf numFmtId="0" fontId="37" fillId="9" borderId="22" xfId="10" applyFont="1" applyFill="1" applyBorder="1" applyAlignment="1" applyProtection="1">
      <alignment horizontal="center" vertical="center" wrapText="1"/>
      <protection hidden="1"/>
    </xf>
    <xf numFmtId="0" fontId="12" fillId="19" borderId="82" xfId="0" applyFont="1" applyFill="1" applyBorder="1" applyAlignment="1">
      <alignment horizontal="left" vertical="center" wrapText="1"/>
    </xf>
    <xf numFmtId="0" fontId="12" fillId="19" borderId="85" xfId="0" applyFont="1" applyFill="1" applyBorder="1" applyAlignment="1">
      <alignment horizontal="left" vertical="center" wrapText="1"/>
    </xf>
    <xf numFmtId="0" fontId="12" fillId="19" borderId="90" xfId="0" applyFont="1" applyFill="1" applyBorder="1" applyAlignment="1">
      <alignment horizontal="left" vertical="center" wrapText="1"/>
    </xf>
    <xf numFmtId="0" fontId="52" fillId="0" borderId="0" xfId="0" applyFont="1" applyBorder="1" applyAlignment="1">
      <alignment horizontal="center"/>
    </xf>
    <xf numFmtId="0" fontId="52" fillId="0" borderId="4" xfId="0" applyFont="1" applyBorder="1" applyAlignment="1">
      <alignment horizontal="center"/>
    </xf>
    <xf numFmtId="0" fontId="55" fillId="0" borderId="111" xfId="0" applyFont="1" applyBorder="1" applyAlignment="1">
      <alignment horizontal="center" vertical="center"/>
    </xf>
    <xf numFmtId="0" fontId="12" fillId="19" borderId="108" xfId="0" applyFont="1" applyFill="1" applyBorder="1" applyAlignment="1">
      <alignment horizontal="left" vertical="center" wrapText="1"/>
    </xf>
    <xf numFmtId="0" fontId="12" fillId="19" borderId="109" xfId="0" applyFont="1" applyFill="1" applyBorder="1" applyAlignment="1">
      <alignment horizontal="left" vertical="center" wrapText="1"/>
    </xf>
    <xf numFmtId="0" fontId="12" fillId="19" borderId="110" xfId="0" applyFont="1" applyFill="1" applyBorder="1" applyAlignment="1">
      <alignment horizontal="left" vertical="center" wrapText="1"/>
    </xf>
    <xf numFmtId="0" fontId="53" fillId="19" borderId="8" xfId="0" applyFont="1" applyFill="1" applyBorder="1" applyAlignment="1">
      <alignment horizontal="left" vertical="center"/>
    </xf>
    <xf numFmtId="0" fontId="5" fillId="0" borderId="8" xfId="0" applyFont="1" applyBorder="1"/>
    <xf numFmtId="0" fontId="5" fillId="0" borderId="58" xfId="0" applyFont="1" applyBorder="1"/>
    <xf numFmtId="0" fontId="6" fillId="10" borderId="15" xfId="0" applyFont="1" applyFill="1" applyBorder="1" applyAlignment="1" applyProtection="1">
      <alignment horizontal="center" wrapText="1"/>
      <protection hidden="1"/>
    </xf>
    <xf numFmtId="0" fontId="6" fillId="10" borderId="16" xfId="0" applyFont="1" applyFill="1" applyBorder="1" applyAlignment="1" applyProtection="1">
      <alignment horizontal="center" wrapText="1"/>
      <protection hidden="1"/>
    </xf>
    <xf numFmtId="0" fontId="6" fillId="10" borderId="15" xfId="0" applyFont="1" applyFill="1" applyBorder="1" applyAlignment="1" applyProtection="1">
      <alignment horizontal="center" vertical="center" wrapText="1"/>
      <protection hidden="1"/>
    </xf>
    <xf numFmtId="0" fontId="6" fillId="10" borderId="16" xfId="0" applyFont="1" applyFill="1" applyBorder="1" applyAlignment="1" applyProtection="1">
      <alignment horizontal="center" vertical="center" wrapText="1"/>
      <protection hidden="1"/>
    </xf>
    <xf numFmtId="0" fontId="6" fillId="9" borderId="15" xfId="0" applyFont="1" applyFill="1" applyBorder="1" applyAlignment="1" applyProtection="1">
      <alignment horizontal="center" vertical="center"/>
      <protection hidden="1"/>
    </xf>
    <xf numFmtId="0" fontId="6" fillId="9" borderId="16" xfId="0" applyFont="1" applyFill="1" applyBorder="1" applyAlignment="1" applyProtection="1">
      <alignment horizontal="center" vertical="center"/>
      <protection hidden="1"/>
    </xf>
    <xf numFmtId="0" fontId="38" fillId="0" borderId="34" xfId="10" applyFont="1" applyBorder="1" applyAlignment="1" applyProtection="1">
      <alignment horizontal="center" vertical="center"/>
      <protection hidden="1"/>
    </xf>
    <xf numFmtId="0" fontId="35" fillId="7" borderId="23" xfId="10" quotePrefix="1" applyFont="1" applyFill="1" applyBorder="1" applyAlignment="1" applyProtection="1">
      <alignment horizontal="center" vertical="center" wrapText="1"/>
      <protection hidden="1"/>
    </xf>
    <xf numFmtId="0" fontId="35" fillId="7" borderId="24" xfId="10" quotePrefix="1" applyFont="1" applyFill="1" applyBorder="1" applyAlignment="1" applyProtection="1">
      <alignment horizontal="center" vertical="center" wrapText="1"/>
      <protection hidden="1"/>
    </xf>
    <xf numFmtId="0" fontId="35" fillId="7" borderId="25" xfId="10" quotePrefix="1" applyFont="1" applyFill="1" applyBorder="1" applyAlignment="1" applyProtection="1">
      <alignment horizontal="center" vertical="center" wrapText="1"/>
      <protection hidden="1"/>
    </xf>
    <xf numFmtId="0" fontId="35" fillId="7" borderId="36" xfId="10" applyFont="1" applyFill="1" applyBorder="1" applyAlignment="1" applyProtection="1">
      <alignment horizontal="center" vertical="center" wrapText="1"/>
      <protection hidden="1"/>
    </xf>
    <xf numFmtId="0" fontId="37" fillId="7" borderId="37" xfId="10" applyFont="1" applyFill="1" applyBorder="1" applyAlignment="1" applyProtection="1">
      <alignment horizontal="center" vertical="center" wrapText="1"/>
      <protection hidden="1"/>
    </xf>
    <xf numFmtId="0" fontId="37" fillId="7" borderId="74" xfId="10" applyFont="1" applyFill="1" applyBorder="1" applyAlignment="1" applyProtection="1">
      <alignment horizontal="center" vertical="center" wrapText="1"/>
      <protection hidden="1"/>
    </xf>
    <xf numFmtId="0" fontId="37" fillId="7" borderId="38" xfId="10" applyFont="1" applyFill="1" applyBorder="1" applyAlignment="1" applyProtection="1">
      <alignment horizontal="center" vertical="center" wrapText="1"/>
      <protection hidden="1"/>
    </xf>
    <xf numFmtId="0" fontId="37" fillId="7" borderId="39" xfId="10" applyFont="1" applyFill="1" applyBorder="1" applyAlignment="1" applyProtection="1">
      <alignment horizontal="center" vertical="center" wrapText="1"/>
      <protection hidden="1"/>
    </xf>
    <xf numFmtId="0" fontId="37" fillId="7" borderId="8" xfId="10" applyFont="1" applyFill="1" applyBorder="1" applyAlignment="1" applyProtection="1">
      <alignment horizontal="center" vertical="center" wrapText="1"/>
      <protection hidden="1"/>
    </xf>
    <xf numFmtId="0" fontId="37" fillId="7" borderId="15" xfId="10" applyFont="1" applyFill="1" applyBorder="1" applyAlignment="1" applyProtection="1">
      <alignment horizontal="center" vertical="center" wrapText="1"/>
      <protection hidden="1"/>
    </xf>
    <xf numFmtId="0" fontId="37" fillId="7" borderId="40" xfId="10" applyFont="1" applyFill="1" applyBorder="1" applyAlignment="1" applyProtection="1">
      <alignment horizontal="center" vertical="center" wrapText="1"/>
      <protection hidden="1"/>
    </xf>
    <xf numFmtId="0" fontId="35" fillId="7" borderId="18" xfId="10" applyFont="1" applyFill="1" applyBorder="1" applyAlignment="1" applyProtection="1">
      <alignment horizontal="left" vertical="center" wrapText="1"/>
      <protection hidden="1"/>
    </xf>
    <xf numFmtId="0" fontId="35" fillId="7" borderId="35" xfId="10" applyFont="1" applyFill="1" applyBorder="1" applyAlignment="1" applyProtection="1">
      <alignment horizontal="left" vertical="center" wrapText="1"/>
      <protection hidden="1"/>
    </xf>
    <xf numFmtId="0" fontId="35" fillId="7" borderId="19" xfId="10" applyFont="1" applyFill="1" applyBorder="1" applyAlignment="1" applyProtection="1">
      <alignment horizontal="left" vertical="center" wrapText="1"/>
      <protection hidden="1"/>
    </xf>
    <xf numFmtId="0" fontId="35" fillId="7" borderId="21" xfId="10" applyFont="1" applyFill="1" applyBorder="1" applyAlignment="1" applyProtection="1">
      <alignment horizontal="left" vertical="center" wrapText="1"/>
      <protection hidden="1"/>
    </xf>
    <xf numFmtId="0" fontId="35" fillId="7" borderId="34" xfId="10" applyFont="1" applyFill="1" applyBorder="1" applyAlignment="1" applyProtection="1">
      <alignment horizontal="left" vertical="center" wrapText="1"/>
      <protection hidden="1"/>
    </xf>
    <xf numFmtId="0" fontId="35" fillId="7" borderId="22" xfId="10" applyFont="1" applyFill="1" applyBorder="1" applyAlignment="1" applyProtection="1">
      <alignment horizontal="left" vertical="center" wrapText="1"/>
      <protection hidden="1"/>
    </xf>
    <xf numFmtId="0" fontId="35" fillId="7" borderId="18" xfId="10" applyFont="1" applyFill="1" applyBorder="1" applyAlignment="1" applyProtection="1">
      <alignment horizontal="center" vertical="center" wrapText="1"/>
      <protection hidden="1"/>
    </xf>
    <xf numFmtId="0" fontId="35" fillId="7" borderId="35" xfId="10" applyFont="1" applyFill="1" applyBorder="1" applyAlignment="1" applyProtection="1">
      <alignment horizontal="center" vertical="center" wrapText="1"/>
      <protection hidden="1"/>
    </xf>
    <xf numFmtId="0" fontId="35" fillId="7" borderId="19" xfId="10" applyFont="1" applyFill="1" applyBorder="1" applyAlignment="1" applyProtection="1">
      <alignment horizontal="center" vertical="center" wrapText="1"/>
      <protection hidden="1"/>
    </xf>
    <xf numFmtId="0" fontId="35" fillId="7" borderId="21" xfId="10" applyFont="1" applyFill="1" applyBorder="1" applyAlignment="1" applyProtection="1">
      <alignment horizontal="center" vertical="center" wrapText="1"/>
      <protection hidden="1"/>
    </xf>
    <xf numFmtId="0" fontId="35" fillId="7" borderId="34" xfId="10" applyFont="1" applyFill="1" applyBorder="1" applyAlignment="1" applyProtection="1">
      <alignment horizontal="center" vertical="center" wrapText="1"/>
      <protection hidden="1"/>
    </xf>
    <xf numFmtId="0" fontId="35" fillId="7" borderId="22" xfId="10" applyFont="1" applyFill="1" applyBorder="1" applyAlignment="1" applyProtection="1">
      <alignment horizontal="center" vertical="center" wrapText="1"/>
      <protection hidden="1"/>
    </xf>
    <xf numFmtId="1" fontId="7" fillId="3" borderId="8" xfId="0" applyNumberFormat="1" applyFont="1" applyFill="1" applyBorder="1" applyAlignment="1" applyProtection="1">
      <alignment horizontal="center" vertical="center"/>
      <protection hidden="1"/>
    </xf>
    <xf numFmtId="184" fontId="8" fillId="7" borderId="8" xfId="0" applyNumberFormat="1" applyFont="1" applyFill="1" applyBorder="1" applyAlignment="1" applyProtection="1">
      <alignment horizontal="center" vertical="center"/>
      <protection hidden="1"/>
    </xf>
    <xf numFmtId="0" fontId="8" fillId="7" borderId="8" xfId="0" applyFont="1" applyFill="1" applyBorder="1" applyAlignment="1" applyProtection="1">
      <alignment horizontal="center" vertical="center"/>
      <protection hidden="1"/>
    </xf>
    <xf numFmtId="0" fontId="29" fillId="2" borderId="5" xfId="3" applyFont="1" applyFill="1" applyBorder="1" applyAlignment="1" applyProtection="1">
      <alignment horizontal="left" vertical="center" wrapText="1"/>
      <protection hidden="1"/>
    </xf>
    <xf numFmtId="0" fontId="29" fillId="2" borderId="10" xfId="3" applyFont="1" applyFill="1" applyBorder="1" applyAlignment="1" applyProtection="1">
      <alignment horizontal="left" vertical="center" wrapText="1"/>
      <protection hidden="1"/>
    </xf>
    <xf numFmtId="0" fontId="7" fillId="3" borderId="8" xfId="0" applyFont="1" applyFill="1" applyBorder="1" applyAlignment="1" applyProtection="1">
      <alignment horizontal="center" vertical="center" wrapText="1"/>
      <protection hidden="1"/>
    </xf>
    <xf numFmtId="0" fontId="7" fillId="0" borderId="1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3" fillId="3" borderId="1"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hidden="1"/>
    </xf>
    <xf numFmtId="1" fontId="7" fillId="3" borderId="15" xfId="0" applyNumberFormat="1" applyFont="1" applyFill="1" applyBorder="1" applyAlignment="1" applyProtection="1">
      <alignment horizontal="center" vertical="center"/>
      <protection hidden="1"/>
    </xf>
    <xf numFmtId="1" fontId="7" fillId="3" borderId="16" xfId="0" applyNumberFormat="1" applyFont="1" applyFill="1" applyBorder="1" applyAlignment="1" applyProtection="1">
      <alignment horizontal="center" vertical="center"/>
      <protection hidden="1"/>
    </xf>
    <xf numFmtId="184" fontId="9" fillId="7" borderId="8" xfId="0" applyNumberFormat="1" applyFont="1" applyFill="1" applyBorder="1" applyAlignment="1" applyProtection="1">
      <alignment horizontal="center" vertical="center"/>
      <protection hidden="1"/>
    </xf>
    <xf numFmtId="0" fontId="9" fillId="7" borderId="8"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61" fillId="3" borderId="29" xfId="17" applyFont="1" applyFill="1" applyBorder="1" applyAlignment="1" applyProtection="1">
      <alignment horizontal="center" vertical="center" wrapText="1"/>
      <protection hidden="1"/>
    </xf>
    <xf numFmtId="0" fontId="62" fillId="4" borderId="29" xfId="17" applyFont="1" applyFill="1" applyBorder="1" applyAlignment="1" applyProtection="1">
      <alignment horizontal="left" vertical="center"/>
      <protection hidden="1"/>
    </xf>
    <xf numFmtId="0" fontId="60" fillId="7" borderId="29" xfId="17" applyFont="1" applyFill="1" applyBorder="1" applyAlignment="1" applyProtection="1">
      <alignment horizontal="center" vertical="center" wrapText="1"/>
      <protection hidden="1"/>
    </xf>
    <xf numFmtId="180" fontId="61" fillId="7" borderId="29" xfId="17" applyNumberFormat="1" applyFont="1" applyFill="1" applyBorder="1" applyAlignment="1" applyProtection="1">
      <alignment horizontal="center" vertical="center"/>
      <protection hidden="1"/>
    </xf>
    <xf numFmtId="0" fontId="35" fillId="3" borderId="29" xfId="17" applyFont="1" applyFill="1" applyBorder="1" applyAlignment="1" applyProtection="1">
      <alignment horizontal="center" vertical="center" wrapText="1"/>
      <protection hidden="1"/>
    </xf>
    <xf numFmtId="0" fontId="6" fillId="2" borderId="1" xfId="3" applyFont="1" applyFill="1" applyBorder="1" applyAlignment="1" applyProtection="1">
      <alignment horizontal="center" vertical="center" wrapText="1"/>
      <protection hidden="1"/>
    </xf>
    <xf numFmtId="0" fontId="6" fillId="2" borderId="9" xfId="3" applyFont="1" applyFill="1" applyBorder="1" applyAlignment="1" applyProtection="1">
      <alignment horizontal="center" vertical="center" wrapText="1"/>
      <protection hidden="1"/>
    </xf>
    <xf numFmtId="0" fontId="6" fillId="2" borderId="2" xfId="3" applyFont="1" applyFill="1" applyBorder="1" applyAlignment="1" applyProtection="1">
      <alignment horizontal="center" vertical="center" wrapText="1"/>
      <protection hidden="1"/>
    </xf>
    <xf numFmtId="0" fontId="6" fillId="2" borderId="3" xfId="3" applyFont="1" applyFill="1" applyBorder="1" applyAlignment="1" applyProtection="1">
      <alignment horizontal="center" vertical="center" wrapText="1"/>
      <protection hidden="1"/>
    </xf>
    <xf numFmtId="0" fontId="6" fillId="2" borderId="0" xfId="3" applyFont="1" applyFill="1" applyBorder="1" applyAlignment="1" applyProtection="1">
      <alignment horizontal="center" vertical="center" wrapText="1"/>
      <protection hidden="1"/>
    </xf>
    <xf numFmtId="0" fontId="6" fillId="2" borderId="4" xfId="3" applyFont="1" applyFill="1" applyBorder="1" applyAlignment="1" applyProtection="1">
      <alignment horizontal="center" vertical="center" wrapText="1"/>
      <protection hidden="1"/>
    </xf>
    <xf numFmtId="0" fontId="6" fillId="2" borderId="5" xfId="3" applyFont="1" applyFill="1" applyBorder="1" applyAlignment="1" applyProtection="1">
      <alignment horizontal="center" vertical="center" wrapText="1"/>
      <protection hidden="1"/>
    </xf>
    <xf numFmtId="0" fontId="6" fillId="2" borderId="10" xfId="3" applyFont="1" applyFill="1" applyBorder="1" applyAlignment="1" applyProtection="1">
      <alignment horizontal="center" vertical="center" wrapText="1"/>
      <protection hidden="1"/>
    </xf>
    <xf numFmtId="0" fontId="6" fillId="2" borderId="6" xfId="3" applyFont="1" applyFill="1" applyBorder="1" applyAlignment="1" applyProtection="1">
      <alignment horizontal="center" vertical="center" wrapText="1"/>
      <protection hidden="1"/>
    </xf>
    <xf numFmtId="0" fontId="61" fillId="3" borderId="29" xfId="17" applyFont="1" applyFill="1" applyBorder="1" applyAlignment="1" applyProtection="1">
      <alignment horizontal="center" vertical="center"/>
      <protection hidden="1"/>
    </xf>
    <xf numFmtId="0" fontId="35" fillId="3" borderId="29" xfId="17" applyFont="1" applyFill="1" applyBorder="1" applyAlignment="1" applyProtection="1">
      <alignment horizontal="center" vertical="center"/>
      <protection hidden="1"/>
    </xf>
    <xf numFmtId="0" fontId="61" fillId="3" borderId="29" xfId="17" applyFont="1" applyFill="1" applyBorder="1" applyAlignment="1" applyProtection="1">
      <alignment horizontal="center"/>
      <protection hidden="1"/>
    </xf>
    <xf numFmtId="180" fontId="35" fillId="0" borderId="0" xfId="17" applyNumberFormat="1" applyFont="1" applyBorder="1" applyAlignment="1" applyProtection="1">
      <alignment horizontal="center" vertical="center"/>
      <protection hidden="1"/>
    </xf>
    <xf numFmtId="0" fontId="37" fillId="4" borderId="15" xfId="17" applyFont="1" applyFill="1" applyBorder="1" applyAlignment="1" applyProtection="1">
      <alignment horizontal="left" vertical="center" wrapText="1"/>
      <protection hidden="1"/>
    </xf>
    <xf numFmtId="0" fontId="37" fillId="4" borderId="7" xfId="17" applyFont="1" applyFill="1" applyBorder="1" applyAlignment="1" applyProtection="1">
      <alignment horizontal="left" vertical="center" wrapText="1"/>
      <protection hidden="1"/>
    </xf>
    <xf numFmtId="0" fontId="37" fillId="4" borderId="16" xfId="17" applyFont="1" applyFill="1" applyBorder="1" applyAlignment="1" applyProtection="1">
      <alignment horizontal="left" vertical="center" wrapText="1"/>
      <protection hidden="1"/>
    </xf>
    <xf numFmtId="0" fontId="35" fillId="9" borderId="15" xfId="17" applyFont="1" applyFill="1" applyBorder="1" applyAlignment="1" applyProtection="1">
      <alignment horizontal="left" vertical="center" wrapText="1"/>
      <protection hidden="1"/>
    </xf>
    <xf numFmtId="0" fontId="35" fillId="9" borderId="7" xfId="17" applyFont="1" applyFill="1" applyBorder="1" applyAlignment="1" applyProtection="1">
      <alignment horizontal="left" vertical="center" wrapText="1"/>
      <protection hidden="1"/>
    </xf>
    <xf numFmtId="0" fontId="35" fillId="9" borderId="16" xfId="17" applyFont="1" applyFill="1" applyBorder="1" applyAlignment="1" applyProtection="1">
      <alignment horizontal="left" vertical="center" wrapText="1"/>
      <protection hidden="1"/>
    </xf>
    <xf numFmtId="0" fontId="35" fillId="3" borderId="15" xfId="17" applyFont="1" applyFill="1" applyBorder="1" applyAlignment="1" applyProtection="1">
      <alignment horizontal="center" vertical="center" wrapText="1"/>
      <protection hidden="1"/>
    </xf>
    <xf numFmtId="0" fontId="35" fillId="3" borderId="7" xfId="17" applyFont="1" applyFill="1" applyBorder="1" applyAlignment="1" applyProtection="1">
      <alignment horizontal="center" vertical="center" wrapText="1"/>
      <protection hidden="1"/>
    </xf>
    <xf numFmtId="0" fontId="35" fillId="3" borderId="16" xfId="17" applyFont="1" applyFill="1" applyBorder="1" applyAlignment="1" applyProtection="1">
      <alignment horizontal="center" vertical="center" wrapText="1"/>
      <protection hidden="1"/>
    </xf>
    <xf numFmtId="0" fontId="35" fillId="9" borderId="15" xfId="17" applyFont="1" applyFill="1" applyBorder="1" applyAlignment="1" applyProtection="1">
      <alignment vertical="center" wrapText="1"/>
      <protection hidden="1"/>
    </xf>
    <xf numFmtId="0" fontId="35" fillId="9" borderId="7" xfId="17" applyFont="1" applyFill="1" applyBorder="1" applyAlignment="1" applyProtection="1">
      <alignment vertical="center" wrapText="1"/>
      <protection hidden="1"/>
    </xf>
    <xf numFmtId="0" fontId="35" fillId="9" borderId="16" xfId="17" applyFont="1" applyFill="1" applyBorder="1" applyAlignment="1" applyProtection="1">
      <alignment vertical="center" wrapText="1"/>
      <protection hidden="1"/>
    </xf>
    <xf numFmtId="0" fontId="35" fillId="9" borderId="15" xfId="17" applyFont="1" applyFill="1" applyBorder="1" applyAlignment="1" applyProtection="1">
      <alignment horizontal="center" vertical="center" wrapText="1"/>
      <protection hidden="1"/>
    </xf>
    <xf numFmtId="0" fontId="35" fillId="9" borderId="7" xfId="17" applyFont="1" applyFill="1" applyBorder="1" applyAlignment="1" applyProtection="1">
      <alignment horizontal="center" vertical="center" wrapText="1"/>
      <protection hidden="1"/>
    </xf>
    <xf numFmtId="0" fontId="35" fillId="9" borderId="16" xfId="17" applyFont="1" applyFill="1" applyBorder="1" applyAlignment="1" applyProtection="1">
      <alignment horizontal="center" vertical="center" wrapText="1"/>
      <protection hidden="1"/>
    </xf>
  </cellXfs>
  <cellStyles count="39">
    <cellStyle name="Hipervínculo" xfId="28" builtinId="8"/>
    <cellStyle name="Hipervínculo 3" xfId="24" xr:uid="{00000000-0005-0000-0000-000001000000}"/>
    <cellStyle name="Millares" xfId="1" builtinId="3"/>
    <cellStyle name="Millares [0]" xfId="22" builtinId="6"/>
    <cellStyle name="Millares [0] 2" xfId="18" xr:uid="{00000000-0005-0000-0000-000004000000}"/>
    <cellStyle name="Millares [0] 2 2" xfId="32" xr:uid="{00000000-0005-0000-0000-000005000000}"/>
    <cellStyle name="Millares [0] 3" xfId="34" xr:uid="{00000000-0005-0000-0000-000006000000}"/>
    <cellStyle name="Millares 2" xfId="26" xr:uid="{00000000-0005-0000-0000-000007000000}"/>
    <cellStyle name="Millares 2 2" xfId="37" xr:uid="{00000000-0005-0000-0000-000008000000}"/>
    <cellStyle name="Millares 3" xfId="29" xr:uid="{00000000-0005-0000-0000-000009000000}"/>
    <cellStyle name="Millares 4" xfId="19" xr:uid="{00000000-0005-0000-0000-00000A000000}"/>
    <cellStyle name="Millares 4 2" xfId="25" xr:uid="{00000000-0005-0000-0000-00000B000000}"/>
    <cellStyle name="Millares 4 2 2" xfId="36" xr:uid="{00000000-0005-0000-0000-00000C000000}"/>
    <cellStyle name="Millares 4 3" xfId="33" xr:uid="{00000000-0005-0000-0000-00000D000000}"/>
    <cellStyle name="Millares_Formato Evaluacion LP No. 41 Biblioteca Belen" xfId="8" xr:uid="{00000000-0005-0000-0000-00000E000000}"/>
    <cellStyle name="Moneda [0]" xfId="23" builtinId="7"/>
    <cellStyle name="Moneda [0] 2" xfId="35" xr:uid="{00000000-0005-0000-0000-000010000000}"/>
    <cellStyle name="Moneda [0] 6" xfId="13" xr:uid="{00000000-0005-0000-0000-000011000000}"/>
    <cellStyle name="Moneda [0] 6 2" xfId="30" xr:uid="{00000000-0005-0000-0000-000012000000}"/>
    <cellStyle name="Moneda 11" xfId="12" xr:uid="{00000000-0005-0000-0000-000013000000}"/>
    <cellStyle name="Moneda 2" xfId="27" xr:uid="{00000000-0005-0000-0000-000014000000}"/>
    <cellStyle name="Moneda 2 2" xfId="38" xr:uid="{00000000-0005-0000-0000-000015000000}"/>
    <cellStyle name="Moneda 9 2" xfId="14" xr:uid="{00000000-0005-0000-0000-000016000000}"/>
    <cellStyle name="Moneda 9 2 2" xfId="31" xr:uid="{00000000-0005-0000-0000-000017000000}"/>
    <cellStyle name="Normal" xfId="0" builtinId="0"/>
    <cellStyle name="Normal 10 10 2" xfId="9" xr:uid="{00000000-0005-0000-0000-000019000000}"/>
    <cellStyle name="Normal 12 2" xfId="5" xr:uid="{00000000-0005-0000-0000-00001A000000}"/>
    <cellStyle name="Normal 12 2 3" xfId="6" xr:uid="{00000000-0005-0000-0000-00001B000000}"/>
    <cellStyle name="Normal 12 4" xfId="7" xr:uid="{00000000-0005-0000-0000-00001C000000}"/>
    <cellStyle name="Normal 14 2 4" xfId="17" xr:uid="{00000000-0005-0000-0000-00001D000000}"/>
    <cellStyle name="Normal 15" xfId="4" xr:uid="{00000000-0005-0000-0000-00001E000000}"/>
    <cellStyle name="Normal 18" xfId="10" xr:uid="{00000000-0005-0000-0000-00001F000000}"/>
    <cellStyle name="Normal 18 2" xfId="21" xr:uid="{00000000-0005-0000-0000-000020000000}"/>
    <cellStyle name="Normal 2 2" xfId="11" xr:uid="{00000000-0005-0000-0000-000021000000}"/>
    <cellStyle name="Normal_CONSOLIDADO  EVALUACIÓN LP 53 OBRA ADECUACIÓN Y MANTENIMIENTO DEL TEATRO LIDO" xfId="3" xr:uid="{00000000-0005-0000-0000-000022000000}"/>
    <cellStyle name="Porcentaje" xfId="2" builtinId="5"/>
    <cellStyle name="Porcentaje 2" xfId="15" xr:uid="{00000000-0005-0000-0000-000024000000}"/>
    <cellStyle name="Porcentaje 6" xfId="16" xr:uid="{00000000-0005-0000-0000-000025000000}"/>
    <cellStyle name="Porcentual 2 2 2" xfId="20" xr:uid="{00000000-0005-0000-0000-000026000000}"/>
  </cellStyles>
  <dxfs count="6818">
    <dxf>
      <fill>
        <patternFill>
          <bgColor rgb="FFFFFF00"/>
        </patternFill>
      </fill>
    </dxf>
    <dxf>
      <fill>
        <patternFill>
          <bgColor rgb="FFFF0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
      <font>
        <color theme="1"/>
      </font>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ont>
        <color theme="1"/>
      </font>
      <fill>
        <patternFill>
          <bgColor rgb="FFFF00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66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429629</xdr:colOff>
      <xdr:row>2</xdr:row>
      <xdr:rowOff>133350</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66675</xdr:rowOff>
    </xdr:from>
    <xdr:to>
      <xdr:col>1</xdr:col>
      <xdr:colOff>380565</xdr:colOff>
      <xdr:row>2</xdr:row>
      <xdr:rowOff>68550</xdr:rowOff>
    </xdr:to>
    <xdr:pic>
      <xdr:nvPicPr>
        <xdr:cNvPr id="2" name="3 Imagen" descr="log-udea2.G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 y="66675"/>
          <a:ext cx="556249" cy="84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55</xdr:col>
      <xdr:colOff>415636</xdr:colOff>
      <xdr:row>4</xdr:row>
      <xdr:rowOff>51955</xdr:rowOff>
    </xdr:from>
    <xdr:to>
      <xdr:col>56</xdr:col>
      <xdr:colOff>6425044</xdr:colOff>
      <xdr:row>7</xdr:row>
      <xdr:rowOff>1112160</xdr:rowOff>
    </xdr:to>
    <xdr:pic>
      <xdr:nvPicPr>
        <xdr:cNvPr id="12" name="image1.jpeg">
          <a:extLst>
            <a:ext uri="{FF2B5EF4-FFF2-40B4-BE49-F238E27FC236}">
              <a16:creationId xmlns:a16="http://schemas.microsoft.com/office/drawing/2014/main" id="{00000000-0008-0000-0700-00000C000000}"/>
            </a:ext>
          </a:extLst>
        </xdr:cNvPr>
        <xdr:cNvPicPr/>
      </xdr:nvPicPr>
      <xdr:blipFill>
        <a:blip xmlns:r="http://schemas.openxmlformats.org/officeDocument/2006/relationships" r:embed="rId1" cstate="print"/>
        <a:stretch>
          <a:fillRect/>
        </a:stretch>
      </xdr:blipFill>
      <xdr:spPr>
        <a:xfrm>
          <a:off x="89448409" y="1194955"/>
          <a:ext cx="6771408" cy="17875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107749</xdr:colOff>
      <xdr:row>1</xdr:row>
      <xdr:rowOff>31654</xdr:rowOff>
    </xdr:from>
    <xdr:ext cx="664715" cy="819993"/>
    <xdr:pic>
      <xdr:nvPicPr>
        <xdr:cNvPr id="2" name="3 Imagen" descr="log-udea2.GIF">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024" y="231679"/>
          <a:ext cx="664715" cy="81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ELETRABAJO_2020/11_PROCESO%20VA-013-2020/PROPUESTAS/2_Evaluacion%20VA-013-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ELETRABAJO_2020/APOYOS/Evaluaci&#243;n%20VA-119-2019_DEFINITIVO%20Abril%2021%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ENTREGA"/>
      <sheetName val="GUIA"/>
      <sheetName val="2_APERTURA DE SOBRES"/>
      <sheetName val="5,1. REQUISITOS JURÍDICOS"/>
      <sheetName val="5.2.1 EXPERIENCIA GRAL"/>
      <sheetName val="5.3 CAP FINANCIERA"/>
      <sheetName val="5.5 REQUISITOS COMERCIALES"/>
      <sheetName val="PRESUPUESTO"/>
      <sheetName val="VALORES UNITARIOS"/>
      <sheetName val="RESUMEN"/>
      <sheetName val="Cálculo Pt2"/>
      <sheetName val="10. EVALUACIÓN"/>
    </sheetNames>
    <sheetDataSet>
      <sheetData sheetId="0" refreshError="1">
        <row r="2">
          <cell r="A2" t="str">
            <v>Invitación Pública N° VA-013-2020</v>
          </cell>
        </row>
        <row r="8">
          <cell r="A8">
            <v>1</v>
          </cell>
        </row>
        <row r="9">
          <cell r="A9">
            <v>2</v>
          </cell>
        </row>
        <row r="10">
          <cell r="A10">
            <v>3</v>
          </cell>
        </row>
        <row r="11">
          <cell r="A11">
            <v>4</v>
          </cell>
        </row>
        <row r="12">
          <cell r="A12">
            <v>5</v>
          </cell>
        </row>
        <row r="13">
          <cell r="A13">
            <v>6</v>
          </cell>
        </row>
        <row r="14">
          <cell r="A14">
            <v>7</v>
          </cell>
        </row>
        <row r="15">
          <cell r="A15">
            <v>8</v>
          </cell>
        </row>
        <row r="16">
          <cell r="A16">
            <v>9</v>
          </cell>
        </row>
        <row r="17">
          <cell r="A17">
            <v>10</v>
          </cell>
        </row>
        <row r="18">
          <cell r="A18">
            <v>11</v>
          </cell>
        </row>
        <row r="19">
          <cell r="A19">
            <v>12</v>
          </cell>
        </row>
        <row r="20">
          <cell r="A20">
            <v>13</v>
          </cell>
        </row>
        <row r="21">
          <cell r="A21">
            <v>14</v>
          </cell>
        </row>
        <row r="22">
          <cell r="A22">
            <v>15</v>
          </cell>
        </row>
        <row r="23">
          <cell r="A23">
            <v>16</v>
          </cell>
        </row>
        <row r="24">
          <cell r="A24">
            <v>17</v>
          </cell>
        </row>
      </sheetData>
      <sheetData sheetId="1" refreshError="1"/>
      <sheetData sheetId="2" refreshError="1"/>
      <sheetData sheetId="3" refreshError="1"/>
      <sheetData sheetId="4" refreshError="1"/>
      <sheetData sheetId="5" refreshError="1"/>
      <sheetData sheetId="6" refreshError="1"/>
      <sheetData sheetId="7" refreshError="1">
        <row r="116">
          <cell r="G116">
            <v>1</v>
          </cell>
          <cell r="H116">
            <v>0</v>
          </cell>
        </row>
        <row r="117">
          <cell r="G117">
            <v>2</v>
          </cell>
          <cell r="H117">
            <v>0</v>
          </cell>
        </row>
        <row r="118">
          <cell r="G118">
            <v>3</v>
          </cell>
          <cell r="H118">
            <v>0</v>
          </cell>
        </row>
        <row r="119">
          <cell r="G119">
            <v>4</v>
          </cell>
          <cell r="H119">
            <v>0</v>
          </cell>
        </row>
        <row r="120">
          <cell r="G120">
            <v>5</v>
          </cell>
          <cell r="H120">
            <v>0</v>
          </cell>
        </row>
        <row r="121">
          <cell r="G121">
            <v>6</v>
          </cell>
          <cell r="H121">
            <v>0</v>
          </cell>
        </row>
        <row r="122">
          <cell r="G122">
            <v>7</v>
          </cell>
          <cell r="H122">
            <v>0</v>
          </cell>
        </row>
        <row r="123">
          <cell r="G123">
            <v>8</v>
          </cell>
          <cell r="H123">
            <v>0</v>
          </cell>
        </row>
        <row r="124">
          <cell r="G124">
            <v>9</v>
          </cell>
          <cell r="H124">
            <v>0</v>
          </cell>
        </row>
        <row r="125">
          <cell r="G125">
            <v>10</v>
          </cell>
          <cell r="H125">
            <v>0</v>
          </cell>
        </row>
        <row r="126">
          <cell r="G126">
            <v>11</v>
          </cell>
          <cell r="H126">
            <v>0</v>
          </cell>
        </row>
        <row r="127">
          <cell r="G127">
            <v>12</v>
          </cell>
          <cell r="H127">
            <v>0</v>
          </cell>
        </row>
        <row r="128">
          <cell r="G128">
            <v>13</v>
          </cell>
          <cell r="H128">
            <v>0</v>
          </cell>
        </row>
        <row r="129">
          <cell r="G129">
            <v>14</v>
          </cell>
          <cell r="H129">
            <v>0</v>
          </cell>
        </row>
        <row r="130">
          <cell r="G130">
            <v>15</v>
          </cell>
          <cell r="H130">
            <v>0</v>
          </cell>
        </row>
        <row r="131">
          <cell r="G131">
            <v>16</v>
          </cell>
          <cell r="H131">
            <v>0</v>
          </cell>
        </row>
        <row r="132">
          <cell r="G132">
            <v>17</v>
          </cell>
          <cell r="H132">
            <v>0</v>
          </cell>
        </row>
        <row r="133">
          <cell r="G133">
            <v>18</v>
          </cell>
          <cell r="H133">
            <v>0</v>
          </cell>
        </row>
        <row r="134">
          <cell r="G134">
            <v>19</v>
          </cell>
          <cell r="H134">
            <v>0</v>
          </cell>
        </row>
        <row r="135">
          <cell r="G135">
            <v>20</v>
          </cell>
          <cell r="H135">
            <v>0</v>
          </cell>
        </row>
        <row r="136">
          <cell r="G136">
            <v>21</v>
          </cell>
          <cell r="H136">
            <v>0</v>
          </cell>
        </row>
        <row r="137">
          <cell r="G137">
            <v>22</v>
          </cell>
          <cell r="H137">
            <v>0</v>
          </cell>
        </row>
        <row r="138">
          <cell r="G138">
            <v>23</v>
          </cell>
          <cell r="H138">
            <v>0</v>
          </cell>
        </row>
        <row r="139">
          <cell r="G139">
            <v>24</v>
          </cell>
          <cell r="H139">
            <v>0</v>
          </cell>
        </row>
        <row r="140">
          <cell r="G140">
            <v>25</v>
          </cell>
          <cell r="H140">
            <v>0</v>
          </cell>
        </row>
        <row r="141">
          <cell r="G141">
            <v>26</v>
          </cell>
          <cell r="H141">
            <v>0</v>
          </cell>
        </row>
        <row r="142">
          <cell r="G142">
            <v>27</v>
          </cell>
          <cell r="H142">
            <v>0</v>
          </cell>
        </row>
        <row r="143">
          <cell r="G143">
            <v>28</v>
          </cell>
          <cell r="H143">
            <v>0</v>
          </cell>
        </row>
        <row r="144">
          <cell r="G144">
            <v>29</v>
          </cell>
          <cell r="H144">
            <v>0</v>
          </cell>
        </row>
        <row r="145">
          <cell r="G145">
            <v>30</v>
          </cell>
          <cell r="H145">
            <v>0</v>
          </cell>
        </row>
      </sheetData>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ENTREGA"/>
      <sheetName val="2_APERTURA DE SOBRES"/>
      <sheetName val="5,1. REQUISITOS JURÍDICOS"/>
      <sheetName val="5.2.1 EXPERIENCIA GRAL"/>
      <sheetName val="5.3 CAP FINANCIERA"/>
      <sheetName val="5.4 REQUISITOS COMERCIALES"/>
      <sheetName val="V_UNITARIOS"/>
      <sheetName val="PRESUPUESTO"/>
      <sheetName val="RESUMEN"/>
      <sheetName val="Cálculo Pt2"/>
      <sheetName val="10. EVALUACIÓN"/>
    </sheetNames>
    <sheetDataSet>
      <sheetData sheetId="0"/>
      <sheetData sheetId="1"/>
      <sheetData sheetId="2"/>
      <sheetData sheetId="3"/>
      <sheetData sheetId="4"/>
      <sheetData sheetId="5"/>
      <sheetData sheetId="6">
        <row r="12">
          <cell r="KM12" t="str">
            <v>1</v>
          </cell>
          <cell r="KN12" t="str">
            <v xml:space="preserve">PINTURAS ACRÍLICAS </v>
          </cell>
          <cell r="KO12">
            <v>0</v>
          </cell>
          <cell r="KP12">
            <v>0</v>
          </cell>
          <cell r="KQ12">
            <v>0</v>
          </cell>
          <cell r="KR12">
            <v>0</v>
          </cell>
          <cell r="LD12" t="str">
            <v>1</v>
          </cell>
          <cell r="LE12" t="str">
            <v xml:space="preserve">PINTURAS ACRÍLICAS </v>
          </cell>
          <cell r="LF12">
            <v>0</v>
          </cell>
          <cell r="LG12">
            <v>0</v>
          </cell>
          <cell r="LH12">
            <v>0</v>
          </cell>
          <cell r="LI12">
            <v>0</v>
          </cell>
        </row>
        <row r="13">
          <cell r="KM13">
            <v>1.1000000000000001</v>
          </cell>
          <cell r="KN13" t="str">
            <v>Aplicación de PINTURA ACRÍLICA tipo KORAZA o equivalente para exteriores (hidrorepelente) de primera calidad que cumpla con la Norma NTC 1335, para ser aplicada sobre muros y techos, en superficies con revoque, estucadas, Drywall, Superboard, incluye: Suministro,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KO13" t="str">
            <v>m2</v>
          </cell>
          <cell r="KP13">
            <v>1</v>
          </cell>
          <cell r="KQ13">
            <v>10786.8</v>
          </cell>
          <cell r="KR13">
            <v>10786.8</v>
          </cell>
          <cell r="LD13">
            <v>1.1000000000000001</v>
          </cell>
          <cell r="LE13" t="str">
            <v>Aplicación de PINTURA ACRÍLICA tipo KORAZA o equivalente para exteriores (hidrorepelente) de primera calidad que cumpla con la Norma NTC 1335, para ser aplicada sobre muros y techos, en superficies con revoque, estucadas, Drywall, Superboard, incluye: Suministro,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LF13" t="str">
            <v>m2</v>
          </cell>
          <cell r="LG13">
            <v>1</v>
          </cell>
          <cell r="LH13">
            <v>18000</v>
          </cell>
          <cell r="LI13">
            <v>18000</v>
          </cell>
        </row>
        <row r="14">
          <cell r="KM14">
            <v>1.2</v>
          </cell>
          <cell r="KN14" t="str">
            <v>Aplicación de PINTURA ACRILICA, tipo Koraza para muros en ladrillo a la vista, incluye: Suministro, mano de obra, transporte horizontal y vertical, preparación de superficie, pintura acrílica sobre el  ladrillo, pintura acrílica color gris basalto para la pega de mortero, resanes, emporada, disolvente,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KO14" t="str">
            <v>m2</v>
          </cell>
          <cell r="KP14">
            <v>1</v>
          </cell>
          <cell r="KQ14">
            <v>11423.1</v>
          </cell>
          <cell r="KR14">
            <v>11423.1</v>
          </cell>
          <cell r="LD14">
            <v>1.2</v>
          </cell>
          <cell r="LE14" t="str">
            <v>Aplicación de PINTURA ACRILICA, tipo Koraza para muros en ladrillo a la vista, incluye: Suministro, mano de obra, transporte horizontal y vertical, preparación de superficie, pintura acrílica sobre el  ladrillo, pintura acrílica color gris basalto para la pega de mortero, resanes, emporada, disolvente,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LF14" t="str">
            <v>m2</v>
          </cell>
          <cell r="LG14">
            <v>1</v>
          </cell>
          <cell r="LH14">
            <v>19000</v>
          </cell>
          <cell r="LI14">
            <v>19000</v>
          </cell>
        </row>
        <row r="15">
          <cell r="KM15">
            <v>1.3</v>
          </cell>
          <cell r="KN15" t="str">
            <v>Aplicación de pintura acrílica para VIGAS Y COLUMNAS, tipo Koraza  incluye: Suministro, mano de obra, transporte horizontal y vertical, preparación de superficie, resanes, emporada,  pintura acrílica color gris basalto,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15" t="str">
            <v>m2</v>
          </cell>
          <cell r="KP15">
            <v>1</v>
          </cell>
          <cell r="KQ15">
            <v>10504</v>
          </cell>
          <cell r="KR15">
            <v>10504</v>
          </cell>
          <cell r="LD15">
            <v>1.3</v>
          </cell>
          <cell r="LE15" t="str">
            <v>Aplicación de pintura acrílica para VIGAS Y COLUMNAS, tipo Koraza  incluye: Suministro, mano de obra, transporte horizontal y vertical, preparación de superficie, resanes, emporada,  pintura acrílica color gris basalto,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15" t="str">
            <v>m2</v>
          </cell>
          <cell r="LG15">
            <v>1</v>
          </cell>
          <cell r="LH15">
            <v>23000</v>
          </cell>
          <cell r="LI15">
            <v>23000</v>
          </cell>
        </row>
        <row r="16">
          <cell r="KM16">
            <v>1.4</v>
          </cell>
          <cell r="KN16" t="str">
            <v>Aplicación de pintura acrílica para CALADOS A LA VISTA, tipo Koraza incluye: Suministro, mano de obra, transporte horizontal y vertical,  preparación de superficie, pintura acrílica color gris basalto,  resanes, emporada,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16" t="str">
            <v>m2</v>
          </cell>
          <cell r="KP16">
            <v>1</v>
          </cell>
          <cell r="KQ16">
            <v>10726.2</v>
          </cell>
          <cell r="KR16">
            <v>10726.2</v>
          </cell>
          <cell r="LD16">
            <v>1.4</v>
          </cell>
          <cell r="LE16" t="str">
            <v>Aplicación de pintura acrílica para CALADOS A LA VISTA, tipo Koraza incluye: Suministro, mano de obra, transporte horizontal y vertical,  preparación de superficie, pintura acrílica color gris basalto,  resanes, emporada,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16" t="str">
            <v>m2</v>
          </cell>
          <cell r="LG16">
            <v>1</v>
          </cell>
          <cell r="LH16">
            <v>18000</v>
          </cell>
          <cell r="LI16">
            <v>18000</v>
          </cell>
        </row>
        <row r="17">
          <cell r="KM17">
            <v>1.5</v>
          </cell>
          <cell r="KN17" t="str">
            <v>Aplicación de Pintura a base de aceite para PASAMANOS REDONDOS con diámetros entre 5cm y 8cm, tipo Pintulux. Incluye: Suministro, mano de obra, transporte horizontal y vertical, preparación de la superficie, pintura acrílica,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17" t="str">
            <v>m</v>
          </cell>
          <cell r="KP17">
            <v>1</v>
          </cell>
          <cell r="KQ17">
            <v>5878.2</v>
          </cell>
          <cell r="KR17">
            <v>5878.2</v>
          </cell>
          <cell r="LD17">
            <v>1.5</v>
          </cell>
          <cell r="LE17" t="str">
            <v>Aplicación de Pintura a base de aceite para PASAMANOS REDONDOS con diámetros entre 5cm y 8cm, tipo Pintulux. Incluye: Suministro, mano de obra, transporte horizontal y vertical, preparación de la superficie, pintura acrílica,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17" t="str">
            <v>m</v>
          </cell>
          <cell r="LG17">
            <v>1</v>
          </cell>
          <cell r="LH17">
            <v>22000</v>
          </cell>
          <cell r="LI17">
            <v>22000</v>
          </cell>
        </row>
        <row r="18">
          <cell r="KM18">
            <v>1.6</v>
          </cell>
          <cell r="KN18" t="str">
            <v>Aplicación de RECUBRIMIENTO PROTECTOR DE POLIURETANO (dos componentes relación A:B= 4:1) tipo Sikauretano o equivalente, sobre muros de bloque de concreto para protección antigrafiti, dos manos o las necesarias para lograr una buena protección a la intemperie a satisfacción de la interventoría, color transparente semi mate.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KO18" t="str">
            <v>m2</v>
          </cell>
          <cell r="KP18">
            <v>1</v>
          </cell>
          <cell r="KQ18">
            <v>12120</v>
          </cell>
          <cell r="KR18">
            <v>12120</v>
          </cell>
          <cell r="LD18">
            <v>1.6</v>
          </cell>
          <cell r="LE18" t="str">
            <v>Aplicación de RECUBRIMIENTO PROTECTOR DE POLIURETANO (dos componentes relación A:B= 4:1) tipo Sikauretano o equivalente, sobre muros de bloque de concreto para protección antigrafiti, dos manos o las necesarias para lograr una buena protección a la intemperie a satisfacción de la interventoría, color transparente semi mate.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LF18" t="str">
            <v>m2</v>
          </cell>
          <cell r="LG18">
            <v>1</v>
          </cell>
          <cell r="LH18">
            <v>30000</v>
          </cell>
          <cell r="LI18">
            <v>30000</v>
          </cell>
        </row>
        <row r="19">
          <cell r="KM19">
            <v>1.7</v>
          </cell>
          <cell r="KN19" t="str">
            <v>Pintura IMPERMEABILIZANTE de corona ref: 407251001, apta para resistir presión negativa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KO19" t="str">
            <v>m2</v>
          </cell>
          <cell r="KP19">
            <v>1</v>
          </cell>
          <cell r="KQ19">
            <v>14443</v>
          </cell>
          <cell r="KR19">
            <v>14443</v>
          </cell>
          <cell r="LD19">
            <v>1.7</v>
          </cell>
          <cell r="LE19" t="str">
            <v>Pintura IMPERMEABILIZANTE de corona ref: 407251001, apta para resistir presión negativa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LF19" t="str">
            <v>m2</v>
          </cell>
          <cell r="LG19">
            <v>1</v>
          </cell>
          <cell r="LH19">
            <v>40000</v>
          </cell>
          <cell r="LI19">
            <v>40000</v>
          </cell>
        </row>
        <row r="20">
          <cell r="KM20" t="str">
            <v>2</v>
          </cell>
          <cell r="KN20" t="str">
            <v>PINTURAS VINÍLICAS</v>
          </cell>
          <cell r="KO20">
            <v>0</v>
          </cell>
          <cell r="KP20">
            <v>0</v>
          </cell>
          <cell r="KQ20">
            <v>0</v>
          </cell>
          <cell r="KR20">
            <v>0</v>
          </cell>
          <cell r="LD20" t="str">
            <v>2</v>
          </cell>
          <cell r="LE20" t="str">
            <v>PINTURAS VINÍLICAS</v>
          </cell>
          <cell r="LF20">
            <v>0</v>
          </cell>
          <cell r="LG20">
            <v>0</v>
          </cell>
          <cell r="LH20">
            <v>0</v>
          </cell>
          <cell r="LI20">
            <v>0</v>
          </cell>
        </row>
        <row r="21">
          <cell r="KM21">
            <v>2.1</v>
          </cell>
          <cell r="KN21" t="str">
            <v>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v>
          </cell>
          <cell r="KO21" t="str">
            <v>m2</v>
          </cell>
          <cell r="KP21">
            <v>1</v>
          </cell>
          <cell r="KQ21">
            <v>10908</v>
          </cell>
          <cell r="KR21">
            <v>10908</v>
          </cell>
          <cell r="LD21">
            <v>2.1</v>
          </cell>
          <cell r="LE21" t="str">
            <v>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v>
          </cell>
          <cell r="LF21" t="str">
            <v>m2</v>
          </cell>
          <cell r="LG21">
            <v>1</v>
          </cell>
          <cell r="LH21">
            <v>17000</v>
          </cell>
          <cell r="LI21">
            <v>17000</v>
          </cell>
        </row>
        <row r="22">
          <cell r="KM22">
            <v>2.2000000000000002</v>
          </cell>
          <cell r="KN22" t="str">
            <v>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v>
          </cell>
          <cell r="KO22" t="str">
            <v>m2</v>
          </cell>
          <cell r="KP22">
            <v>1</v>
          </cell>
          <cell r="KQ22">
            <v>11514</v>
          </cell>
          <cell r="KR22">
            <v>11514</v>
          </cell>
          <cell r="LD22">
            <v>2.2000000000000002</v>
          </cell>
          <cell r="LE22" t="str">
            <v>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v>
          </cell>
          <cell r="LF22" t="str">
            <v>m2</v>
          </cell>
          <cell r="LG22">
            <v>1</v>
          </cell>
          <cell r="LH22">
            <v>16000</v>
          </cell>
          <cell r="LI22">
            <v>16000</v>
          </cell>
        </row>
        <row r="23">
          <cell r="KM23">
            <v>2.2999999999999998</v>
          </cell>
          <cell r="KN23" t="str">
            <v>Aplicación de PINTURA VINILICA tipo 1, para MUROS EN LADRILLO RANURADO A LA VISTA, incluye: Suministro, mano de obra, transporte horizontal y vertical, preparación de superficie, pintura vinílica tipo 1 sobre el  ladrillo, resanes, emporada,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KO23" t="str">
            <v>m2</v>
          </cell>
          <cell r="KP23">
            <v>1</v>
          </cell>
          <cell r="KQ23">
            <v>11312</v>
          </cell>
          <cell r="KR23">
            <v>11312</v>
          </cell>
          <cell r="LD23">
            <v>2.2999999999999998</v>
          </cell>
          <cell r="LE23" t="str">
            <v>Aplicación de PINTURA VINILICA tipo 1, para MUROS EN LADRILLO RANURADO A LA VISTA, incluye: Suministro, mano de obra, transporte horizontal y vertical, preparación de superficie, pintura vinílica tipo 1 sobre el  ladrillo, resanes, emporada,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LF23" t="str">
            <v>m2</v>
          </cell>
          <cell r="LG23">
            <v>1</v>
          </cell>
          <cell r="LH23">
            <v>16000</v>
          </cell>
          <cell r="LI23">
            <v>16000</v>
          </cell>
        </row>
        <row r="24">
          <cell r="KM24">
            <v>2.4</v>
          </cell>
          <cell r="KN24" t="str">
            <v>Aplicación de PINTURA VINILICA tipo 1 color GRIS BASALTO para VIGAS Y COLUMNAS, ancho entre 0.20 - 0.40 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24" t="str">
            <v>m</v>
          </cell>
          <cell r="KP24">
            <v>1</v>
          </cell>
          <cell r="KQ24">
            <v>10302</v>
          </cell>
          <cell r="KR24">
            <v>10302</v>
          </cell>
          <cell r="LD24">
            <v>2.4</v>
          </cell>
          <cell r="LE24" t="str">
            <v>Aplicación de PINTURA VINILICA tipo 1 color GRIS BASALTO para VIGAS Y COLUMNAS, ancho entre 0.20 - 0.40 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24" t="str">
            <v>m</v>
          </cell>
          <cell r="LG24">
            <v>1</v>
          </cell>
          <cell r="LH24">
            <v>8500</v>
          </cell>
          <cell r="LI24">
            <v>8500</v>
          </cell>
        </row>
        <row r="25">
          <cell r="KM25">
            <v>2.5</v>
          </cell>
          <cell r="KN25" t="str">
            <v>Aplicación de PINTURA VINILICA tipo 1 para CALADOS A LA VISTA,  incluye: Suministro, mano de obra, transporte horizontal y vertical,  preparación de superficie, pintura vinílica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25" t="str">
            <v>m2</v>
          </cell>
          <cell r="KP25">
            <v>1</v>
          </cell>
          <cell r="KQ25">
            <v>9292</v>
          </cell>
          <cell r="KR25">
            <v>9292</v>
          </cell>
          <cell r="LD25">
            <v>2.5</v>
          </cell>
          <cell r="LE25" t="str">
            <v>Aplicación de PINTURA VINILICA tipo 1 para CALADOS A LA VISTA,  incluye: Suministro, mano de obra, transporte horizontal y vertical,  preparación de superficie, pintura vinílica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25" t="str">
            <v>m2</v>
          </cell>
          <cell r="LG25">
            <v>1</v>
          </cell>
          <cell r="LH25">
            <v>14000</v>
          </cell>
          <cell r="LI25">
            <v>14000</v>
          </cell>
        </row>
        <row r="26">
          <cell r="KM26">
            <v>2.6</v>
          </cell>
          <cell r="KN26" t="str">
            <v>Pintura a base de CAL APAGADA para ser aplicada en edificios patrimoniales sobre CIELOS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6" t="str">
            <v>m2</v>
          </cell>
          <cell r="KP26">
            <v>1</v>
          </cell>
          <cell r="KQ26">
            <v>7575</v>
          </cell>
          <cell r="KR26">
            <v>7575</v>
          </cell>
          <cell r="LD26">
            <v>2.6</v>
          </cell>
          <cell r="LE26" t="str">
            <v>Pintura a base de CAL APAGADA para ser aplicada en edificios patrimoniales sobre CIELOS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6" t="str">
            <v>m2</v>
          </cell>
          <cell r="LG26">
            <v>1</v>
          </cell>
          <cell r="LH26">
            <v>12000</v>
          </cell>
          <cell r="LI26">
            <v>12000</v>
          </cell>
        </row>
        <row r="27">
          <cell r="KM27">
            <v>2.7</v>
          </cell>
          <cell r="KN27" t="str">
            <v>Pintura a base de CAL APAGADA para ser aplicada en edificios patrimoniales sobre MUROS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7" t="str">
            <v>m2</v>
          </cell>
          <cell r="KP27">
            <v>1</v>
          </cell>
          <cell r="KQ27">
            <v>75770.2</v>
          </cell>
          <cell r="KR27">
            <v>75770.2</v>
          </cell>
          <cell r="LD27">
            <v>2.7</v>
          </cell>
          <cell r="LE27" t="str">
            <v>Pintura a base de CAL APAGADA para ser aplicada en edificios patrimoniales sobre MUROS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7" t="str">
            <v>m2</v>
          </cell>
          <cell r="LG27">
            <v>1</v>
          </cell>
          <cell r="LH27">
            <v>11000</v>
          </cell>
          <cell r="LI27">
            <v>11000</v>
          </cell>
        </row>
        <row r="28">
          <cell r="KM28">
            <v>2.8</v>
          </cell>
          <cell r="KN28" t="str">
            <v>Pintura a base de CAL APAGADA para ser aplicada en edificios patrimoniales sobre cielos y muros (CENEFAS ENTRE 10cm y 15cm)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8" t="str">
            <v>m</v>
          </cell>
          <cell r="KP28">
            <v>1</v>
          </cell>
          <cell r="KQ28">
            <v>5282.3</v>
          </cell>
          <cell r="KR28">
            <v>5282.3</v>
          </cell>
          <cell r="LD28">
            <v>2.8</v>
          </cell>
          <cell r="LE28" t="str">
            <v>Pintura a base de CAL APAGADA para ser aplicada en edificios patrimoniales sobre cielos y muros (CENEFAS ENTRE 10cm y 15cm)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8" t="str">
            <v>m</v>
          </cell>
          <cell r="LG28">
            <v>1</v>
          </cell>
          <cell r="LH28">
            <v>6000</v>
          </cell>
          <cell r="LI28">
            <v>6000</v>
          </cell>
        </row>
        <row r="29">
          <cell r="KM29">
            <v>2.9</v>
          </cell>
          <cell r="KN29" t="str">
            <v>Pintura a base de CAL APAGADA para ser aplicada en edificios patrimoniales sobre cielos y muros (LÍNEAS EN CENEFA)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9" t="str">
            <v>m</v>
          </cell>
          <cell r="KP29">
            <v>1</v>
          </cell>
          <cell r="KQ29">
            <v>6363</v>
          </cell>
          <cell r="KR29">
            <v>6363</v>
          </cell>
          <cell r="LD29">
            <v>2.9</v>
          </cell>
          <cell r="LE29" t="str">
            <v>Pintura a base de CAL APAGADA para ser aplicada en edificios patrimoniales sobre cielos y muros (LÍNEAS EN CENEFA)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9" t="str">
            <v>m</v>
          </cell>
          <cell r="LG29">
            <v>1</v>
          </cell>
          <cell r="LH29">
            <v>6000</v>
          </cell>
          <cell r="LI29">
            <v>6000</v>
          </cell>
        </row>
        <row r="30">
          <cell r="KM30">
            <v>2.1</v>
          </cell>
          <cell r="KN30" t="str">
            <v>Pintura tipo ESMALTE transparente semi brillante aplicada en edificios patrimoniales sobre muros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v>
          </cell>
          <cell r="KO30" t="str">
            <v>m2</v>
          </cell>
          <cell r="KP30">
            <v>1</v>
          </cell>
          <cell r="KQ30">
            <v>12221</v>
          </cell>
          <cell r="KR30">
            <v>12221</v>
          </cell>
          <cell r="LD30">
            <v>2.1</v>
          </cell>
          <cell r="LE30" t="str">
            <v>Pintura tipo ESMALTE transparente semi brillante aplicada en edificios patrimoniales sobre muros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v>
          </cell>
          <cell r="LF30" t="str">
            <v>m2</v>
          </cell>
          <cell r="LG30">
            <v>1</v>
          </cell>
          <cell r="LH30">
            <v>22000</v>
          </cell>
          <cell r="LI30">
            <v>22000</v>
          </cell>
        </row>
        <row r="31">
          <cell r="KM31">
            <v>2.11</v>
          </cell>
          <cell r="KN31" t="str">
            <v>Aplicación de PINTURA VINÍLICA PARA GUARDAESCOBA e=10cm, incluye: Suministro, mano de obra, transporte horizontal y vertical, peparación de sperficie, pintura vinilica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31" t="str">
            <v>m</v>
          </cell>
          <cell r="KP31">
            <v>1</v>
          </cell>
          <cell r="KQ31">
            <v>3232</v>
          </cell>
          <cell r="KR31">
            <v>3232</v>
          </cell>
          <cell r="LD31">
            <v>2.11</v>
          </cell>
          <cell r="LE31" t="str">
            <v>Aplicación de PINTURA VINÍLICA PARA GUARDAESCOBA e=10cm, incluye: Suministro, mano de obra, transporte horizontal y vertical, peparación de sperficie, pintura vinilica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31" t="str">
            <v>m</v>
          </cell>
          <cell r="LG31">
            <v>1</v>
          </cell>
          <cell r="LH31">
            <v>6000</v>
          </cell>
          <cell r="LI31">
            <v>6000</v>
          </cell>
        </row>
        <row r="32">
          <cell r="KM32">
            <v>2.12</v>
          </cell>
          <cell r="KN32" t="str">
            <v>Aplicación de PINTURA VINÍLICA TIPO 1 para interiores 1 MANO, muros y cielos tipo viniltex o similar aplicada sobre superficies de revoque estucadas y superficies de Drywall y Superboard. Incluye: Suministro, mano de obra, transporte horizontal y vertical, preparación de superficie hasta garantizar un buen puente de adherencia, emporad, resanes, retiro de pintura existente de ser necesario, herramienta, equipo, retiro y reinstalación de cuadros, carteleras, clavos y todos los elementos necesarios para su correcta aplicación.  NO INCLUYE ANDAMIOS</v>
          </cell>
          <cell r="KO32" t="str">
            <v>m2</v>
          </cell>
          <cell r="KP32">
            <v>1</v>
          </cell>
          <cell r="KQ32">
            <v>7676</v>
          </cell>
          <cell r="KR32">
            <v>7676</v>
          </cell>
          <cell r="LD32">
            <v>2.12</v>
          </cell>
          <cell r="LE32" t="str">
            <v>Aplicación de PINTURA VINÍLICA TIPO 1 para interiores 1 MANO, muros y cielos tipo viniltex o similar aplicada sobre superficies de revoque estucadas y superficies de Drywall y Superboard. Incluye: Suministro, mano de obra, transporte horizontal y vertical, preparación de superficie hasta garantizar un buen puente de adherencia, emporad, resanes, retiro de pintura existente de ser necesario, herramienta, equipo, retiro y reinstalación de cuadros, carteleras, clavos y todos los elementos necesarios para su correcta aplicación.  NO INCLUYE ANDAMIOS</v>
          </cell>
          <cell r="LF32" t="str">
            <v>m2</v>
          </cell>
          <cell r="LG32">
            <v>1</v>
          </cell>
          <cell r="LH32">
            <v>13000</v>
          </cell>
          <cell r="LI32">
            <v>13000</v>
          </cell>
        </row>
        <row r="33">
          <cell r="KM33" t="str">
            <v>2.13</v>
          </cell>
          <cell r="KN33" t="str">
            <v>Suministro de MANO DE OBRA para aplicación de Pintura VINÍLICA a 2 manos en MUROS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KO33" t="str">
            <v>m2</v>
          </cell>
          <cell r="KP33">
            <v>1</v>
          </cell>
          <cell r="KQ33">
            <v>5151</v>
          </cell>
          <cell r="KR33">
            <v>5151</v>
          </cell>
          <cell r="LD33" t="str">
            <v>2.13</v>
          </cell>
          <cell r="LE33" t="str">
            <v>Suministro de MANO DE OBRA para aplicación de Pintura VINÍLICA a 2 manos en MUROS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LF33" t="str">
            <v>m2</v>
          </cell>
          <cell r="LG33">
            <v>1</v>
          </cell>
          <cell r="LH33">
            <v>12000</v>
          </cell>
          <cell r="LI33">
            <v>12000</v>
          </cell>
        </row>
        <row r="34">
          <cell r="KM34" t="str">
            <v>3</v>
          </cell>
          <cell r="KN34" t="str">
            <v>PINTURAS TIPO TRÁFICO  Y PINTURA PARA CANCHAS</v>
          </cell>
          <cell r="KO34">
            <v>0</v>
          </cell>
          <cell r="KP34">
            <v>0</v>
          </cell>
          <cell r="KQ34">
            <v>0</v>
          </cell>
          <cell r="KR34">
            <v>0</v>
          </cell>
          <cell r="LD34" t="str">
            <v>3</v>
          </cell>
          <cell r="LE34" t="str">
            <v>PINTURAS TIPO TRÁFICO  Y PINTURA PARA CANCHAS</v>
          </cell>
          <cell r="LF34">
            <v>0</v>
          </cell>
          <cell r="LG34">
            <v>0</v>
          </cell>
          <cell r="LH34">
            <v>0</v>
          </cell>
          <cell r="LI34">
            <v>0</v>
          </cell>
        </row>
        <row r="35">
          <cell r="KM35">
            <v>3.1</v>
          </cell>
          <cell r="KN35" t="str">
            <v>Aplicación de Pintura tipo TRÁFICO ACRÍLICA de pintuco o equivalente aplicada sobre superfices de CONCRETO,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de Pintuco o similar, marcaciónes necesarias según norma o especifiaciones de la interventoría, herramienta, equipo, retiro y reinstalación de cuadros, carteleras, clavos y todos los elementos necesarios para su correcta ejecución y funcionamiento.</v>
          </cell>
          <cell r="KO35" t="str">
            <v>m2</v>
          </cell>
          <cell r="KP35">
            <v>1</v>
          </cell>
          <cell r="KQ35">
            <v>35552</v>
          </cell>
          <cell r="KR35">
            <v>35552</v>
          </cell>
          <cell r="LD35">
            <v>3.1</v>
          </cell>
          <cell r="LE35" t="str">
            <v>Aplicación de Pintura tipo TRÁFICO ACRÍLICA de pintuco o equivalente aplicada sobre superfices de CONCRETO,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de Pintuco o similar, marcaciónes necesarias según norma o especifiaciones de la interventoría, herramienta, equipo, retiro y reinstalación de cuadros, carteleras, clavos y todos los elementos necesarios para su correcta ejecución y funcionamiento.</v>
          </cell>
          <cell r="LF35" t="str">
            <v>m2</v>
          </cell>
          <cell r="LG35">
            <v>1</v>
          </cell>
          <cell r="LH35">
            <v>38000</v>
          </cell>
          <cell r="LI35">
            <v>38000</v>
          </cell>
        </row>
        <row r="36">
          <cell r="KM36">
            <v>3.2</v>
          </cell>
          <cell r="KN36" t="str">
            <v>Aplicación de Pintura tipo TRÁFICO ACRÍLICA aplicada sobre superfices de ASFALTO,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Pintuco o similar, marcaciónes necesarias según norma o especifiaciones de la interventoría, herramienta, equipo y todos los elementos necesarios para su correcta ejecución y funcionamiento.</v>
          </cell>
          <cell r="KO36" t="str">
            <v>m2</v>
          </cell>
          <cell r="KP36">
            <v>1</v>
          </cell>
          <cell r="KQ36">
            <v>17675</v>
          </cell>
          <cell r="KR36">
            <v>17675</v>
          </cell>
          <cell r="LD36">
            <v>3.2</v>
          </cell>
          <cell r="LE36" t="str">
            <v>Aplicación de Pintura tipo TRÁFICO ACRÍLICA aplicada sobre superfices de ASFALTO,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Pintuco o similar, marcaciónes necesarias según norma o especifiaciones de la interventoría, herramienta, equipo y todos los elementos necesarios para su correcta ejecución y funcionamiento.</v>
          </cell>
          <cell r="LF36" t="str">
            <v>m2</v>
          </cell>
          <cell r="LG36">
            <v>1</v>
          </cell>
          <cell r="LH36">
            <v>38000</v>
          </cell>
          <cell r="LI36">
            <v>38000</v>
          </cell>
        </row>
        <row r="37">
          <cell r="KM37">
            <v>3.3</v>
          </cell>
          <cell r="KN37" t="str">
            <v>Aplicación de Pintura tipo TRÁFICO ACRÍLICA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KO37" t="str">
            <v>un</v>
          </cell>
          <cell r="KP37">
            <v>1</v>
          </cell>
          <cell r="KQ37">
            <v>353500</v>
          </cell>
          <cell r="KR37">
            <v>353500</v>
          </cell>
          <cell r="LD37">
            <v>3.3</v>
          </cell>
          <cell r="LE37" t="str">
            <v>Aplicación de Pintura tipo TRÁFICO ACRÍLICA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LF37" t="str">
            <v>un</v>
          </cell>
          <cell r="LG37">
            <v>1</v>
          </cell>
          <cell r="LH37">
            <v>420000</v>
          </cell>
          <cell r="LI37">
            <v>420000</v>
          </cell>
        </row>
        <row r="38">
          <cell r="KM38">
            <v>3.4</v>
          </cell>
          <cell r="KN38" t="str">
            <v>Aplicación de Pintura tipo TRÁFICO ACRÍLICA en elementos de señalización para PERSONAS CON MOVILIDAD REDUCIDA con medidas de 1,00m*1,00m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KO38" t="str">
            <v>un</v>
          </cell>
          <cell r="KP38">
            <v>1</v>
          </cell>
          <cell r="KQ38">
            <v>17372</v>
          </cell>
          <cell r="KR38">
            <v>17372</v>
          </cell>
          <cell r="LD38">
            <v>3.4</v>
          </cell>
          <cell r="LE38" t="str">
            <v>Aplicación de Pintura tipo TRÁFICO ACRÍLICA en elementos de señalización para PERSONAS CON MOVILIDAD REDUCIDA con medidas de 1,00m*1,00m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LF38" t="str">
            <v>un</v>
          </cell>
          <cell r="LG38">
            <v>1</v>
          </cell>
          <cell r="LH38">
            <v>75000</v>
          </cell>
          <cell r="LI38">
            <v>75000</v>
          </cell>
        </row>
        <row r="39">
          <cell r="KM39">
            <v>3.5</v>
          </cell>
          <cell r="KN39" t="str">
            <v>Aplicación de Pintura tipo TRÁFICO ACRÍLICA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KO39" t="str">
            <v>un</v>
          </cell>
          <cell r="KP39">
            <v>1</v>
          </cell>
          <cell r="KQ39">
            <v>454500</v>
          </cell>
          <cell r="KR39">
            <v>454500</v>
          </cell>
          <cell r="LD39">
            <v>3.5</v>
          </cell>
          <cell r="LE39" t="str">
            <v>Aplicación de Pintura tipo TRÁFICO ACRÍLICA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LF39" t="str">
            <v>un</v>
          </cell>
          <cell r="LG39">
            <v>1</v>
          </cell>
          <cell r="LH39">
            <v>650000</v>
          </cell>
          <cell r="LI39">
            <v>650000</v>
          </cell>
        </row>
        <row r="40">
          <cell r="KM40">
            <v>3.6</v>
          </cell>
          <cell r="KN40" t="str">
            <v>Aplicación de Pintura tipo TRÁFICO ACRÍLICA para demarcación de CELDAS DE PARQUEADERO. Incluye: Suministro, mano de obra, transporte horizontal y vertical, base sobre pavimento, Pintura tipo tráfico de referencias 13754 - 13757 Pintuco o similar,  preparación de la superficie hasta lograr un buen  puente de adherencia, herramienta, equipo y todos los elementos necesarios para su correcta ejecución y funcionamiento.</v>
          </cell>
          <cell r="KO40" t="str">
            <v>m</v>
          </cell>
          <cell r="KP40">
            <v>1</v>
          </cell>
          <cell r="KQ40">
            <v>2121</v>
          </cell>
          <cell r="KR40">
            <v>2121</v>
          </cell>
          <cell r="LD40">
            <v>3.6</v>
          </cell>
          <cell r="LE40" t="str">
            <v>Aplicación de Pintura tipo TRÁFICO ACRÍLICA para demarcación de CELDAS DE PARQUEADERO. Incluye: Suministro, mano de obra, transporte horizontal y vertical, base sobre pavimento, Pintura tipo tráfico de referencias 13754 - 13757 Pintuco o similar,  preparación de la superficie hasta lograr un buen  puente de adherencia, herramienta, equipo y todos los elementos necesarios para su correcta ejecución y funcionamiento.</v>
          </cell>
          <cell r="LF40" t="str">
            <v>m</v>
          </cell>
          <cell r="LG40">
            <v>1</v>
          </cell>
          <cell r="LH40">
            <v>5000</v>
          </cell>
          <cell r="LI40">
            <v>5000</v>
          </cell>
        </row>
        <row r="41">
          <cell r="KM41">
            <v>3.7</v>
          </cell>
          <cell r="KN41" t="str">
            <v>Aplicación de Pintura Acrílica para CANCHAS ANTIDESLIZANTE antiderrapante para concreto no esmaltado, incluye: suministro,mano de obra, transporte horizontal y vertical, preparación de la superficie hasta lograr un buen  puente de adherencia, lavada de superficie con jabón neutro o equivalente, Imprimante o base para aplicación de pintura, aplicación de tres manos de pintura para canchas, marcaciónes necesarias según norma o especifiaciones de la interventoría, herramienta, equipo y todos los elementos necesarios para su correcta ejecución y funcionamiento.</v>
          </cell>
          <cell r="KO41" t="str">
            <v>m2</v>
          </cell>
          <cell r="KP41">
            <v>1</v>
          </cell>
          <cell r="KQ41">
            <v>32522</v>
          </cell>
          <cell r="KR41">
            <v>32522</v>
          </cell>
          <cell r="LD41">
            <v>3.7</v>
          </cell>
          <cell r="LE41" t="str">
            <v>Aplicación de Pintura Acrílica para CANCHAS ANTIDESLIZANTE antiderrapante para concreto no esmaltado, incluye: suministro,mano de obra, transporte horizontal y vertical, preparación de la superficie hasta lograr un buen  puente de adherencia, lavada de superficie con jabón neutro o equivalente, Imprimante o base para aplicación de pintura, aplicación de tres manos de pintura para canchas, marcaciónes necesarias según norma o especifiaciones de la interventoría, herramienta, equipo y todos los elementos necesarios para su correcta ejecución y funcionamiento.</v>
          </cell>
          <cell r="LF41" t="str">
            <v>m2</v>
          </cell>
          <cell r="LG41">
            <v>1</v>
          </cell>
          <cell r="LH41">
            <v>45000</v>
          </cell>
          <cell r="LI41">
            <v>45000</v>
          </cell>
        </row>
        <row r="42">
          <cell r="KM42">
            <v>3.8</v>
          </cell>
          <cell r="KN42" t="str">
            <v>Aplicación de Pintura tipo TRÁFICO PLÁSTICO EN FRÍO en elementos de señalización para FLECHAS EN UN SENTIDO de circulación de 5m de lontigud. Incluye: Suministro, mano de obra, transporte horizontal y vertical, base sobre pavimento, preparación de la superficie hasta lograr un buen  puente de adherencia, fondo blanco, logo, líneas de separación, Pintura tipo pintutráfico plástico en frío con llana de referencias 13760 Pintuco o similar, marcaciones necesarias según norma o especifiaciones de la interventoría, herramienta, equipo y todos los elementos necesarios para su correcta ejecución y funcionamiento.</v>
          </cell>
          <cell r="KO42" t="str">
            <v>un</v>
          </cell>
          <cell r="KP42">
            <v>1</v>
          </cell>
          <cell r="KQ42">
            <v>79790</v>
          </cell>
          <cell r="KR42">
            <v>79790</v>
          </cell>
          <cell r="LD42">
            <v>3.8</v>
          </cell>
          <cell r="LE42" t="str">
            <v>Aplicación de Pintura tipo TRÁFICO PLÁSTICO EN FRÍO en elementos de señalización para FLECHAS EN UN SENTIDO de circulación de 5m de lontigud. Incluye: Suministro, mano de obra, transporte horizontal y vertical, base sobre pavimento, preparación de la superficie hasta lograr un buen  puente de adherencia, fondo blanco, logo, líneas de separación, Pintura tipo pintutráfico plástico en frío con llana de referencias 13760 Pintuco o similar, marcaciones necesarias según norma o especifiaciones de la interventoría, herramienta, equipo y todos los elementos necesarios para su correcta ejecución y funcionamiento.</v>
          </cell>
          <cell r="LF42" t="str">
            <v>un</v>
          </cell>
          <cell r="LG42">
            <v>1</v>
          </cell>
          <cell r="LH42">
            <v>45000</v>
          </cell>
          <cell r="LI42">
            <v>45000</v>
          </cell>
        </row>
        <row r="43">
          <cell r="KM43">
            <v>3.9</v>
          </cell>
          <cell r="KN43" t="str">
            <v>Aplicación de Pintura TRÁFICO PLÁSTICO EN FRÍO en llana para demarcación de PASOS PEATONALES a = 0,40m , lineas de pare en porterias . Incluye: Suministro, mano de obra, transporte horizontal y vertical, base sobre pavimento, pintura tipo pintutráfico plástico en frío con llana de referencia 13760 Pintuco o equivalente, preparación de la superficie hasta lograr un buen puente de adherencia, herramienta, equipo y todos los elementos necesarios para su correcta ejecución y funcionamiento.</v>
          </cell>
          <cell r="KO43" t="str">
            <v>m</v>
          </cell>
          <cell r="KP43">
            <v>1</v>
          </cell>
          <cell r="KQ43">
            <v>42420</v>
          </cell>
          <cell r="KR43">
            <v>42420</v>
          </cell>
          <cell r="LD43">
            <v>3.9</v>
          </cell>
          <cell r="LE43" t="str">
            <v>Aplicación de Pintura TRÁFICO PLÁSTICO EN FRÍO en llana para demarcación de PASOS PEATONALES a = 0,40m , lineas de pare en porterias . Incluye: Suministro, mano de obra, transporte horizontal y vertical, base sobre pavimento, pintura tipo pintutráfico plástico en frío con llana de referencia 13760 Pintuco o equivalente, preparación de la superficie hasta lograr un buen puente de adherencia, herramienta, equipo y todos los elementos necesarios para su correcta ejecución y funcionamiento.</v>
          </cell>
          <cell r="LF43" t="str">
            <v>m</v>
          </cell>
          <cell r="LG43">
            <v>1</v>
          </cell>
          <cell r="LH43">
            <v>18000</v>
          </cell>
          <cell r="LI43">
            <v>18000</v>
          </cell>
        </row>
        <row r="44">
          <cell r="KM44">
            <v>3.1</v>
          </cell>
          <cell r="KN44" t="str">
            <v>Aplicacióon de Pintura tipo TRÁFICO PLÁSTICO EN FRÍO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pintutráfico plástico en frío con llana  de referencias 13754-13757-13760 Pintuco o similar, marcaciones necesarias según norma o especifiaciones de la interventoría, herramienta, equipo y todos los elementos necesarios para su correcta ejecución y funcionamiento.</v>
          </cell>
          <cell r="KO44" t="str">
            <v>un</v>
          </cell>
          <cell r="KP44">
            <v>1</v>
          </cell>
          <cell r="KQ44">
            <v>1111000</v>
          </cell>
          <cell r="KR44">
            <v>1111000</v>
          </cell>
          <cell r="LD44">
            <v>3.1</v>
          </cell>
          <cell r="LE44" t="str">
            <v>Aplicacióon de Pintura tipo TRÁFICO PLÁSTICO EN FRÍO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pintutráfico plástico en frío con llana  de referencias 13754-13757-13760 Pintuco o similar, marcaciones necesarias según norma o especifiaciones de la interventoría, herramienta, equipo y todos los elementos necesarios para su correcta ejecución y funcionamiento.</v>
          </cell>
          <cell r="LF44" t="str">
            <v>un</v>
          </cell>
          <cell r="LG44">
            <v>1</v>
          </cell>
          <cell r="LH44">
            <v>650000</v>
          </cell>
          <cell r="LI44">
            <v>650000</v>
          </cell>
        </row>
        <row r="45">
          <cell r="KM45">
            <v>3.11</v>
          </cell>
          <cell r="KN45" t="str">
            <v>Aplicación de Pintura tipo TRÁFICO PLÁSTICO EN FRÍO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Pintutráfico plástica en frío con llana de referencias 13760 Pintuco o similar, marcaciones necesarias según norma o especifiaciones de la interventoría, herramienta, equipo y todos los elementos necesarios para su correcta ejecución y funcionamiento.</v>
          </cell>
          <cell r="KO45" t="str">
            <v>un</v>
          </cell>
          <cell r="KP45">
            <v>1</v>
          </cell>
          <cell r="KQ45">
            <v>911020</v>
          </cell>
          <cell r="KR45">
            <v>911020</v>
          </cell>
          <cell r="LD45">
            <v>3.11</v>
          </cell>
          <cell r="LE45" t="str">
            <v>Aplicación de Pintura tipo TRÁFICO PLÁSTICO EN FRÍO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Pintutráfico plástica en frío con llana de referencias 13760 Pintuco o similar, marcaciones necesarias según norma o especifiaciones de la interventoría, herramienta, equipo y todos los elementos necesarios para su correcta ejecución y funcionamiento.</v>
          </cell>
          <cell r="LF45" t="str">
            <v>un</v>
          </cell>
          <cell r="LG45">
            <v>1</v>
          </cell>
          <cell r="LH45">
            <v>535000</v>
          </cell>
          <cell r="LI45">
            <v>535000</v>
          </cell>
        </row>
        <row r="46">
          <cell r="KM46">
            <v>3.12</v>
          </cell>
          <cell r="KN46" t="str">
            <v>Aplición de Pintura tipo TRÁFICO PLÁSTICO EN FRÍO en elementos de señalización para PERSONAS CON MOVIIDAD REDUCIDA con medidas de 1,00m de largo y entre 1,10 de ancho Incluye: Suministro, mano de obra, transporte horizontal y vertical, base sobre pavimento, preparación de la superficie hasta lograr un buen  puente de adherencia, fondo azul, logo, líneas de separación, Pintura tipo pintutráfico plástico en frío con llana  de referencias 13754-13757-13760 Pintuco o similar, marcaciónes necesarias según norma o especifiaciones de la interventoría, herramienta, equipo y todos los elementos necesarios para su correcta ejecución y funcionamiento.</v>
          </cell>
          <cell r="KO46" t="str">
            <v>und</v>
          </cell>
          <cell r="KP46">
            <v>1</v>
          </cell>
          <cell r="KQ46">
            <v>90122.3</v>
          </cell>
          <cell r="KR46">
            <v>90122.3</v>
          </cell>
          <cell r="LD46">
            <v>3.12</v>
          </cell>
          <cell r="LE46" t="str">
            <v>Aplición de Pintura tipo TRÁFICO PLÁSTICO EN FRÍO en elementos de señalización para PERSONAS CON MOVIIDAD REDUCIDA con medidas de 1,00m de largo y entre 1,10 de ancho Incluye: Suministro, mano de obra, transporte horizontal y vertical, base sobre pavimento, preparación de la superficie hasta lograr un buen  puente de adherencia, fondo azul, logo, líneas de separación, Pintura tipo pintutráfico plástico en frío con llana  de referencias 13754-13757-13760 Pintuco o similar, marcaciónes necesarias según norma o especifiaciones de la interventoría, herramienta, equipo y todos los elementos necesarios para su correcta ejecución y funcionamiento.</v>
          </cell>
          <cell r="LF46" t="str">
            <v>und</v>
          </cell>
          <cell r="LG46">
            <v>1</v>
          </cell>
          <cell r="LH46">
            <v>49500.000000000007</v>
          </cell>
          <cell r="LI46">
            <v>49500.000000000007</v>
          </cell>
        </row>
        <row r="47">
          <cell r="KM47">
            <v>3.13</v>
          </cell>
          <cell r="KN47" t="str">
            <v>Aplicación de Pintura tipo TRÁFICO PLÁSTICO EN FRÍO en elementos de señalización para ZONA DE PARQUEO PROHIBIDA. Incluye: Suministro, mano de obra, transporte horizontal y vertical, base sobre pavimento, preparación de la superficie hasta lograr un buen  puente de adherencia, fondo blanco, logo, líneas de separación, Pintura tipo pintutráfico plástico en frío en llana de referencias 113760 Pintuco o similar, marcaciones necesarias según norma o especifiaciones de la interventoría, herramienta, equipo y todos los elementos necesarios para su correcta ejecución y funcionamiento.</v>
          </cell>
          <cell r="KO47" t="str">
            <v>un</v>
          </cell>
          <cell r="KP47">
            <v>1</v>
          </cell>
          <cell r="KQ47">
            <v>186850</v>
          </cell>
          <cell r="KR47">
            <v>186850</v>
          </cell>
          <cell r="LD47">
            <v>3.13</v>
          </cell>
          <cell r="LE47" t="str">
            <v>Aplicación de Pintura tipo TRÁFICO PLÁSTICO EN FRÍO en elementos de señalización para ZONA DE PARQUEO PROHIBIDA. Incluye: Suministro, mano de obra, transporte horizontal y vertical, base sobre pavimento, preparación de la superficie hasta lograr un buen  puente de adherencia, fondo blanco, logo, líneas de separación, Pintura tipo pintutráfico plástico en frío en llana de referencias 113760 Pintuco o similar, marcaciones necesarias según norma o especifiaciones de la interventoría, herramienta, equipo y todos los elementos necesarios para su correcta ejecución y funcionamiento.</v>
          </cell>
          <cell r="LF47" t="str">
            <v>un</v>
          </cell>
          <cell r="LG47">
            <v>1</v>
          </cell>
          <cell r="LH47">
            <v>560000</v>
          </cell>
          <cell r="LI47">
            <v>560000</v>
          </cell>
        </row>
        <row r="48">
          <cell r="KM48">
            <v>3.14</v>
          </cell>
          <cell r="KN48" t="str">
            <v>Aplicación de Pintura tipo TRÁFICO PLÁSTICO EN FRÍO  para demarcación de CELDAS DE PARQUEADERO Y LÍNEAD DE TROTE, 10 cm de ancho. Incluye: Suministro, mano de obra, transporte horizontal y vertical, base sobre pavimento, pintura tipo pintutráfico plástico en frío en llana de referencia 13760 Pintuco, preparación de la superficie hasta lograr un buen puente de adherencia, herramienta, equipo y todos los elementos necesarios para su correcta ejecución y funcionamiento.</v>
          </cell>
          <cell r="KO48" t="str">
            <v>m</v>
          </cell>
          <cell r="KP48">
            <v>1</v>
          </cell>
          <cell r="KQ48">
            <v>21715</v>
          </cell>
          <cell r="KR48">
            <v>21715</v>
          </cell>
          <cell r="LD48">
            <v>3.14</v>
          </cell>
          <cell r="LE48" t="str">
            <v>Aplicación de Pintura tipo TRÁFICO PLÁSTICO EN FRÍO  para demarcación de CELDAS DE PARQUEADERO Y LÍNEAD DE TROTE, 10 cm de ancho. Incluye: Suministro, mano de obra, transporte horizontal y vertical, base sobre pavimento, pintura tipo pintutráfico plástico en frío en llana de referencia 13760 Pintuco, preparación de la superficie hasta lograr un buen puente de adherencia, herramienta, equipo y todos los elementos necesarios para su correcta ejecución y funcionamiento.</v>
          </cell>
          <cell r="LF48" t="str">
            <v>m</v>
          </cell>
          <cell r="LG48">
            <v>1</v>
          </cell>
          <cell r="LH48">
            <v>7000</v>
          </cell>
          <cell r="LI48">
            <v>7000</v>
          </cell>
        </row>
        <row r="49">
          <cell r="KM49" t="str">
            <v>4</v>
          </cell>
          <cell r="KN49" t="str">
            <v>PINTURAS EPÓXICAS Y ANTIHUMEDAD</v>
          </cell>
          <cell r="KO49">
            <v>0</v>
          </cell>
          <cell r="KP49">
            <v>0</v>
          </cell>
          <cell r="KQ49">
            <v>0</v>
          </cell>
          <cell r="KR49">
            <v>0</v>
          </cell>
          <cell r="LD49" t="str">
            <v>4</v>
          </cell>
          <cell r="LE49" t="str">
            <v>PINTURAS EPÓXICAS Y ANTIHUMEDAD</v>
          </cell>
          <cell r="LF49">
            <v>0</v>
          </cell>
          <cell r="LG49">
            <v>0</v>
          </cell>
          <cell r="LH49">
            <v>0</v>
          </cell>
          <cell r="LI49">
            <v>0</v>
          </cell>
        </row>
        <row r="50">
          <cell r="KM50">
            <v>4.0999999999999996</v>
          </cell>
          <cell r="KN50" t="str">
            <v>Aplicación de PINTURA EPÓXICA EN MUROS (dos componentes proporción 1:3, no tóxica) tipo epoxiconstrucción de pintuco o equivalente, de primera calidad, semimate, sobre estuco plástico, 2 a 3 manos o las necesarias para lograr una superficie pareja a satisfacción de la interventoría, color blanco.</v>
          </cell>
          <cell r="KO50" t="str">
            <v>m2</v>
          </cell>
          <cell r="KP50">
            <v>1</v>
          </cell>
          <cell r="KQ50">
            <v>26260</v>
          </cell>
          <cell r="KR50">
            <v>26260</v>
          </cell>
          <cell r="LD50">
            <v>4.0999999999999996</v>
          </cell>
          <cell r="LE50" t="str">
            <v>Aplicación de PINTURA EPÓXICA EN MUROS (dos componentes proporción 1:3, no tóxica) tipo epoxiconstrucción de pintuco o equivalente, de primera calidad, semimate, sobre estuco plástico, 2 a 3 manos o las necesarias para lograr una superficie pareja a satisfacción de la interventoría, color blanco.</v>
          </cell>
          <cell r="LF50" t="str">
            <v>m2</v>
          </cell>
          <cell r="LG50">
            <v>1</v>
          </cell>
          <cell r="LH50">
            <v>48000</v>
          </cell>
          <cell r="LI50">
            <v>48000</v>
          </cell>
        </row>
        <row r="51">
          <cell r="KM51">
            <v>4.2</v>
          </cell>
          <cell r="KN51" t="str">
            <v>Aplicación de PINTURA EPÓXICA EN CIELOS (dos componentes proporción 1:3, no tóxica) tipo epoxiconstrucción de pintuco o equivalente, semimate, sobre estuco plástico, 2 a 3 manos o las necesarias para lograr una superficie pareja a satisfacción de la interventoría, color blanco.</v>
          </cell>
          <cell r="KO51" t="str">
            <v>m2</v>
          </cell>
          <cell r="KP51">
            <v>1</v>
          </cell>
          <cell r="KQ51">
            <v>28280</v>
          </cell>
          <cell r="KR51">
            <v>28280</v>
          </cell>
          <cell r="LD51">
            <v>4.2</v>
          </cell>
          <cell r="LE51" t="str">
            <v>Aplicación de PINTURA EPÓXICA EN CIELOS (dos componentes proporción 1:3, no tóxica) tipo epoxiconstrucción de pintuco o equivalente, semimate, sobre estuco plástico, 2 a 3 manos o las necesarias para lograr una superficie pareja a satisfacción de la interventoría, color blanco.</v>
          </cell>
          <cell r="LF51" t="str">
            <v>m2</v>
          </cell>
          <cell r="LG51">
            <v>1</v>
          </cell>
          <cell r="LH51">
            <v>53000</v>
          </cell>
          <cell r="LI51">
            <v>53000</v>
          </cell>
        </row>
        <row r="52">
          <cell r="KM52">
            <v>4.3</v>
          </cell>
          <cell r="KN52" t="str">
            <v>Aplicación de Pintura tipo ANTIHUMEDAD, para muros,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KO52" t="str">
            <v>m2</v>
          </cell>
          <cell r="KP52">
            <v>1</v>
          </cell>
          <cell r="KQ52">
            <v>11312</v>
          </cell>
          <cell r="KR52">
            <v>11312</v>
          </cell>
          <cell r="LD52">
            <v>4.3</v>
          </cell>
          <cell r="LE52" t="str">
            <v>Aplicación de Pintura tipo ANTIHUMEDAD, para muros,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LF52" t="str">
            <v>m2</v>
          </cell>
          <cell r="LG52">
            <v>1</v>
          </cell>
          <cell r="LH52">
            <v>20000</v>
          </cell>
          <cell r="LI52">
            <v>20000</v>
          </cell>
        </row>
        <row r="53">
          <cell r="KM53">
            <v>4.4000000000000004</v>
          </cell>
          <cell r="KN53" t="str">
            <v>Aplicación de Pintura tipo ANTIHUMEDAD, para cielos,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KO53" t="str">
            <v>m2</v>
          </cell>
          <cell r="KP53">
            <v>1</v>
          </cell>
          <cell r="KQ53">
            <v>12322</v>
          </cell>
          <cell r="KR53">
            <v>12322</v>
          </cell>
          <cell r="LD53">
            <v>4.4000000000000004</v>
          </cell>
          <cell r="LE53" t="str">
            <v>Aplicación de Pintura tipo ANTIHUMEDAD, para cielos,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LF53" t="str">
            <v>m2</v>
          </cell>
          <cell r="LG53">
            <v>1</v>
          </cell>
          <cell r="LH53">
            <v>22000</v>
          </cell>
          <cell r="LI53">
            <v>22000</v>
          </cell>
        </row>
        <row r="54">
          <cell r="KM54" t="str">
            <v>4.5</v>
          </cell>
          <cell r="KN54" t="str">
            <v>Suministro de MANO DE OBRA para aplicación de Pintura EPÓXICA a 2 manos en MUOS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KO54" t="str">
            <v>m2</v>
          </cell>
          <cell r="KP54">
            <v>1</v>
          </cell>
          <cell r="KQ54">
            <v>9039.5</v>
          </cell>
          <cell r="KR54">
            <v>9039.5</v>
          </cell>
          <cell r="LD54" t="str">
            <v>4.5</v>
          </cell>
          <cell r="LE54" t="str">
            <v>Suministro de MANO DE OBRA para aplicación de Pintura EPÓXICA a 2 manos en MUOS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LF54" t="str">
            <v>m2</v>
          </cell>
          <cell r="LG54">
            <v>1</v>
          </cell>
          <cell r="LH54">
            <v>45000</v>
          </cell>
          <cell r="LI54">
            <v>45000</v>
          </cell>
        </row>
        <row r="55">
          <cell r="KM55" t="str">
            <v>5</v>
          </cell>
          <cell r="KN55" t="str">
            <v>PINTURAS ESMALTE</v>
          </cell>
          <cell r="KO55">
            <v>0</v>
          </cell>
          <cell r="KP55">
            <v>0</v>
          </cell>
          <cell r="KQ55">
            <v>0</v>
          </cell>
          <cell r="KR55">
            <v>0</v>
          </cell>
          <cell r="LD55" t="str">
            <v>5</v>
          </cell>
          <cell r="LE55" t="str">
            <v>PINTURAS ESMALTE</v>
          </cell>
          <cell r="LF55">
            <v>0</v>
          </cell>
          <cell r="LG55">
            <v>0</v>
          </cell>
          <cell r="LH55">
            <v>0</v>
          </cell>
          <cell r="LI55">
            <v>0</v>
          </cell>
        </row>
        <row r="56">
          <cell r="KM56" t="str">
            <v>5,1</v>
          </cell>
          <cell r="KN56" t="str">
            <v>Aplicación de ESMALTE A BASE DE ACEITE, sobre PUERTAS EN MADERA Y MARCOS METÁLICOS,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KO56" t="str">
            <v>m2</v>
          </cell>
          <cell r="KP56">
            <v>1</v>
          </cell>
          <cell r="KQ56">
            <v>8059.8</v>
          </cell>
          <cell r="KR56">
            <v>8059.8</v>
          </cell>
          <cell r="LD56" t="str">
            <v>5,1</v>
          </cell>
          <cell r="LE56" t="str">
            <v>Aplicación de ESMALTE A BASE DE ACEITE, sobre PUERTAS EN MADERA Y MARCOS METÁLICOS,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LF56" t="str">
            <v>m2</v>
          </cell>
          <cell r="LG56">
            <v>1</v>
          </cell>
          <cell r="LH56">
            <v>40000</v>
          </cell>
          <cell r="LI56">
            <v>40000</v>
          </cell>
        </row>
        <row r="57">
          <cell r="KM57">
            <v>5.2</v>
          </cell>
          <cell r="KN57" t="str">
            <v>Aplicación de ESMALTE A BASE DE ACEITE, sobre CORTINAS ENROLLABLES METÁLICASs,  Incluye suministro, mano de obra, transporte horizontal y vertical, acondicionador de superficies metálicas Tipo Wash Primer o equivelente, pistola para la aplicación de la pintura, disolvente para pinturas a base de aceite, herrramienta, equipo, manos necesarias hasta obtener una superficie pareja y homogénea, color a definir según aprobación de la interventoría y todos los demás elementos necesarios para su correcta aplicación.</v>
          </cell>
          <cell r="KO57" t="str">
            <v>m2</v>
          </cell>
          <cell r="KP57">
            <v>1</v>
          </cell>
          <cell r="KQ57">
            <v>10201</v>
          </cell>
          <cell r="KR57">
            <v>10201</v>
          </cell>
          <cell r="LD57">
            <v>5.2</v>
          </cell>
          <cell r="LE57" t="str">
            <v>Aplicación de ESMALTE A BASE DE ACEITE, sobre CORTINAS ENROLLABLES METÁLICASs,  Incluye suministro, mano de obra, transporte horizontal y vertical, acondicionador de superficies metálicas Tipo Wash Primer o equivelente, pistola para la aplicación de la pintura, disolvente para pinturas a base de aceite, herrramienta, equipo, manos necesarias hasta obtener una superficie pareja y homogénea, color a definir según aprobación de la interventoría y todos los demás elementos necesarios para su correcta aplicación.</v>
          </cell>
          <cell r="LF57" t="str">
            <v>m2</v>
          </cell>
          <cell r="LG57">
            <v>1</v>
          </cell>
          <cell r="LH57">
            <v>45000</v>
          </cell>
          <cell r="LI57">
            <v>45000</v>
          </cell>
        </row>
        <row r="58">
          <cell r="KM58">
            <v>5.3</v>
          </cell>
          <cell r="KN58" t="str">
            <v>Aplicación de ESMALTE A BASE DE ACEITE, sobre REJAS METÁLICAS,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KO58" t="str">
            <v>m2</v>
          </cell>
          <cell r="KP58">
            <v>1</v>
          </cell>
          <cell r="KQ58">
            <v>7563.89</v>
          </cell>
          <cell r="KR58">
            <v>7563.89</v>
          </cell>
          <cell r="LD58">
            <v>5.3</v>
          </cell>
          <cell r="LE58" t="str">
            <v>Aplicación de ESMALTE A BASE DE ACEITE, sobre REJAS METÁLICAS,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LF58" t="str">
            <v>m2</v>
          </cell>
          <cell r="LG58">
            <v>1</v>
          </cell>
          <cell r="LH58">
            <v>33000</v>
          </cell>
          <cell r="LI58">
            <v>33000</v>
          </cell>
        </row>
        <row r="59">
          <cell r="KM59">
            <v>5.4</v>
          </cell>
          <cell r="KN59" t="str">
            <v>Aplicación de PINTURA TIPO ESMALTE para bajantes de aguas lluvias Incluye: Suministro, mano de obra, transporte horizontal y vertical, preparación de la superficie, pintura acrílica, disolvente, aplicación de manos encesarias que garanticen cubrimiento total del elemento, elementos de trabajo en alturas y todos los ementos necesarios para su correcta aplicación. Nota: La pintura se debe entonar hasta alcanzar el color existente o el color indicado por la interventoría</v>
          </cell>
          <cell r="KO59" t="str">
            <v>m</v>
          </cell>
          <cell r="KP59">
            <v>1</v>
          </cell>
          <cell r="KQ59">
            <v>7230.59</v>
          </cell>
          <cell r="KR59">
            <v>7230.59</v>
          </cell>
          <cell r="LD59">
            <v>5.4</v>
          </cell>
          <cell r="LE59" t="str">
            <v>Aplicación de PINTURA TIPO ESMALTE para bajantes de aguas lluvias Incluye: Suministro, mano de obra, transporte horizontal y vertical, preparación de la superficie, pintura acrílica, disolvente, aplicación de manos encesarias que garanticen cubrimiento total del elemento, elementos de trabajo en alturas y todos los ementos necesarios para su correcta aplicación. Nota: La pintura se debe entonar hasta alcanzar el color existente o el color indicado por la interventoría</v>
          </cell>
          <cell r="LF59" t="str">
            <v>m</v>
          </cell>
          <cell r="LG59">
            <v>1</v>
          </cell>
          <cell r="LH59">
            <v>5000</v>
          </cell>
          <cell r="LI59">
            <v>5000</v>
          </cell>
        </row>
        <row r="60">
          <cell r="KM60">
            <v>5.5</v>
          </cell>
          <cell r="KN60" t="str">
            <v>Aplicación de ESMALTE A BASE DE ACEITE sobre muros y techos en superficies  de revoque estucadas y superficies de Drywall y Superboard. Incluye: Suministro de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KO60" t="str">
            <v>m2</v>
          </cell>
          <cell r="KP60">
            <v>1</v>
          </cell>
          <cell r="KQ60">
            <v>12423</v>
          </cell>
          <cell r="KR60">
            <v>12423</v>
          </cell>
          <cell r="LD60">
            <v>5.5</v>
          </cell>
          <cell r="LE60" t="str">
            <v>Aplicación de ESMALTE A BASE DE ACEITE sobre muros y techos en superficies  de revoque estucadas y superficies de Drywall y Superboard. Incluye: Suministro de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LF60" t="str">
            <v>m2</v>
          </cell>
          <cell r="LG60">
            <v>1</v>
          </cell>
          <cell r="LH60">
            <v>23000</v>
          </cell>
          <cell r="LI60">
            <v>23000</v>
          </cell>
        </row>
        <row r="61">
          <cell r="KM61" t="str">
            <v>6</v>
          </cell>
          <cell r="KN61" t="str">
            <v>PINTURA PARA PISOS Y TECHOS EN MADERA</v>
          </cell>
          <cell r="KO61">
            <v>0</v>
          </cell>
          <cell r="KP61">
            <v>0</v>
          </cell>
          <cell r="KQ61">
            <v>0</v>
          </cell>
          <cell r="KR61">
            <v>0</v>
          </cell>
          <cell r="LD61" t="str">
            <v>6</v>
          </cell>
          <cell r="LE61" t="str">
            <v>PINTURA PARA PISOS Y TECHOS EN MADERA</v>
          </cell>
          <cell r="LF61">
            <v>0</v>
          </cell>
          <cell r="LG61">
            <v>0</v>
          </cell>
          <cell r="LH61">
            <v>0</v>
          </cell>
          <cell r="LI61">
            <v>0</v>
          </cell>
        </row>
        <row r="62">
          <cell r="KM62" t="str">
            <v>6,1</v>
          </cell>
          <cell r="KN62" t="str">
            <v>Aplicación de Pintura para TECHOS de acabado tipo Impra Profilan Plus o equivalente (color teka nogal o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KO62" t="str">
            <v>m2</v>
          </cell>
          <cell r="KP62">
            <v>1</v>
          </cell>
          <cell r="KQ62">
            <v>14220.8</v>
          </cell>
          <cell r="KR62">
            <v>14220.8</v>
          </cell>
          <cell r="LD62" t="str">
            <v>6,1</v>
          </cell>
          <cell r="LE62" t="str">
            <v>Aplicación de Pintura para TECHOS de acabado tipo Impra Profilan Plus o equivalente (color teka nogal o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LF62" t="str">
            <v>m2</v>
          </cell>
          <cell r="LG62">
            <v>1</v>
          </cell>
          <cell r="LH62">
            <v>40000</v>
          </cell>
          <cell r="LI62">
            <v>40000</v>
          </cell>
        </row>
        <row r="63">
          <cell r="KM63" t="str">
            <v>6,2</v>
          </cell>
          <cell r="KN63" t="str">
            <v>Aplicación de Pintura para PISOS EN MADERA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KO63" t="str">
            <v>m2</v>
          </cell>
          <cell r="KP63">
            <v>1</v>
          </cell>
          <cell r="KQ63">
            <v>9615.2000000000007</v>
          </cell>
          <cell r="KR63">
            <v>9615.2000000000007</v>
          </cell>
          <cell r="LD63" t="str">
            <v>6,2</v>
          </cell>
          <cell r="LE63" t="str">
            <v>Aplicación de Pintura para PISOS EN MADERA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LF63" t="str">
            <v>m2</v>
          </cell>
          <cell r="LG63">
            <v>1</v>
          </cell>
          <cell r="LH63">
            <v>32000</v>
          </cell>
          <cell r="LI63">
            <v>32000</v>
          </cell>
        </row>
        <row r="64">
          <cell r="KM64" t="str">
            <v>7</v>
          </cell>
          <cell r="KN64" t="str">
            <v>OBRAS VARIAS</v>
          </cell>
          <cell r="KO64">
            <v>0</v>
          </cell>
          <cell r="KP64">
            <v>0</v>
          </cell>
          <cell r="KQ64">
            <v>0</v>
          </cell>
          <cell r="KR64">
            <v>0</v>
          </cell>
          <cell r="LD64" t="str">
            <v>7</v>
          </cell>
          <cell r="LE64" t="str">
            <v>OBRAS VARIAS</v>
          </cell>
          <cell r="LF64">
            <v>0</v>
          </cell>
          <cell r="LG64">
            <v>0</v>
          </cell>
          <cell r="LH64">
            <v>0</v>
          </cell>
          <cell r="LI64">
            <v>0</v>
          </cell>
        </row>
        <row r="65">
          <cell r="KM65">
            <v>7.1</v>
          </cell>
          <cell r="KN65" t="str">
            <v>Colocación de ESTUCO PLÁSTICO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v>
          </cell>
          <cell r="KO65" t="str">
            <v>m2</v>
          </cell>
          <cell r="KP65">
            <v>1</v>
          </cell>
          <cell r="KQ65">
            <v>9090</v>
          </cell>
          <cell r="KR65">
            <v>9090</v>
          </cell>
          <cell r="LD65">
            <v>7.1</v>
          </cell>
          <cell r="LE65" t="str">
            <v>Colocación de ESTUCO PLÁSTICO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v>
          </cell>
          <cell r="LF65" t="str">
            <v>m2</v>
          </cell>
          <cell r="LG65">
            <v>1</v>
          </cell>
          <cell r="LH65">
            <v>18000</v>
          </cell>
          <cell r="LI65">
            <v>18000</v>
          </cell>
        </row>
        <row r="66">
          <cell r="KM66">
            <v>7.2</v>
          </cell>
          <cell r="KN66" t="str">
            <v>Adecuacion de superficie con ARGAMASA ( arena estuco y cemento) para muros y cielos  : Suministro, mano de obra, transporte horizontal y vertical,  manos necesarias que garanticen cubrimiento total del elemento, retiro y reinstalación de cuadros, carteleras, clavos y todos los elementos necesarios para su correcta aplicación</v>
          </cell>
          <cell r="KO66" t="str">
            <v>m3</v>
          </cell>
          <cell r="KP66">
            <v>1</v>
          </cell>
          <cell r="KQ66">
            <v>16968</v>
          </cell>
          <cell r="KR66">
            <v>16968</v>
          </cell>
          <cell r="LD66">
            <v>7.2</v>
          </cell>
          <cell r="LE66" t="str">
            <v>Adecuacion de superficie con ARGAMASA ( arena estuco y cemento) para muros y cielos  : Suministro, mano de obra, transporte horizontal y vertical,  manos necesarias que garanticen cubrimiento total del elemento, retiro y reinstalación de cuadros, carteleras, clavos y todos los elementos necesarios para su correcta aplicación</v>
          </cell>
          <cell r="LF66" t="str">
            <v>m3</v>
          </cell>
          <cell r="LG66">
            <v>1</v>
          </cell>
          <cell r="LH66">
            <v>14000</v>
          </cell>
          <cell r="LI66">
            <v>14000</v>
          </cell>
        </row>
        <row r="67">
          <cell r="KM67">
            <v>7.3</v>
          </cell>
          <cell r="KN67" t="str">
            <v>Aplicación de REMOVEDOR PINTUCO 1020 o equivalente de primera calidad para eliminar pinturas o barnices  en cualquier estado en muros, la aplicación debe ser sin dilución, 3 manos o las que sean necesarias para obtener una superficie pareja y homogénea logrando la eliminación total de de residuos, retiro de pintura con espátula, a satisfacción de la interventoría, lavado de la superficie con agua para eliminar residuos. Incluye suministro y transporte de los materiales, preparada y adecuación de la superficie a intervenir.</v>
          </cell>
          <cell r="KO67" t="str">
            <v>m2</v>
          </cell>
          <cell r="KP67">
            <v>1</v>
          </cell>
          <cell r="KQ67">
            <v>7979</v>
          </cell>
          <cell r="KR67">
            <v>7979</v>
          </cell>
          <cell r="LD67">
            <v>7.3</v>
          </cell>
          <cell r="LE67" t="str">
            <v>Aplicación de REMOVEDOR PINTUCO 1020 o equivalente de primera calidad para eliminar pinturas o barnices  en cualquier estado en muros, la aplicación debe ser sin dilución, 3 manos o las que sean necesarias para obtener una superficie pareja y homogénea logrando la eliminación total de de residuos, retiro de pintura con espátula, a satisfacción de la interventoría, lavado de la superficie con agua para eliminar residuos. Incluye suministro y transporte de los materiales, preparada y adecuación de la superficie a intervenir.</v>
          </cell>
          <cell r="LF67" t="str">
            <v>m2</v>
          </cell>
          <cell r="LG67">
            <v>1</v>
          </cell>
          <cell r="LH67">
            <v>35000</v>
          </cell>
          <cell r="LI67">
            <v>35000</v>
          </cell>
        </row>
        <row r="68">
          <cell r="KM68">
            <v>7.4</v>
          </cell>
          <cell r="KN68" t="str">
            <v>RETIRO DE PINTURA en mampostería, muros en concreto, fachadas con acabado en piedra maní empleando HIDROLAVADORA de agua fría o agua caliente a presión necesaria para retirar la pintura (Previa revision y autorización de interventoría). Incluye: Herramienta y equipo necesario para desarrollar la actividad, suministro y transporte del removedor, mano de obra, hidrolavadora, lavado de la superficie intervenida, careta especial para éste tipo de trabajo, guantes y todos los demás elementos necesarios para desarrollar la actividad.</v>
          </cell>
          <cell r="KO68" t="str">
            <v>m2</v>
          </cell>
          <cell r="KP68">
            <v>1</v>
          </cell>
          <cell r="KQ68">
            <v>6565</v>
          </cell>
          <cell r="KR68">
            <v>6565</v>
          </cell>
          <cell r="LD68">
            <v>7.4</v>
          </cell>
          <cell r="LE68" t="str">
            <v>RETIRO DE PINTURA en mampostería, muros en concreto, fachadas con acabado en piedra maní empleando HIDROLAVADORA de agua fría o agua caliente a presión necesaria para retirar la pintura (Previa revision y autorización de interventoría). Incluye: Herramienta y equipo necesario para desarrollar la actividad, suministro y transporte del removedor, mano de obra, hidrolavadora, lavado de la superficie intervenida, careta especial para éste tipo de trabajo, guantes y todos los demás elementos necesarios para desarrollar la actividad.</v>
          </cell>
          <cell r="LF68" t="str">
            <v>m2</v>
          </cell>
          <cell r="LG68">
            <v>1</v>
          </cell>
          <cell r="LH68">
            <v>8000</v>
          </cell>
          <cell r="LI68">
            <v>8000</v>
          </cell>
        </row>
        <row r="69">
          <cell r="KM69">
            <v>7.5</v>
          </cell>
          <cell r="KN69" t="str">
            <v>Suministro, transporte y alquiler de ANDAMIO MULTIDIRECCIONAL (TORRE MULTIDIRECCIONAL) para 2m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69" t="str">
            <v>día</v>
          </cell>
          <cell r="KP69">
            <v>1</v>
          </cell>
          <cell r="KQ69">
            <v>31108</v>
          </cell>
          <cell r="KR69">
            <v>31108</v>
          </cell>
          <cell r="LD69">
            <v>7.5</v>
          </cell>
          <cell r="LE69" t="str">
            <v>Suministro, transporte y alquiler de ANDAMIO MULTIDIRECCIONAL (TORRE MULTIDIRECCIONAL) para 2m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69" t="str">
            <v>día</v>
          </cell>
          <cell r="LG69">
            <v>1</v>
          </cell>
          <cell r="LH69">
            <v>15000</v>
          </cell>
          <cell r="LI69">
            <v>15000</v>
          </cell>
        </row>
        <row r="70">
          <cell r="KM70">
            <v>7.6</v>
          </cell>
          <cell r="KN70" t="str">
            <v>Suministro, transporte y alquiler de ANDAMIO MULTIDIRECCIONAL (TORRE MULTIDIRECCIONAL) para 4m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0" t="str">
            <v>día</v>
          </cell>
          <cell r="KP70">
            <v>1</v>
          </cell>
          <cell r="KQ70">
            <v>70000</v>
          </cell>
          <cell r="KR70">
            <v>70000</v>
          </cell>
          <cell r="LD70">
            <v>7.6</v>
          </cell>
          <cell r="LE70" t="str">
            <v>Suministro, transporte y alquiler de ANDAMIO MULTIDIRECCIONAL (TORRE MULTIDIRECCIONAL) para 4m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0" t="str">
            <v>día</v>
          </cell>
          <cell r="LG70">
            <v>1</v>
          </cell>
          <cell r="LH70">
            <v>30000</v>
          </cell>
          <cell r="LI70">
            <v>30000</v>
          </cell>
        </row>
        <row r="71">
          <cell r="KM71">
            <v>7.7</v>
          </cell>
          <cell r="KN71" t="str">
            <v>Suministro, transporte y alquiler de ANDAMIO MULTIDIRECCIONAL (TORRE MULTIDIRECCIONAL) para 6m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1" t="str">
            <v>día</v>
          </cell>
          <cell r="KP71">
            <v>1</v>
          </cell>
          <cell r="KQ71">
            <v>68680</v>
          </cell>
          <cell r="KR71">
            <v>68680</v>
          </cell>
          <cell r="LD71">
            <v>7.7</v>
          </cell>
          <cell r="LE71" t="str">
            <v>Suministro, transporte y alquiler de ANDAMIO MULTIDIRECCIONAL (TORRE MULTIDIRECCIONAL) para 6m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1" t="str">
            <v>día</v>
          </cell>
          <cell r="LG71">
            <v>1</v>
          </cell>
          <cell r="LH71">
            <v>60000</v>
          </cell>
          <cell r="LI71">
            <v>60000</v>
          </cell>
        </row>
        <row r="72">
          <cell r="KM72">
            <v>7.8</v>
          </cell>
          <cell r="KN72" t="str">
            <v>Suministro, transporte y alquiler de ANDAMIO MULTIDIRECCIONAL (TORRE MULTIDIRECCIONAL) para 8m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2" t="str">
            <v>día</v>
          </cell>
          <cell r="KP72">
            <v>1</v>
          </cell>
          <cell r="KQ72">
            <v>99485</v>
          </cell>
          <cell r="KR72">
            <v>99485</v>
          </cell>
          <cell r="LD72">
            <v>7.8</v>
          </cell>
          <cell r="LE72" t="str">
            <v>Suministro, transporte y alquiler de ANDAMIO MULTIDIRECCIONAL (TORRE MULTIDIRECCIONAL) para 8m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2" t="str">
            <v>día</v>
          </cell>
          <cell r="LG72">
            <v>1</v>
          </cell>
          <cell r="LH72">
            <v>75000</v>
          </cell>
          <cell r="LI72">
            <v>75000</v>
          </cell>
        </row>
        <row r="73">
          <cell r="KM73">
            <v>7.9</v>
          </cell>
          <cell r="KN73" t="str">
            <v>Suministro, transporte y alquiler de ANDAMIO MULTIDIRECCIONAL (TORRE MULTIDIRECCIONAL) para 10m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3" t="str">
            <v>día</v>
          </cell>
          <cell r="KP73">
            <v>1</v>
          </cell>
          <cell r="KQ73">
            <v>11110</v>
          </cell>
          <cell r="KR73">
            <v>11110</v>
          </cell>
          <cell r="LD73">
            <v>7.9</v>
          </cell>
          <cell r="LE73" t="str">
            <v>Suministro, transporte y alquiler de ANDAMIO MULTIDIRECCIONAL (TORRE MULTIDIRECCIONAL) para 10m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3" t="str">
            <v>día</v>
          </cell>
          <cell r="LG73">
            <v>1</v>
          </cell>
          <cell r="LH73">
            <v>90000</v>
          </cell>
          <cell r="LI73">
            <v>90000</v>
          </cell>
        </row>
        <row r="74">
          <cell r="KM74">
            <v>7.1</v>
          </cell>
          <cell r="KN74" t="str">
            <v>Suministro, transporte y alquiler de ANDAMIO MULTIDIRECCIONAL (TORRE MULTIDIRECCIONAL) para 13m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4" t="str">
            <v>día</v>
          </cell>
          <cell r="KP74">
            <v>1</v>
          </cell>
          <cell r="KQ74">
            <v>160000</v>
          </cell>
          <cell r="KR74">
            <v>160000</v>
          </cell>
          <cell r="LD74">
            <v>7.1</v>
          </cell>
          <cell r="LE74" t="str">
            <v>Suministro, transporte y alquiler de ANDAMIO MULTIDIRECCIONAL (TORRE MULTIDIRECCIONAL) para 13m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4" t="str">
            <v>día</v>
          </cell>
          <cell r="LG74">
            <v>1</v>
          </cell>
          <cell r="LH74">
            <v>110000</v>
          </cell>
          <cell r="LI74">
            <v>110000</v>
          </cell>
        </row>
        <row r="75">
          <cell r="KM75">
            <v>7.11</v>
          </cell>
          <cell r="KN75" t="str">
            <v>Suministro, transporte y alquiler de ANDAMIO MULTIDIRECCIONAL (TORRE MULTIDIRECCIONAL) para 15m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5" t="str">
            <v>día</v>
          </cell>
          <cell r="KP75">
            <v>1</v>
          </cell>
          <cell r="KQ75">
            <v>190000</v>
          </cell>
          <cell r="KR75">
            <v>190000</v>
          </cell>
          <cell r="LD75">
            <v>7.11</v>
          </cell>
          <cell r="LE75" t="str">
            <v>Suministro, transporte y alquiler de ANDAMIO MULTIDIRECCIONAL (TORRE MULTIDIRECCIONAL) para 15m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5" t="str">
            <v>día</v>
          </cell>
          <cell r="LG75">
            <v>1</v>
          </cell>
          <cell r="LH75">
            <v>125000</v>
          </cell>
          <cell r="LI75">
            <v>125000</v>
          </cell>
        </row>
        <row r="76">
          <cell r="KM76">
            <v>7.12</v>
          </cell>
          <cell r="KN76" t="str">
            <v>Aplicación de BARNIZ PARA MADERA EN MUROS Y PISOS TIPO BARNEX. Incluye suministro de mano de obra, catalizador, masillado, lijado, tintilla, color que indique la Interventoría, sellado de poros y todo lo necesario para su correcto acabado que indique la Interventoría</v>
          </cell>
          <cell r="KO76" t="str">
            <v>m2</v>
          </cell>
          <cell r="KP76">
            <v>1</v>
          </cell>
          <cell r="KQ76">
            <v>8080</v>
          </cell>
          <cell r="KR76">
            <v>8080</v>
          </cell>
          <cell r="LD76">
            <v>7.12</v>
          </cell>
          <cell r="LE76" t="str">
            <v>Aplicación de BARNIZ PARA MADERA EN MUROS Y PISOS TIPO BARNEX. Incluye suministro de mano de obra, catalizador, masillado, lijado, tintilla, color que indique la Interventoría, sellado de poros y todo lo necesario para su correcto acabado que indique la Interventoría</v>
          </cell>
          <cell r="LF76" t="str">
            <v>m2</v>
          </cell>
          <cell r="LG76">
            <v>1</v>
          </cell>
          <cell r="LH76">
            <v>28000</v>
          </cell>
          <cell r="LI76">
            <v>28000</v>
          </cell>
        </row>
      </sheetData>
      <sheetData sheetId="7"/>
      <sheetData sheetId="8"/>
      <sheetData sheetId="9"/>
      <sheetData sheetId="10">
        <row r="11">
          <cell r="I11">
            <v>120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election activeCell="B25" sqref="B25"/>
    </sheetView>
  </sheetViews>
  <sheetFormatPr baseColWidth="10" defaultColWidth="11.5" defaultRowHeight="15"/>
  <cols>
    <col min="1" max="1" width="5.83203125" style="1" bestFit="1" customWidth="1"/>
    <col min="2" max="2" width="83.83203125" style="1" customWidth="1"/>
    <col min="3" max="16384" width="11.5" style="1"/>
  </cols>
  <sheetData>
    <row r="1" spans="1:2" ht="37.5" customHeight="1">
      <c r="A1" s="506" t="s">
        <v>0</v>
      </c>
      <c r="B1" s="507"/>
    </row>
    <row r="2" spans="1:2" ht="51" customHeight="1">
      <c r="A2" s="508" t="s">
        <v>162</v>
      </c>
      <c r="B2" s="509"/>
    </row>
    <row r="3" spans="1:2" ht="18">
      <c r="A3" s="508" t="s">
        <v>1</v>
      </c>
      <c r="B3" s="509"/>
    </row>
    <row r="4" spans="1:2" ht="133.5" customHeight="1">
      <c r="A4" s="510" t="s">
        <v>161</v>
      </c>
      <c r="B4" s="511"/>
    </row>
    <row r="5" spans="1:2" ht="27" customHeight="1">
      <c r="A5" s="512"/>
      <c r="B5" s="513"/>
    </row>
    <row r="6" spans="1:2" ht="16">
      <c r="A6" s="2"/>
      <c r="B6" s="2"/>
    </row>
    <row r="7" spans="1:2" ht="29.25" customHeight="1">
      <c r="A7" s="3" t="s">
        <v>2</v>
      </c>
      <c r="B7" s="4" t="s">
        <v>3</v>
      </c>
    </row>
    <row r="8" spans="1:2" ht="22.5" customHeight="1">
      <c r="A8" s="5">
        <v>1</v>
      </c>
      <c r="B8" s="201" t="s">
        <v>163</v>
      </c>
    </row>
    <row r="9" spans="1:2" ht="22.5" customHeight="1">
      <c r="A9" s="5">
        <v>2</v>
      </c>
      <c r="B9" s="201" t="s">
        <v>164</v>
      </c>
    </row>
    <row r="10" spans="1:2" ht="22.5" customHeight="1">
      <c r="A10" s="5">
        <v>3</v>
      </c>
      <c r="B10" s="201" t="s">
        <v>320</v>
      </c>
    </row>
    <row r="11" spans="1:2" ht="22.5" customHeight="1">
      <c r="A11" s="5">
        <v>4</v>
      </c>
      <c r="B11" s="201" t="s">
        <v>321</v>
      </c>
    </row>
    <row r="12" spans="1:2" ht="22.5" hidden="1" customHeight="1">
      <c r="A12" s="5">
        <v>5</v>
      </c>
      <c r="B12" s="201"/>
    </row>
    <row r="13" spans="1:2" ht="22.5" hidden="1" customHeight="1">
      <c r="A13" s="5">
        <v>6</v>
      </c>
      <c r="B13" s="201"/>
    </row>
    <row r="14" spans="1:2" ht="22.5" hidden="1" customHeight="1">
      <c r="A14" s="5">
        <v>7</v>
      </c>
      <c r="B14" s="201"/>
    </row>
    <row r="15" spans="1:2" ht="22.5" hidden="1" customHeight="1">
      <c r="A15" s="5">
        <v>8</v>
      </c>
      <c r="B15" s="201"/>
    </row>
    <row r="16" spans="1:2" ht="22.5" hidden="1" customHeight="1">
      <c r="A16" s="5">
        <v>9</v>
      </c>
      <c r="B16" s="201"/>
    </row>
    <row r="17" spans="1:2" ht="22.5" hidden="1" customHeight="1">
      <c r="A17" s="5">
        <v>10</v>
      </c>
      <c r="B17" s="201"/>
    </row>
    <row r="18" spans="1:2" ht="22.5" hidden="1" customHeight="1">
      <c r="A18" s="5">
        <v>11</v>
      </c>
      <c r="B18" s="201"/>
    </row>
    <row r="19" spans="1:2" ht="22.5" hidden="1" customHeight="1">
      <c r="A19" s="5">
        <v>12</v>
      </c>
      <c r="B19" s="201"/>
    </row>
    <row r="20" spans="1:2" ht="22.5" hidden="1" customHeight="1">
      <c r="A20" s="5">
        <v>13</v>
      </c>
      <c r="B20" s="201"/>
    </row>
    <row r="21" spans="1:2" ht="22.5" hidden="1" customHeight="1">
      <c r="A21" s="5">
        <v>14</v>
      </c>
      <c r="B21" s="201"/>
    </row>
    <row r="22" spans="1:2" ht="22.5" hidden="1" customHeight="1">
      <c r="A22" s="5">
        <v>15</v>
      </c>
      <c r="B22" s="159"/>
    </row>
    <row r="23" spans="1:2" ht="22.5" hidden="1" customHeight="1">
      <c r="A23" s="5">
        <v>16</v>
      </c>
      <c r="B23" s="158"/>
    </row>
    <row r="24" spans="1:2" ht="22.5" hidden="1" customHeight="1">
      <c r="A24" s="5">
        <v>17</v>
      </c>
      <c r="B24" s="158"/>
    </row>
    <row r="25" spans="1:2" ht="22.5" customHeight="1">
      <c r="A25" s="6"/>
      <c r="B25" s="7"/>
    </row>
    <row r="26" spans="1:2" ht="12.75" customHeight="1">
      <c r="A26" s="505" t="s">
        <v>4</v>
      </c>
      <c r="B26" s="505"/>
    </row>
    <row r="27" spans="1:2" ht="70.5" customHeight="1">
      <c r="A27" s="505" t="s">
        <v>160</v>
      </c>
      <c r="B27" s="505"/>
    </row>
  </sheetData>
  <sheetProtection algorithmName="SHA-512" hashValue="YLpVNjEJVQ2e8+oD9OJqasxYjVKiKDdpDq/aSkRCK6ami7l0GDbtXJPyMhoWuNiTdsGEH+CsFbshopK6NdeXmw==" saltValue="BlpaMSQzb85eoksGKFAn6g==" spinCount="100000" sheet="1" objects="1" scenarios="1"/>
  <mergeCells count="7">
    <mergeCell ref="A27:B27"/>
    <mergeCell ref="A1:B1"/>
    <mergeCell ref="A2:B2"/>
    <mergeCell ref="A3:B3"/>
    <mergeCell ref="A4:B4"/>
    <mergeCell ref="A5:B5"/>
    <mergeCell ref="A26:B26"/>
  </mergeCells>
  <pageMargins left="0.7" right="0.7" top="0.75" bottom="0.75" header="0.3" footer="0.3"/>
  <pageSetup paperSize="9" orientation="portrait" horizontalDpi="4294967292"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13"/>
  <sheetViews>
    <sheetView zoomScale="118" workbookViewId="0">
      <selection activeCell="G16" sqref="G16"/>
    </sheetView>
  </sheetViews>
  <sheetFormatPr baseColWidth="10" defaultRowHeight="15"/>
  <cols>
    <col min="2" max="2" width="7.83203125" bestFit="1" customWidth="1"/>
    <col min="3" max="3" width="26.33203125" customWidth="1"/>
    <col min="4" max="4" width="11.1640625" bestFit="1" customWidth="1"/>
    <col min="5" max="5" width="19" customWidth="1"/>
    <col min="6" max="6" width="18.83203125" customWidth="1"/>
    <col min="7" max="7" width="21.1640625" customWidth="1"/>
  </cols>
  <sheetData>
    <row r="1" spans="2:7" ht="16" thickBot="1"/>
    <row r="2" spans="2:7" ht="15" customHeight="1">
      <c r="B2" s="721" t="s">
        <v>196</v>
      </c>
      <c r="C2" s="722"/>
      <c r="D2" s="722"/>
      <c r="E2" s="722"/>
      <c r="F2" s="722"/>
      <c r="G2" s="723"/>
    </row>
    <row r="3" spans="2:7" ht="18" customHeight="1">
      <c r="B3" s="724"/>
      <c r="C3" s="725"/>
      <c r="D3" s="725"/>
      <c r="E3" s="725"/>
      <c r="F3" s="725"/>
      <c r="G3" s="726"/>
    </row>
    <row r="4" spans="2:7" ht="23.25" customHeight="1" thickBot="1">
      <c r="B4" s="727"/>
      <c r="C4" s="728"/>
      <c r="D4" s="728"/>
      <c r="E4" s="728"/>
      <c r="F4" s="728"/>
      <c r="G4" s="729"/>
    </row>
    <row r="6" spans="2:7" ht="16" thickBot="1"/>
    <row r="7" spans="2:7" ht="17" thickBot="1">
      <c r="B7" s="730" t="s">
        <v>2</v>
      </c>
      <c r="C7" s="733" t="s">
        <v>49</v>
      </c>
      <c r="D7" s="736" t="s">
        <v>195</v>
      </c>
      <c r="E7" s="737"/>
      <c r="F7" s="737"/>
      <c r="G7" s="739"/>
    </row>
    <row r="8" spans="2:7" ht="25">
      <c r="B8" s="731"/>
      <c r="C8" s="734"/>
      <c r="D8" s="308" t="s">
        <v>151</v>
      </c>
      <c r="E8" s="309" t="s">
        <v>198</v>
      </c>
      <c r="F8" s="310" t="s">
        <v>199</v>
      </c>
      <c r="G8" s="740" t="s">
        <v>200</v>
      </c>
    </row>
    <row r="9" spans="2:7" ht="16" thickBot="1">
      <c r="B9" s="732"/>
      <c r="C9" s="735"/>
      <c r="D9" s="311" t="s">
        <v>197</v>
      </c>
      <c r="E9" s="312" t="s">
        <v>197</v>
      </c>
      <c r="F9" s="313" t="s">
        <v>197</v>
      </c>
      <c r="G9" s="741"/>
    </row>
    <row r="10" spans="2:7" ht="16" thickBot="1">
      <c r="B10" s="262">
        <v>1</v>
      </c>
      <c r="C10" s="259" t="s">
        <v>163</v>
      </c>
      <c r="D10" s="306"/>
      <c r="E10" s="306"/>
      <c r="F10" s="307" t="str">
        <f>IFERROR((D10/E10)," ")</f>
        <v xml:space="preserve"> </v>
      </c>
      <c r="G10" s="251"/>
    </row>
    <row r="11" spans="2:7" ht="31" thickBot="1">
      <c r="B11" s="263">
        <v>2</v>
      </c>
      <c r="C11" s="260" t="s">
        <v>164</v>
      </c>
      <c r="D11" s="184"/>
      <c r="E11" s="184"/>
      <c r="F11" s="54" t="str">
        <f t="shared" ref="F11" si="0">IFERROR((D11/E11)," ")</f>
        <v xml:space="preserve"> </v>
      </c>
      <c r="G11" s="251"/>
    </row>
    <row r="12" spans="2:7" ht="16" thickBot="1">
      <c r="B12" s="263">
        <v>3</v>
      </c>
      <c r="C12" s="260" t="s">
        <v>165</v>
      </c>
      <c r="D12" s="184" t="s">
        <v>155</v>
      </c>
      <c r="E12" s="184" t="s">
        <v>296</v>
      </c>
      <c r="F12" s="54" t="s">
        <v>296</v>
      </c>
      <c r="G12" s="251" t="s">
        <v>290</v>
      </c>
    </row>
    <row r="13" spans="2:7">
      <c r="B13" s="263">
        <v>4</v>
      </c>
      <c r="C13" s="260" t="s">
        <v>166</v>
      </c>
      <c r="D13" s="184" t="s">
        <v>155</v>
      </c>
      <c r="E13" s="184" t="s">
        <v>296</v>
      </c>
      <c r="F13" s="54" t="s">
        <v>296</v>
      </c>
      <c r="G13" s="251" t="s">
        <v>290</v>
      </c>
    </row>
  </sheetData>
  <sheetProtection algorithmName="SHA-512" hashValue="n9jWLz3GqsZhwbRX7iV1QAVwKStvgHrJwQT2CZ9C3jaCQcVVhOpnDig/t/QaQB6TSEapHFxWBQ8eDA907xIXkQ==" saltValue="S2yub4SvjBkj0VJV1vr5IA==" spinCount="100000" sheet="1" objects="1" scenarios="1"/>
  <mergeCells count="5">
    <mergeCell ref="B7:B9"/>
    <mergeCell ref="C7:C9"/>
    <mergeCell ref="D7:G7"/>
    <mergeCell ref="B2:G4"/>
    <mergeCell ref="G8:G9"/>
  </mergeCells>
  <conditionalFormatting sqref="G10:G13">
    <cfRule type="cellIs" dxfId="15" priority="1" operator="equal">
      <formula>"NO CUMPLE"</formula>
    </cfRule>
  </conditionalFormatting>
  <dataValidations count="1">
    <dataValidation type="list" allowBlank="1" showInputMessage="1" showErrorMessage="1" sqref="G10:G13" xr:uid="{00000000-0002-0000-0900-000000000000}">
      <formula1>"CUMPLE, NO CUMPLE"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140"/>
  <sheetViews>
    <sheetView zoomScale="85" zoomScaleNormal="85" workbookViewId="0">
      <selection activeCell="AL1" sqref="AL1:AO1048576"/>
    </sheetView>
  </sheetViews>
  <sheetFormatPr baseColWidth="10" defaultColWidth="11.5" defaultRowHeight="15" outlineLevelRow="1"/>
  <cols>
    <col min="1" max="1" width="9.83203125" style="70" customWidth="1"/>
    <col min="2" max="2" width="21.33203125" style="70" customWidth="1"/>
    <col min="3" max="3" width="19.6640625" style="70" customWidth="1"/>
    <col min="4" max="4" width="9.33203125" style="70" customWidth="1"/>
    <col min="5" max="5" width="17" style="70" bestFit="1" customWidth="1"/>
    <col min="6" max="6" width="6.6640625" style="70" customWidth="1"/>
    <col min="7" max="7" width="16.83203125" style="70" customWidth="1"/>
    <col min="8" max="8" width="6.6640625" style="70" customWidth="1"/>
    <col min="9" max="9" width="20.33203125" style="70" customWidth="1"/>
    <col min="10" max="10" width="6.6640625" style="70" customWidth="1"/>
    <col min="11" max="11" width="18.33203125" style="70" hidden="1" customWidth="1"/>
    <col min="12" max="12" width="6.6640625" style="70" hidden="1" customWidth="1"/>
    <col min="13" max="13" width="20.5" style="70" hidden="1" customWidth="1"/>
    <col min="14" max="14" width="6.6640625" style="70" hidden="1" customWidth="1"/>
    <col min="15" max="15" width="16.5" style="70" hidden="1" customWidth="1"/>
    <col min="16" max="16" width="6.6640625" style="70" hidden="1" customWidth="1"/>
    <col min="17" max="17" width="17" style="70" hidden="1" customWidth="1"/>
    <col min="18" max="18" width="6.6640625" style="70" hidden="1" customWidth="1"/>
    <col min="19" max="19" width="17" style="70" hidden="1" customWidth="1"/>
    <col min="20" max="20" width="6.6640625" style="70" hidden="1" customWidth="1"/>
    <col min="21" max="21" width="17" style="70" hidden="1" customWidth="1"/>
    <col min="22" max="22" width="6.6640625" style="70" hidden="1" customWidth="1"/>
    <col min="23" max="23" width="17" style="70" hidden="1" customWidth="1"/>
    <col min="24" max="24" width="6.6640625" style="70" hidden="1" customWidth="1"/>
    <col min="25" max="25" width="17" style="70" hidden="1" customWidth="1"/>
    <col min="26" max="26" width="6.6640625" style="70" hidden="1" customWidth="1"/>
    <col min="27" max="27" width="14.83203125" style="70" hidden="1" customWidth="1"/>
    <col min="28" max="28" width="6.6640625" style="70" hidden="1" customWidth="1"/>
    <col min="29" max="29" width="17" style="70" hidden="1" customWidth="1"/>
    <col min="30" max="30" width="6.6640625" style="70" hidden="1" customWidth="1"/>
    <col min="31" max="31" width="14.83203125" style="70" hidden="1" customWidth="1"/>
    <col min="32" max="32" width="6.6640625" style="70" hidden="1" customWidth="1"/>
    <col min="33" max="33" width="14.83203125" style="70" hidden="1" customWidth="1"/>
    <col min="34" max="34" width="6.6640625" style="70" hidden="1" customWidth="1"/>
    <col min="35" max="35" width="14.83203125" style="70" hidden="1" customWidth="1"/>
    <col min="36" max="36" width="6.6640625" style="70" hidden="1" customWidth="1"/>
    <col min="37" max="37" width="4.6640625" style="70" hidden="1" customWidth="1"/>
    <col min="38" max="38" width="27.5" style="70" hidden="1" customWidth="1"/>
    <col min="39" max="40" width="13.5" style="70" hidden="1" customWidth="1"/>
    <col min="41" max="41" width="16.83203125" style="70" hidden="1" customWidth="1"/>
    <col min="42" max="16384" width="11.5" style="70"/>
  </cols>
  <sheetData>
    <row r="1" spans="1:41" s="141" customFormat="1" ht="24.75" customHeight="1">
      <c r="A1" s="848" t="s">
        <v>116</v>
      </c>
      <c r="B1" s="849"/>
      <c r="C1" s="849"/>
      <c r="D1" s="849"/>
      <c r="E1" s="849"/>
      <c r="F1" s="849"/>
      <c r="G1" s="849"/>
      <c r="H1" s="849"/>
      <c r="I1" s="849"/>
      <c r="J1" s="849"/>
      <c r="K1" s="849"/>
      <c r="L1" s="849"/>
      <c r="M1" s="849"/>
      <c r="N1" s="849"/>
      <c r="O1" s="849"/>
      <c r="P1" s="849"/>
      <c r="Q1" s="849"/>
      <c r="R1" s="849"/>
      <c r="S1" s="849"/>
      <c r="T1" s="849"/>
      <c r="U1" s="849"/>
      <c r="V1" s="849"/>
      <c r="W1" s="849"/>
      <c r="X1" s="849"/>
      <c r="Y1" s="849"/>
      <c r="Z1" s="849"/>
      <c r="AA1" s="140"/>
      <c r="AB1" s="140"/>
      <c r="AC1" s="140"/>
      <c r="AD1" s="140"/>
      <c r="AE1" s="140"/>
      <c r="AF1" s="140"/>
      <c r="AG1" s="140"/>
      <c r="AH1" s="140"/>
      <c r="AI1" s="140"/>
      <c r="AJ1" s="140"/>
    </row>
    <row r="3" spans="1:41">
      <c r="A3" s="850" t="s">
        <v>117</v>
      </c>
      <c r="B3" s="850"/>
      <c r="E3" s="851" t="s">
        <v>118</v>
      </c>
      <c r="F3" s="851"/>
      <c r="G3" s="851"/>
      <c r="H3" s="851"/>
      <c r="K3" s="852" t="s">
        <v>119</v>
      </c>
      <c r="L3" s="852"/>
      <c r="M3" s="852"/>
    </row>
    <row r="4" spans="1:41" s="142" customFormat="1" ht="30.75" customHeight="1">
      <c r="A4" s="156" t="s">
        <v>120</v>
      </c>
      <c r="B4" s="191">
        <v>6</v>
      </c>
      <c r="E4" s="850" t="s">
        <v>121</v>
      </c>
      <c r="F4" s="850"/>
      <c r="G4" s="850" t="s">
        <v>122</v>
      </c>
      <c r="H4" s="850"/>
      <c r="K4" s="853" t="str">
        <f>+'10. EVALUACIÓN'!I8</f>
        <v>Media aritmética</v>
      </c>
      <c r="L4" s="854"/>
      <c r="M4" s="855"/>
    </row>
    <row r="5" spans="1:41" ht="30.75" customHeight="1">
      <c r="A5" s="157" t="s">
        <v>123</v>
      </c>
      <c r="B5" s="191">
        <v>4</v>
      </c>
      <c r="E5" s="859">
        <v>140</v>
      </c>
      <c r="F5" s="859"/>
      <c r="G5" s="859">
        <v>60</v>
      </c>
      <c r="H5" s="859"/>
      <c r="K5" s="856"/>
      <c r="L5" s="857"/>
      <c r="M5" s="858"/>
    </row>
    <row r="6" spans="1:41">
      <c r="A6" s="121"/>
      <c r="B6" s="121"/>
      <c r="D6" s="143"/>
    </row>
    <row r="7" spans="1:41" s="144" customFormat="1" ht="21" customHeight="1">
      <c r="A7" s="860" t="s">
        <v>93</v>
      </c>
      <c r="B7" s="156" t="s">
        <v>124</v>
      </c>
      <c r="C7" s="861">
        <v>1</v>
      </c>
      <c r="D7" s="862"/>
      <c r="E7" s="845">
        <v>2</v>
      </c>
      <c r="F7" s="845"/>
      <c r="G7" s="845">
        <v>3</v>
      </c>
      <c r="H7" s="845"/>
      <c r="I7" s="845">
        <v>4</v>
      </c>
      <c r="J7" s="845"/>
      <c r="K7" s="845">
        <v>5</v>
      </c>
      <c r="L7" s="845"/>
      <c r="M7" s="845">
        <v>6</v>
      </c>
      <c r="N7" s="845"/>
      <c r="O7" s="845">
        <v>7</v>
      </c>
      <c r="P7" s="845"/>
      <c r="Q7" s="845">
        <v>8</v>
      </c>
      <c r="R7" s="845"/>
      <c r="S7" s="845">
        <v>9</v>
      </c>
      <c r="T7" s="845"/>
      <c r="U7" s="845">
        <v>10</v>
      </c>
      <c r="V7" s="845"/>
      <c r="W7" s="845">
        <v>11</v>
      </c>
      <c r="X7" s="845"/>
      <c r="Y7" s="845">
        <v>12</v>
      </c>
      <c r="Z7" s="845"/>
      <c r="AA7" s="845">
        <v>13</v>
      </c>
      <c r="AB7" s="845"/>
      <c r="AC7" s="845">
        <v>14</v>
      </c>
      <c r="AD7" s="845"/>
      <c r="AE7" s="845">
        <v>15</v>
      </c>
      <c r="AF7" s="845"/>
      <c r="AG7" s="845">
        <v>16</v>
      </c>
      <c r="AH7" s="845"/>
      <c r="AI7" s="845">
        <v>17</v>
      </c>
      <c r="AJ7" s="845"/>
    </row>
    <row r="8" spans="1:41" s="142" customFormat="1" ht="35.25" customHeight="1">
      <c r="A8" s="860"/>
      <c r="B8" s="145" t="s">
        <v>125</v>
      </c>
      <c r="C8" s="846" t="str">
        <f>IF(C7="","",IF(VLOOKUP(C7,EVALUACION,5,FALSE)="H","Habilitado","No habilitado"))</f>
        <v>No habilitado</v>
      </c>
      <c r="D8" s="847"/>
      <c r="E8" s="846" t="str">
        <f>IF(E7="","",IF(VLOOKUP(E7,EVALUACION,5,FALSE)="H","Habilitado","No habilitado"))</f>
        <v>No habilitado</v>
      </c>
      <c r="F8" s="847"/>
      <c r="G8" s="846" t="str">
        <f ca="1">IF(G7="","",IF(VLOOKUP(G7,EVALUACION,5,FALSE)="H","Habilitado","No habilitado"))</f>
        <v>No habilitado</v>
      </c>
      <c r="H8" s="847"/>
      <c r="I8" s="846" t="str">
        <f ca="1">IF(I7="","",IF(VLOOKUP(I7,EVALUACION,5,FALSE)="H","Habilitado","No habilitado"))</f>
        <v>No habilitado</v>
      </c>
      <c r="J8" s="847"/>
      <c r="K8" s="846" t="str">
        <f ca="1">IF(K7="","",IF(VLOOKUP(K7,EVALUACION,5,FALSE)="H","Habilitado","No habilitado"))</f>
        <v>No habilitado</v>
      </c>
      <c r="L8" s="847"/>
      <c r="M8" s="846" t="str">
        <f ca="1">IF(M7="","",IF(VLOOKUP(M7,EVALUACION,5,FALSE)="H","Habilitado","No habilitado"))</f>
        <v>No habilitado</v>
      </c>
      <c r="N8" s="847"/>
      <c r="O8" s="846" t="str">
        <f ca="1">IF(O7="","",IF(VLOOKUP(O7,EVALUACION,5,FALSE)="H","Habilitado","No habilitado"))</f>
        <v>No habilitado</v>
      </c>
      <c r="P8" s="847"/>
      <c r="Q8" s="846" t="str">
        <f ca="1">IF(Q7="","",IF(VLOOKUP(Q7,EVALUACION,5,FALSE)="H","Habilitado","No habilitado"))</f>
        <v>No habilitado</v>
      </c>
      <c r="R8" s="847"/>
      <c r="S8" s="846" t="str">
        <f ca="1">IF(S7="","",IF(VLOOKUP(S7,EVALUACION,5,FALSE)="H","Habilitado","No habilitado"))</f>
        <v>No habilitado</v>
      </c>
      <c r="T8" s="847"/>
      <c r="U8" s="846" t="str">
        <f ca="1">IF(U7="","",IF(VLOOKUP(U7,EVALUACION,5,FALSE)="H","Habilitado","No habilitado"))</f>
        <v>No habilitado</v>
      </c>
      <c r="V8" s="847"/>
      <c r="W8" s="846" t="str">
        <f ca="1">IF(W7="","",IF(VLOOKUP(W7,EVALUACION,5,FALSE)="H","Habilitado","No habilitado"))</f>
        <v>No habilitado</v>
      </c>
      <c r="X8" s="847"/>
      <c r="Y8" s="846" t="str">
        <f ca="1">IF(Y7="","",IF(VLOOKUP(Y7,EVALUACION,5,FALSE)="H","Habilitado","No habilitado"))</f>
        <v>No habilitado</v>
      </c>
      <c r="Z8" s="847"/>
      <c r="AA8" s="846" t="str">
        <f ca="1">IF(AA7="","",IF(VLOOKUP(AA7,EVALUACION,5,FALSE)="H","Habilitado","No habilitado"))</f>
        <v>No habilitado</v>
      </c>
      <c r="AB8" s="847"/>
      <c r="AC8" s="846" t="str">
        <f ca="1">IF(AC7="","",IF(VLOOKUP(AC7,EVALUACION,5,FALSE)="H","Habilitado","No habilitado"))</f>
        <v>No habilitado</v>
      </c>
      <c r="AD8" s="847"/>
      <c r="AE8" s="846" t="str">
        <f>IF(AE7="","",IF(VLOOKUP(AE7,EVALUACION,5,FALSE)="H","Habilitado","No habilitado"))</f>
        <v>No habilitado</v>
      </c>
      <c r="AF8" s="847"/>
      <c r="AG8" s="846" t="str">
        <f>IF(AG7="","",IF(VLOOKUP(AG7,EVALUACION,5,FALSE)="H","Habilitado","No habilitado"))</f>
        <v>No habilitado</v>
      </c>
      <c r="AH8" s="847"/>
      <c r="AI8" s="846" t="str">
        <f>IF(AI7="","",IF(VLOOKUP(AI7,EVALUACION,5,FALSE)="H","Habilitado","No habilitado"))</f>
        <v>No habilitado</v>
      </c>
      <c r="AJ8" s="847"/>
    </row>
    <row r="9" spans="1:41" s="142" customFormat="1" ht="23.25" customHeight="1">
      <c r="A9" s="860" t="s">
        <v>126</v>
      </c>
      <c r="B9" s="860"/>
      <c r="C9" s="863" t="str">
        <f>IF(C14="","",SUM(D14:D101))</f>
        <v/>
      </c>
      <c r="D9" s="864"/>
      <c r="E9" s="863" t="str">
        <f>IF(E14="","",SUM(F14:F101))</f>
        <v/>
      </c>
      <c r="F9" s="864"/>
      <c r="G9" s="863" t="str">
        <f t="shared" ref="G9" ca="1" si="0">IF(G14="","",SUM(H14:H101))</f>
        <v/>
      </c>
      <c r="H9" s="864"/>
      <c r="I9" s="863" t="str">
        <f t="shared" ref="I9" ca="1" si="1">IF(I14="","",SUM(J14:J101))</f>
        <v/>
      </c>
      <c r="J9" s="864"/>
      <c r="K9" s="863" t="str">
        <f t="shared" ref="K9" ca="1" si="2">IF(K14="","",SUM(L14:L101))</f>
        <v/>
      </c>
      <c r="L9" s="864"/>
      <c r="M9" s="863" t="str">
        <f t="shared" ref="M9" ca="1" si="3">IF(M14="","",SUM(N14:N101))</f>
        <v/>
      </c>
      <c r="N9" s="864"/>
      <c r="O9" s="863" t="str">
        <f t="shared" ref="O9" ca="1" si="4">IF(O14="","",SUM(P14:P101))</f>
        <v/>
      </c>
      <c r="P9" s="864"/>
      <c r="Q9" s="863" t="str">
        <f t="shared" ref="Q9" ca="1" si="5">IF(Q14="","",SUM(R14:R101))</f>
        <v/>
      </c>
      <c r="R9" s="864"/>
      <c r="S9" s="863" t="str">
        <f t="shared" ref="S9" ca="1" si="6">IF(S14="","",SUM(T14:T101))</f>
        <v/>
      </c>
      <c r="T9" s="864"/>
      <c r="U9" s="863" t="str">
        <f t="shared" ref="U9" ca="1" si="7">IF(U14="","",SUM(V14:V101))</f>
        <v/>
      </c>
      <c r="V9" s="864"/>
      <c r="W9" s="863" t="str">
        <f t="shared" ref="W9" ca="1" si="8">IF(W14="","",SUM(X14:X101))</f>
        <v/>
      </c>
      <c r="X9" s="864"/>
      <c r="Y9" s="863" t="str">
        <f t="shared" ref="Y9" ca="1" si="9">IF(Y14="","",SUM(Z14:Z101))</f>
        <v/>
      </c>
      <c r="Z9" s="864"/>
      <c r="AA9" s="863" t="str">
        <f t="shared" ref="AA9" ca="1" si="10">IF(AA14="","",SUM(AB14:AB101))</f>
        <v/>
      </c>
      <c r="AB9" s="864"/>
      <c r="AC9" s="863" t="str">
        <f t="shared" ref="AC9" ca="1" si="11">IF(AC14="","",SUM(AD14:AD101))</f>
        <v/>
      </c>
      <c r="AD9" s="864"/>
      <c r="AE9" s="863" t="str">
        <f>IF(AE77="","",SUM(AF77:AF101))</f>
        <v/>
      </c>
      <c r="AF9" s="864"/>
      <c r="AG9" s="863" t="str">
        <f>IF(AG77="","",SUM(AH77:AH101))</f>
        <v/>
      </c>
      <c r="AH9" s="864"/>
      <c r="AI9" s="863" t="str">
        <f>IF(AI77="","",SUM(AJ77:AJ101))</f>
        <v/>
      </c>
      <c r="AJ9" s="864"/>
    </row>
    <row r="10" spans="1:41" s="142" customFormat="1" ht="23.25" customHeight="1">
      <c r="A10" s="860" t="s">
        <v>127</v>
      </c>
      <c r="B10" s="860"/>
      <c r="C10" s="863" t="str">
        <f>IF(C104="","",SUM(D104:D140))</f>
        <v/>
      </c>
      <c r="D10" s="864"/>
      <c r="E10" s="863" t="str">
        <f>IF(E104="","",SUM(F104:F140))</f>
        <v/>
      </c>
      <c r="F10" s="864"/>
      <c r="G10" s="863" t="str">
        <f ca="1">IF(G104="","",SUM(H104:H140))</f>
        <v/>
      </c>
      <c r="H10" s="864"/>
      <c r="I10" s="863" t="str">
        <f t="shared" ref="I10" ca="1" si="12">IF(I104="","",SUM(J104:J140))</f>
        <v/>
      </c>
      <c r="J10" s="864"/>
      <c r="K10" s="863" t="str">
        <f t="shared" ref="K10" ca="1" si="13">IF(K104="","",SUM(L104:L140))</f>
        <v/>
      </c>
      <c r="L10" s="864"/>
      <c r="M10" s="863" t="str">
        <f t="shared" ref="M10" ca="1" si="14">IF(M104="","",SUM(N104:N140))</f>
        <v/>
      </c>
      <c r="N10" s="864"/>
      <c r="O10" s="863" t="str">
        <f t="shared" ref="O10" ca="1" si="15">IF(O104="","",SUM(P104:P140))</f>
        <v/>
      </c>
      <c r="P10" s="864"/>
      <c r="Q10" s="863" t="str">
        <f t="shared" ref="Q10" ca="1" si="16">IF(Q104="","",SUM(R104:R140))</f>
        <v/>
      </c>
      <c r="R10" s="864"/>
      <c r="S10" s="863" t="str">
        <f t="shared" ref="S10" ca="1" si="17">IF(S104="","",SUM(T104:T140))</f>
        <v/>
      </c>
      <c r="T10" s="864"/>
      <c r="U10" s="863" t="str">
        <f t="shared" ref="U10" ca="1" si="18">IF(U104="","",SUM(V104:V140))</f>
        <v/>
      </c>
      <c r="V10" s="864"/>
      <c r="W10" s="863" t="str">
        <f t="shared" ref="W10" ca="1" si="19">IF(W104="","",SUM(X104:X140))</f>
        <v/>
      </c>
      <c r="X10" s="864"/>
      <c r="Y10" s="863" t="str">
        <f t="shared" ref="Y10" ca="1" si="20">IF(Y104="","",SUM(Z104:Z140))</f>
        <v/>
      </c>
      <c r="Z10" s="864"/>
      <c r="AA10" s="863" t="str">
        <f ca="1">IF(AA104="","",SUM(AB104:AB140))</f>
        <v/>
      </c>
      <c r="AB10" s="864"/>
      <c r="AC10" s="863" t="str">
        <f t="shared" ref="AC10" ca="1" si="21">IF(AC104="","",SUM(AD104:AD140))</f>
        <v/>
      </c>
      <c r="AD10" s="864"/>
      <c r="AE10" s="863" t="str">
        <f>IF(AE104="","",SUM(AF104:AF135))</f>
        <v/>
      </c>
      <c r="AF10" s="864"/>
      <c r="AG10" s="863" t="str">
        <f>IF(AG104="","",SUM(AH104:AH135))</f>
        <v/>
      </c>
      <c r="AH10" s="864"/>
      <c r="AI10" s="863" t="str">
        <f>IF(AI104="","",SUM(AJ104:AJ135))</f>
        <v/>
      </c>
      <c r="AJ10" s="864"/>
    </row>
    <row r="11" spans="1:41" s="142" customFormat="1" ht="23.25" customHeight="1">
      <c r="A11" s="860" t="s">
        <v>128</v>
      </c>
      <c r="B11" s="860"/>
      <c r="C11" s="863" t="str">
        <f>IF(C7="","",IF(C8="No habilitado","",C9+C10))</f>
        <v/>
      </c>
      <c r="D11" s="864"/>
      <c r="E11" s="863" t="str">
        <f>IF(E7="","",IF(E8="No habilitado","",E9+E10))</f>
        <v/>
      </c>
      <c r="F11" s="864"/>
      <c r="G11" s="863" t="str">
        <f t="shared" ref="G11" ca="1" si="22">IF(G7="","",IF(G8="No habilitado","",G9+G10))</f>
        <v/>
      </c>
      <c r="H11" s="864"/>
      <c r="I11" s="863" t="str">
        <f t="shared" ref="I11" ca="1" si="23">IF(I7="","",IF(I8="No habilitado","",I9+I10))</f>
        <v/>
      </c>
      <c r="J11" s="864"/>
      <c r="K11" s="863" t="str">
        <f t="shared" ref="K11" ca="1" si="24">IF(K7="","",IF(K8="No habilitado","",K9+K10))</f>
        <v/>
      </c>
      <c r="L11" s="864"/>
      <c r="M11" s="863" t="str">
        <f t="shared" ref="M11" ca="1" si="25">IF(M7="","",IF(M8="No habilitado","",M9+M10))</f>
        <v/>
      </c>
      <c r="N11" s="864"/>
      <c r="O11" s="863" t="str">
        <f t="shared" ref="O11" ca="1" si="26">IF(O7="","",IF(O8="No habilitado","",O9+O10))</f>
        <v/>
      </c>
      <c r="P11" s="864"/>
      <c r="Q11" s="863" t="str">
        <f t="shared" ref="Q11" ca="1" si="27">IF(Q7="","",IF(Q8="No habilitado","",Q9+Q10))</f>
        <v/>
      </c>
      <c r="R11" s="864"/>
      <c r="S11" s="863" t="str">
        <f t="shared" ref="S11" ca="1" si="28">IF(S7="","",IF(S8="No habilitado","",S9+S10))</f>
        <v/>
      </c>
      <c r="T11" s="864"/>
      <c r="U11" s="863" t="str">
        <f t="shared" ref="U11" ca="1" si="29">IF(U7="","",IF(U8="No habilitado","",U9+U10))</f>
        <v/>
      </c>
      <c r="V11" s="864"/>
      <c r="W11" s="863" t="str">
        <f t="shared" ref="W11" ca="1" si="30">IF(W7="","",IF(W8="No habilitado","",W9+W10))</f>
        <v/>
      </c>
      <c r="X11" s="864"/>
      <c r="Y11" s="863" t="str">
        <f t="shared" ref="Y11" ca="1" si="31">IF(Y7="","",IF(Y8="No habilitado","",Y9+Y10))</f>
        <v/>
      </c>
      <c r="Z11" s="864"/>
      <c r="AA11" s="863" t="str">
        <f t="shared" ref="AA11" ca="1" si="32">IF(AA7="","",IF(AA8="No habilitado","",AA9+AA10))</f>
        <v/>
      </c>
      <c r="AB11" s="864"/>
      <c r="AC11" s="863" t="str">
        <f t="shared" ref="AC11" ca="1" si="33">IF(AC7="","",IF(AC8="No habilitado","",AC9+AC10))</f>
        <v/>
      </c>
      <c r="AD11" s="864"/>
      <c r="AE11" s="863" t="str">
        <f t="shared" ref="AE11" si="34">IF(AE7="","",IF(AE8="No habilitado","",AE9+AE10))</f>
        <v/>
      </c>
      <c r="AF11" s="864"/>
      <c r="AG11" s="863" t="str">
        <f t="shared" ref="AG11" si="35">IF(AG7="","",IF(AG8="No habilitado","",AG9+AG10))</f>
        <v/>
      </c>
      <c r="AH11" s="864"/>
      <c r="AI11" s="863" t="str">
        <f t="shared" ref="AI11" si="36">IF(AI7="","",IF(AI8="No habilitado","",AI9+AI10))</f>
        <v/>
      </c>
      <c r="AJ11" s="864"/>
    </row>
    <row r="12" spans="1:41" ht="21" customHeight="1"/>
    <row r="13" spans="1:41" ht="21.75" customHeight="1">
      <c r="A13" s="146" t="s">
        <v>129</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N13" s="70" t="s">
        <v>148</v>
      </c>
      <c r="AO13" s="70" t="s">
        <v>149</v>
      </c>
    </row>
    <row r="14" spans="1:41" ht="21.75" customHeight="1" outlineLevel="1">
      <c r="A14" s="273" t="s">
        <v>211</v>
      </c>
      <c r="B14" s="148" t="e">
        <f ca="1">IF(A14="","",IF($K$4="Media aritmética",ROUND(AVERAGE(C14,E14,G14,I14,K14,M14,O14,Q14,S14,U14,W14,Y14,AA14,AC14,AE14,AG14,AI14),2),ROUND(_xlfn.STDEV.P(C14,E14,G14,I14,K14,M14,O14,Q14,S14,U14,W14,Y14,AA14,AC14,AE14,AG14,AI14),2)))</f>
        <v>#DIV/0!</v>
      </c>
      <c r="C14" s="149" t="str">
        <f t="shared" ref="C14:C45" si="37">IF($C$8="Habilitado",IF($A14="","",ROUND(VLOOKUP($A14,OFERENTE_1,15,FALSE),2)),"")</f>
        <v/>
      </c>
      <c r="D14" s="150" t="str">
        <f>IF($A14="","",IF(C14="","",IF($K$4="Media aritmética",(C14&lt;=$B14)*($E$5/$B$4)+(C14&gt;$B14)*0,IF(AND(ROUND(AVERAGE($C14,$E14,$G14,$I14,$K14,$M14,$O14,$Q14,$S14,$U14,$W14,$Y14,$AA14,$AC14,$AE14,$AG14,$AI14),2)-$B14/2&lt;=C14,(ROUND(AVERAGE($C14,$E14,$G14,$I14,$K14,$M14,$O14,$Q14,$S14,$U14,$W14,$Y14,$AA14,$AC14,$AE14,$AG14,$AI14),2)+$B14/2&gt;=C14)),($E$5/$B$4),0))))</f>
        <v/>
      </c>
      <c r="E14" s="149" t="str">
        <f t="shared" ref="E14:E45" si="38">IF($E$8="Habilitado",IF($A14="","",ROUND(VLOOKUP($A14,OFERENTE_2,15,FALSE),2)),"")</f>
        <v/>
      </c>
      <c r="F14" s="150" t="str">
        <f>IF($A14="","",IF(E14="","",IF($K$4="Media aritmética",(E14&lt;=$B14)*($E$5/$B$4)+(E14&gt;$B14)*0,IF(AND(ROUND(AVERAGE($C14,$E14,$G14,$I14,$K14,$M14,$O14,$Q14,$S14,$U14,$W14,$Y14,$AA14,$AC14,$AE14,$AG14,$AI14),2)-$B14/2&lt;=E14,(ROUND(AVERAGE($C14,$E14,$G14,$I14,$K14,$M14,$O14,$Q14,$S14,$U14,$W14,$Y14,$AA14,$AC14,$AE14,$AG14,$AI14),2)+$B14/2&gt;=E14)),($E$5/$B$4),0))))</f>
        <v/>
      </c>
      <c r="G14" s="149" t="str">
        <f t="shared" ref="G14:G45" ca="1" si="39">IF($G$8="Habilitado",IF($A14="","",ROUND(VLOOKUP($A14,OFERENTE_3,15,FALSE),2)),"")</f>
        <v/>
      </c>
      <c r="H14" s="150" t="str">
        <f ca="1">IF($A14="","",IF(G14="","",IF($K$4="Media aritmética",(G14&lt;=$B14)*($E$5/$B$4)+(G14&gt;$B14)*0,IF(AND(ROUND(AVERAGE($C14,$E14,$G14,$I14,$K14,$M14,$O14,$Q14,$S14,$U14,$W14,$Y14,$AA14,$AC14,$AE14,$AG14,$AI14),2)-$B14/2&lt;=G14,(ROUND(AVERAGE($C14,$E14,$G14,$I14,$K14,$M14,$O14,$Q14,$S14,$U14,$W14,$Y14,$AA14,$AC14,$AE14,$AG14,$AI14),2)+$B14/2&gt;=G14)),($E$5/$B$4),0))))</f>
        <v/>
      </c>
      <c r="I14" s="149" t="str">
        <f t="shared" ref="I14:I45" ca="1" si="40">IF($I$8="Habilitado",IF($A14="","",ROUND(VLOOKUP($A14,OFERENTE_4,15,FALSE),2)),"")</f>
        <v/>
      </c>
      <c r="J14" s="150" t="str">
        <f ca="1">IF($A14="","",IF(I14="","",IF($K$4="Media aritmética",(I14&lt;=$B14)*($E$5/$B$4)+(I14&gt;$B14)*0,IF(AND(ROUND(AVERAGE($C14,$E14,$G14,$I14,$K14,$M14,$O14,$Q14,$S14,$U14,$W14,$Y14,$AA14,$AC14,$AE14,$AG14,$AI14),2)-$B14/2&lt;=I14,(ROUND(AVERAGE($C14,$E14,$G14,$I14,$K14,$M14,$O14,$Q14,$S14,$U14,$W14,$Y14,$AA14,$AC14,$AE14,$AG14,$AI14),2)+$B14/2&gt;=I14)),($E$5/$B$4),0))))</f>
        <v/>
      </c>
      <c r="K14" s="149" t="str">
        <f t="shared" ref="K14:K45" ca="1" si="41">IF($K$8="Habilitado",IF($A14="","",ROUND(VLOOKUP($A14,OFERENTE_5,15,FALSE),2)),"")</f>
        <v/>
      </c>
      <c r="L14" s="150" t="str">
        <f ca="1">IF($A14="","",IF(K14="","",IF($K$4="Media aritmética",(K14&lt;=$B14)*($E$5/$B$4)+(K14&gt;$B14)*0,IF(AND(ROUND(AVERAGE($C14,$E14,$G14,$I14,$K14,$M14,$O14,$Q14,$S14,$U14,$W14,$Y14,$AA14,$AC14,$AE14,$AG14,$AI14),2)-$B14/2&lt;=K14,(ROUND(AVERAGE($C14,$E14,$G14,$I14,$K14,$M14,$O14,$Q14,$S14,$U14,$W14,$Y14,$AA14,$AC14,$AE14,$AG14,$AI14),2)+$B14/2&gt;=K14)),($E$5/$B$4),0))))</f>
        <v/>
      </c>
      <c r="M14" s="149" t="str">
        <f t="shared" ref="M14:M77" ca="1" si="42">IF($M$8="Habilitado",IF($A14="","",ROUND(VLOOKUP($A14,OFERENTE_6,15,FALSE),2)),"")</f>
        <v/>
      </c>
      <c r="N14" s="150" t="str">
        <f ca="1">IF($A14="","",IF(M14="","",IF($K$4="Media aritmética",(M14&lt;=$B14)*($E$5/$B$4)+(M14&gt;$B14)*0,IF(AND(ROUND(AVERAGE($C14,$E14,$G14,$I14,$K14,$M14,$O14,$Q14,$S14,$U14,$W14,$Y14,$AA14,$AC14,$AE14,$AG14,$AI14),2)-$B14/2&lt;=M14,(ROUND(AVERAGE($C14,$E14,$G14,$I14,$K14,$M14,$O14,$Q14,$S14,$U14,$W14,$Y14,$AA14,$AC14,$AE14,$AG14,$AI14),2)+$B14/2&gt;=M14)),($E$5/$B$4),0))))</f>
        <v/>
      </c>
      <c r="O14" s="149" t="str">
        <f t="shared" ref="O14:O45" ca="1" si="43">IF($O$8="Habilitado",IF($A14="","",ROUND(VLOOKUP($A14,OFERENTE_7,15,FALSE),2)),"")</f>
        <v/>
      </c>
      <c r="P14" s="150" t="str">
        <f ca="1">IF($A14="","",IF(O14="","",IF($K$4="Media aritmética",(O14&lt;=$B14)*($E$5/$B$4)+(O14&gt;$B14)*0,IF(AND(ROUND(AVERAGE($C14,$E14,$G14,$I14,$K14,$M14,$O14,$Q14,$S14,$U14,$W14,$Y14,$AA14,$AC14,$AE14,$AG14,$AI14),2)-$B14/2&lt;=O14,(ROUND(AVERAGE($C14,$E14,$G14,$I14,$K14,$M14,$O14,$Q14,$S14,$U14,$W14,$Y14,$AA14,$AC14,$AE14,$AG14,$AI14),2)+$B14/2&gt;=O14)),($E$5/$B$4),0))))</f>
        <v/>
      </c>
      <c r="Q14" s="149" t="str">
        <f t="shared" ref="Q14:Q45" ca="1" si="44">IF($Q$8="Habilitado",IF($A14="","",ROUND(VLOOKUP($A14,OFERENTE_8,15,FALSE),2)),"")</f>
        <v/>
      </c>
      <c r="R14" s="150" t="str">
        <f ca="1">IF($A14="","",IF(Q14="","",IF($K$4="Media aritmética",(Q14&lt;=$B14)*($E$5/$B$4)+(Q14&gt;$B14)*0,IF(AND(ROUND(AVERAGE($C14,$E14,$G14,$I14,$K14,$M14,$O14,$Q14,$S14,$U14,$W14,$Y14,$AA14,$AC14,$AE14,$AG14,$AI14),2)-$B14/2&lt;=Q14,(ROUND(AVERAGE($C14,$E14,$G14,$I14,$K14,$M14,$O14,$Q14,$S14,$U14,$W14,$Y14,$AA14,$AC14,$AE14,$AG14,$AI14),2)+$B14/2&gt;=Q14)),($E$5/$B$4),0))))</f>
        <v/>
      </c>
      <c r="S14" s="149" t="str">
        <f t="shared" ref="S14:S45" ca="1" si="45">IF($S$8="Habilitado",IF($A14="","",ROUND(VLOOKUP($A14,OFERENTE_9,15,FALSE),2)),"")</f>
        <v/>
      </c>
      <c r="T14" s="150" t="str">
        <f ca="1">IF($A14="","",IF(S14="","",IF($K$4="Media aritmética",(S14&lt;=$B14)*($E$5/$B$4)+(S14&gt;$B14)*0,IF(AND(ROUND(AVERAGE($C14,$E14,$G14,$I14,$K14,$M14,$O14,$Q14,$S14,$U14,$W14,$Y14,$AA14,$AC14,$AE14,$AG14,$AI14),2)-$B14/2&lt;=S14,(ROUND(AVERAGE($C14,$E14,$G14,$I14,$K14,$M14,$O14,$Q14,$S14,$U14,$W14,$Y14,$AA14,$AC14,$AE14,$AG14,$AI14),2)+$B14/2&gt;=S14)),($E$5/$B$4),0))))</f>
        <v/>
      </c>
      <c r="U14" s="149" t="str">
        <f t="shared" ref="U14:U45" ca="1" si="46">IF($U$8="Habilitado",IF($A14="","",ROUND(VLOOKUP($A14,OFERENTE_10,15,FALSE),2)),"")</f>
        <v/>
      </c>
      <c r="V14" s="150" t="str">
        <f ca="1">IF($A14="","",IF(U14="","",IF($K$4="Media aritmética",(U14&lt;=$B14)*($E$5/$B$4)+(U14&gt;$B14)*0,IF(AND(ROUND(AVERAGE($C14,$E14,$G14,$I14,$K14,$M14,$O14,$Q14,$S14,$U14,$W14,$Y14,$AA14,$AC14,$AE14,$AG14,$AI14),2)-$B14/2&lt;=U14,(ROUND(AVERAGE($C14,$E14,$G14,$I14,$K14,$M14,$O14,$Q14,$S14,$U14,$W14,$Y14,$AA14,$AC14,$AE14,$AG14,$AI14),2)+$B14/2&gt;=U14)),($E$5/$B$4),0))))</f>
        <v/>
      </c>
      <c r="W14" s="149" t="str">
        <f t="shared" ref="W14:W45" ca="1" si="47">IF($W$8="Habilitado",IF($A14="","",ROUND(VLOOKUP($A14,OFERENTE_11,15,FALSE),2)),"")</f>
        <v/>
      </c>
      <c r="X14" s="150" t="str">
        <f ca="1">IF($A14="","",IF(W14="","",IF($K$4="Media aritmética",(W14&lt;=$B14)*($E$5/$B$4)+(W14&gt;$B14)*0,IF(AND(ROUND(AVERAGE($C14,$E14,$G14,$I14,$K14,$M14,$O14,$Q14,$S14,$U14,$W14,$Y14,$AA14,$AC14,$AE14,$AG14,$AI14),2)-$B14/2&lt;=W14,(ROUND(AVERAGE($C14,$E14,$G14,$I14,$K14,$M14,$O14,$Q14,$S14,$U14,$W14,$Y14,$AA14,$AC14,$AE14,$AG14,$AI14),2)+$B14/2&gt;=W14)),($E$5/$B$4),0))))</f>
        <v/>
      </c>
      <c r="Y14" s="149" t="str">
        <f t="shared" ref="Y14:Y45" ca="1" si="48">IF($Y$8="Habilitado",IF($A14="","",ROUND(VLOOKUP($A14,OFERENTE_12,15,FALSE),2)),"")</f>
        <v/>
      </c>
      <c r="Z14" s="150" t="str">
        <f ca="1">IF($A14="","",IF(Y14="","",IF($K$4="Media aritmética",(Y14&lt;=$B14)*($E$5/$B$4)+(Y14&gt;$B14)*0,IF(AND(ROUND(AVERAGE($C14,$E14,$G14,$I14,$K14,$M14,$O14,$Q14,$S14,$U14,$W14,$Y14,$AA14,$AC14,$AE14,$AG14,$AI14),2)-$B14/2&lt;=Y14,(ROUND(AVERAGE($C14,$E14,$G14,$I14,$K14,$M14,$O14,$Q14,$S14,$U14,$W14,$Y14,$AA14,$AC14,$AE14,$AG14,$AI14),2)+$B14/2&gt;=Y14)),($E$5/$B$4),0))))</f>
        <v/>
      </c>
      <c r="AA14" s="149" t="str">
        <f t="shared" ref="AA14:AA45" ca="1" si="49">IF($AA$8="Habilitado",IF($A14="","",ROUND(VLOOKUP($A14,OFERENTE_13,15,FALSE),2)),"")</f>
        <v/>
      </c>
      <c r="AB14" s="150" t="str">
        <f ca="1">IF($A14="","",IF(AA14="","",IF($K$4="Media aritmética",(AA14&lt;=$B14)*($E$5/$B$4)+(AA14&gt;$B14)*0,IF(AND(ROUND(AVERAGE($C14,$E14,$G14,$I14,$K14,$M14,$O14,$Q14,$S14,$U14,$W14,$Y14,$AA14,$AC14,$AE14,$AG14,$AI14),2)-$B14/2&lt;=AA14,(ROUND(AVERAGE($C14,$E14,$G14,$I14,$K14,$M14,$O14,$Q14,$S14,$U14,$W14,$Y14,$AA14,$AC14,$AE14,$AG14,$AI14),2)+$B14/2&gt;=AA14)),($E$5/$B$4),0))))</f>
        <v/>
      </c>
      <c r="AC14" s="149" t="str">
        <f t="shared" ref="AC14:AC45" ca="1" si="50">IF($AC$8="Habilitado",IF($A14="","",ROUND(VLOOKUP($A14,OFERENTE_14,15,FALSE),2)),"")</f>
        <v/>
      </c>
      <c r="AD14" s="150" t="str">
        <f ca="1">IF($A14="","",IF(AC14="","",IF($K$4="Media aritmética",(AC14&lt;=$B14)*($E$5/$B$4)+(AC14&gt;$B14)*0,IF(AND(ROUND(AVERAGE($C14,$E14,$G14,$I14,$K14,$M14,$O14,$Q14,$S14,$U14,$W14,$Y14,$AA14,$AC14,$AE14,$AG14,$AI14),2)-$B14/2&lt;=AC14,(ROUND(AVERAGE($C14,$E14,$G14,$I14,$K14,$M14,$O14,$Q14,$S14,$U14,$W14,$Y14,$AA14,$AC14,$AE14,$AG14,$AI14),2)+$B14/2&gt;=AC14)),($E$5/$B$4),0))))</f>
        <v/>
      </c>
      <c r="AE14" s="146"/>
      <c r="AF14" s="146"/>
      <c r="AG14" s="146"/>
      <c r="AH14" s="146"/>
      <c r="AI14" s="146"/>
      <c r="AJ14" s="146"/>
      <c r="AL14" s="211" t="e">
        <f ca="1">AVERAGE(C14,E14,G14,I14,K14,M14,O14,Q14,S14,U14,W14,Y14,AC14)</f>
        <v>#DIV/0!</v>
      </c>
      <c r="AM14" s="70" t="e">
        <f ca="1">_xlfn.STDEV.P(C14,E14,G14,I14,K14,M14,O14,Q14,S14,U14,W14,Y14,AC14)</f>
        <v>#DIV/0!</v>
      </c>
      <c r="AN14" s="276" t="e">
        <f ca="1">AL14+(AM14/2)</f>
        <v>#DIV/0!</v>
      </c>
      <c r="AO14" s="276" t="e">
        <f ca="1">AL14-(AM14/2)</f>
        <v>#DIV/0!</v>
      </c>
    </row>
    <row r="15" spans="1:41" ht="21.75" customHeight="1" outlineLevel="1">
      <c r="A15" s="273">
        <v>1.2</v>
      </c>
      <c r="B15" s="148" t="e">
        <f t="shared" ref="B15:B68" ca="1" si="51">IF(A15="","",IF($K$4="Media aritmética",ROUND(AVERAGE(C15,E15,G15,I15,K15,M15,O15,Q15,S15,U15,W15,Y15,AA15,AC15,AE15,AG15,AI15),2),ROUND(_xlfn.STDEV.P(C15,E15,G15,I15,K15,M15,O15,Q15,S15,U15,W15,Y15,AA15,AC15,AE15,AG15,AI15),2)))</f>
        <v>#DIV/0!</v>
      </c>
      <c r="C15" s="149" t="str">
        <f t="shared" si="37"/>
        <v/>
      </c>
      <c r="D15" s="150" t="str">
        <f t="shared" ref="D15:D68" si="52">IF($A15="","",IF(C15="","",IF($K$4="Media aritmética",(C15&lt;=$B15)*($E$5/$B$4)+(C15&gt;$B15)*0,IF(AND(ROUND(AVERAGE($C15,$E15,$G15,$I15,$K15,$M15,$O15,$Q15,$S15,$U15,$W15,$Y15,$AA15,$AC15,$AE15,$AG15,$AI15),2)-$B15/2&lt;=C15,(ROUND(AVERAGE($C15,$E15,$G15,$I15,$K15,$M15,$O15,$Q15,$S15,$U15,$W15,$Y15,$AA15,$AC15,$AE15,$AG15,$AI15),2)+$B15/2&gt;=C15)),($E$5/$B$4),0))))</f>
        <v/>
      </c>
      <c r="E15" s="149" t="str">
        <f t="shared" si="38"/>
        <v/>
      </c>
      <c r="F15" s="150" t="str">
        <f t="shared" ref="F15:F68" si="53">IF($A15="","",IF(E15="","",IF($K$4="Media aritmética",(E15&lt;=$B15)*($E$5/$B$4)+(E15&gt;$B15)*0,IF(AND(ROUND(AVERAGE($C15,$E15,$G15,$I15,$K15,$M15,$O15,$Q15,$S15,$U15,$W15,$Y15,$AA15,$AC15,$AE15,$AG15,$AI15),2)-$B15/2&lt;=E15,(ROUND(AVERAGE($C15,$E15,$G15,$I15,$K15,$M15,$O15,$Q15,$S15,$U15,$W15,$Y15,$AA15,$AC15,$AE15,$AG15,$AI15),2)+$B15/2&gt;=E15)),($E$5/$B$4),0))))</f>
        <v/>
      </c>
      <c r="G15" s="149" t="str">
        <f t="shared" ca="1" si="39"/>
        <v/>
      </c>
      <c r="H15" s="150" t="str">
        <f t="shared" ref="H15:H68" ca="1" si="54">IF($A15="","",IF(G15="","",IF($K$4="Media aritmética",(G15&lt;=$B15)*($E$5/$B$4)+(G15&gt;$B15)*0,IF(AND(ROUND(AVERAGE($C15,$E15,$G15,$I15,$K15,$M15,$O15,$Q15,$S15,$U15,$W15,$Y15,$AA15,$AC15,$AE15,$AG15,$AI15),2)-$B15/2&lt;=G15,(ROUND(AVERAGE($C15,$E15,$G15,$I15,$K15,$M15,$O15,$Q15,$S15,$U15,$W15,$Y15,$AA15,$AC15,$AE15,$AG15,$AI15),2)+$B15/2&gt;=G15)),($E$5/$B$4),0))))</f>
        <v/>
      </c>
      <c r="I15" s="149" t="str">
        <f t="shared" ca="1" si="40"/>
        <v/>
      </c>
      <c r="J15" s="150" t="str">
        <f t="shared" ref="J15:J68" ca="1" si="55">IF($A15="","",IF(I15="","",IF($K$4="Media aritmética",(I15&lt;=$B15)*($E$5/$B$4)+(I15&gt;$B15)*0,IF(AND(ROUND(AVERAGE($C15,$E15,$G15,$I15,$K15,$M15,$O15,$Q15,$S15,$U15,$W15,$Y15,$AA15,$AC15,$AE15,$AG15,$AI15),2)-$B15/2&lt;=I15,(ROUND(AVERAGE($C15,$E15,$G15,$I15,$K15,$M15,$O15,$Q15,$S15,$U15,$W15,$Y15,$AA15,$AC15,$AE15,$AG15,$AI15),2)+$B15/2&gt;=I15)),($E$5/$B$4),0))))</f>
        <v/>
      </c>
      <c r="K15" s="149" t="str">
        <f t="shared" ca="1" si="41"/>
        <v/>
      </c>
      <c r="L15" s="150" t="str">
        <f t="shared" ref="L15:L68" ca="1" si="56">IF($A15="","",IF(K15="","",IF($K$4="Media aritmética",(K15&lt;=$B15)*($E$5/$B$4)+(K15&gt;$B15)*0,IF(AND(ROUND(AVERAGE($C15,$E15,$G15,$I15,$K15,$M15,$O15,$Q15,$S15,$U15,$W15,$Y15,$AA15,$AC15,$AE15,$AG15,$AI15),2)-$B15/2&lt;=K15,(ROUND(AVERAGE($C15,$E15,$G15,$I15,$K15,$M15,$O15,$Q15,$S15,$U15,$W15,$Y15,$AA15,$AC15,$AE15,$AG15,$AI15),2)+$B15/2&gt;=K15)),($E$5/$B$4),0))))</f>
        <v/>
      </c>
      <c r="M15" s="149" t="str">
        <f t="shared" ca="1" si="42"/>
        <v/>
      </c>
      <c r="N15" s="150" t="str">
        <f t="shared" ref="N15:N68" ca="1" si="57">IF($A15="","",IF(M15="","",IF($K$4="Media aritmética",(M15&lt;=$B15)*($E$5/$B$4)+(M15&gt;$B15)*0,IF(AND(ROUND(AVERAGE($C15,$E15,$G15,$I15,$K15,$M15,$O15,$Q15,$S15,$U15,$W15,$Y15,$AA15,$AC15,$AE15,$AG15,$AI15),2)-$B15/2&lt;=M15,(ROUND(AVERAGE($C15,$E15,$G15,$I15,$K15,$M15,$O15,$Q15,$S15,$U15,$W15,$Y15,$AA15,$AC15,$AE15,$AG15,$AI15),2)+$B15/2&gt;=M15)),($E$5/$B$4),0))))</f>
        <v/>
      </c>
      <c r="O15" s="149" t="str">
        <f t="shared" ca="1" si="43"/>
        <v/>
      </c>
      <c r="P15" s="150" t="str">
        <f t="shared" ref="P15:P68" ca="1" si="58">IF($A15="","",IF(O15="","",IF($K$4="Media aritmética",(O15&lt;=$B15)*($E$5/$B$4)+(O15&gt;$B15)*0,IF(AND(ROUND(AVERAGE($C15,$E15,$G15,$I15,$K15,$M15,$O15,$Q15,$S15,$U15,$W15,$Y15,$AA15,$AC15,$AE15,$AG15,$AI15),2)-$B15/2&lt;=O15,(ROUND(AVERAGE($C15,$E15,$G15,$I15,$K15,$M15,$O15,$Q15,$S15,$U15,$W15,$Y15,$AA15,$AC15,$AE15,$AG15,$AI15),2)+$B15/2&gt;=O15)),($E$5/$B$4),0))))</f>
        <v/>
      </c>
      <c r="Q15" s="149" t="str">
        <f t="shared" ca="1" si="44"/>
        <v/>
      </c>
      <c r="R15" s="150" t="str">
        <f t="shared" ref="R15:R68" ca="1" si="59">IF($A15="","",IF(Q15="","",IF($K$4="Media aritmética",(Q15&lt;=$B15)*($E$5/$B$4)+(Q15&gt;$B15)*0,IF(AND(ROUND(AVERAGE($C15,$E15,$G15,$I15,$K15,$M15,$O15,$Q15,$S15,$U15,$W15,$Y15,$AA15,$AC15,$AE15,$AG15,$AI15),2)-$B15/2&lt;=Q15,(ROUND(AVERAGE($C15,$E15,$G15,$I15,$K15,$M15,$O15,$Q15,$S15,$U15,$W15,$Y15,$AA15,$AC15,$AE15,$AG15,$AI15),2)+$B15/2&gt;=Q15)),($E$5/$B$4),0))))</f>
        <v/>
      </c>
      <c r="S15" s="149" t="str">
        <f t="shared" ca="1" si="45"/>
        <v/>
      </c>
      <c r="T15" s="150" t="str">
        <f t="shared" ref="T15:T68" ca="1" si="60">IF($A15="","",IF(S15="","",IF($K$4="Media aritmética",(S15&lt;=$B15)*($E$5/$B$4)+(S15&gt;$B15)*0,IF(AND(ROUND(AVERAGE($C15,$E15,$G15,$I15,$K15,$M15,$O15,$Q15,$S15,$U15,$W15,$Y15,$AA15,$AC15,$AE15,$AG15,$AI15),2)-$B15/2&lt;=S15,(ROUND(AVERAGE($C15,$E15,$G15,$I15,$K15,$M15,$O15,$Q15,$S15,$U15,$W15,$Y15,$AA15,$AC15,$AE15,$AG15,$AI15),2)+$B15/2&gt;=S15)),($E$5/$B$4),0))))</f>
        <v/>
      </c>
      <c r="U15" s="149" t="str">
        <f t="shared" ca="1" si="46"/>
        <v/>
      </c>
      <c r="V15" s="150" t="str">
        <f t="shared" ref="V15:V68" ca="1" si="61">IF($A15="","",IF(U15="","",IF($K$4="Media aritmética",(U15&lt;=$B15)*($E$5/$B$4)+(U15&gt;$B15)*0,IF(AND(ROUND(AVERAGE($C15,$E15,$G15,$I15,$K15,$M15,$O15,$Q15,$S15,$U15,$W15,$Y15,$AA15,$AC15,$AE15,$AG15,$AI15),2)-$B15/2&lt;=U15,(ROUND(AVERAGE($C15,$E15,$G15,$I15,$K15,$M15,$O15,$Q15,$S15,$U15,$W15,$Y15,$AA15,$AC15,$AE15,$AG15,$AI15),2)+$B15/2&gt;=U15)),($E$5/$B$4),0))))</f>
        <v/>
      </c>
      <c r="W15" s="149" t="str">
        <f t="shared" ca="1" si="47"/>
        <v/>
      </c>
      <c r="X15" s="150" t="str">
        <f t="shared" ref="X15:X76" ca="1" si="62">IF($A15="","",IF(W15="","",IF($K$4="Media aritmética",(W15&lt;=$B15)*($E$5/$B$4)+(W15&gt;$B15)*0,IF(AND(ROUND(AVERAGE($C15,$E15,$G15,$I15,$K15,$M15,$O15,$Q15,$S15,$U15,$W15,$Y15,$AA15,$AC15,$AE15,$AG15,$AI15),2)-$B15/2&lt;=W15,(ROUND(AVERAGE($C15,$E15,$G15,$I15,$K15,$M15,$O15,$Q15,$S15,$U15,$W15,$Y15,$AA15,$AC15,$AE15,$AG15,$AI15),2)+$B15/2&gt;=W15)),($E$5/$B$4),0))))</f>
        <v/>
      </c>
      <c r="Y15" s="149" t="str">
        <f t="shared" ca="1" si="48"/>
        <v/>
      </c>
      <c r="Z15" s="150" t="str">
        <f t="shared" ref="Z15:Z76" ca="1" si="63">IF($A15="","",IF(Y15="","",IF($K$4="Media aritmética",(Y15&lt;=$B15)*($E$5/$B$4)+(Y15&gt;$B15)*0,IF(AND(ROUND(AVERAGE($C15,$E15,$G15,$I15,$K15,$M15,$O15,$Q15,$S15,$U15,$W15,$Y15,$AA15,$AC15,$AE15,$AG15,$AI15),2)-$B15/2&lt;=Y15,(ROUND(AVERAGE($C15,$E15,$G15,$I15,$K15,$M15,$O15,$Q15,$S15,$U15,$W15,$Y15,$AA15,$AC15,$AE15,$AG15,$AI15),2)+$B15/2&gt;=Y15)),($E$5/$B$4),0))))</f>
        <v/>
      </c>
      <c r="AA15" s="149" t="str">
        <f t="shared" ca="1" si="49"/>
        <v/>
      </c>
      <c r="AB15" s="150" t="str">
        <f t="shared" ref="AB15:AB76" ca="1" si="64">IF($A15="","",IF(AA15="","",IF($K$4="Media aritmética",(AA15&lt;=$B15)*($E$5/$B$4)+(AA15&gt;$B15)*0,IF(AND(ROUND(AVERAGE($C15,$E15,$G15,$I15,$K15,$M15,$O15,$Q15,$S15,$U15,$W15,$Y15,$AA15,$AC15,$AE15,$AG15,$AI15),2)-$B15/2&lt;=AA15,(ROUND(AVERAGE($C15,$E15,$G15,$I15,$K15,$M15,$O15,$Q15,$S15,$U15,$W15,$Y15,$AA15,$AC15,$AE15,$AG15,$AI15),2)+$B15/2&gt;=AA15)),($E$5/$B$4),0))))</f>
        <v/>
      </c>
      <c r="AC15" s="149" t="str">
        <f t="shared" ca="1" si="50"/>
        <v/>
      </c>
      <c r="AD15" s="150" t="str">
        <f t="shared" ref="AD15:AD76" ca="1" si="65">IF($A15="","",IF(AC15="","",IF($K$4="Media aritmética",(AC15&lt;=$B15)*($E$5/$B$4)+(AC15&gt;$B15)*0,IF(AND(ROUND(AVERAGE($C15,$E15,$G15,$I15,$K15,$M15,$O15,$Q15,$S15,$U15,$W15,$Y15,$AA15,$AC15,$AE15,$AG15,$AI15),2)-$B15/2&lt;=AC15,(ROUND(AVERAGE($C15,$E15,$G15,$I15,$K15,$M15,$O15,$Q15,$S15,$U15,$W15,$Y15,$AA15,$AC15,$AE15,$AG15,$AI15),2)+$B15/2&gt;=AC15)),($E$5/$B$4),0))))</f>
        <v/>
      </c>
      <c r="AE15" s="146"/>
      <c r="AF15" s="146"/>
      <c r="AG15" s="146"/>
      <c r="AH15" s="146"/>
      <c r="AI15" s="146"/>
      <c r="AJ15" s="146"/>
      <c r="AL15" s="211" t="e">
        <f t="shared" ref="AL15:AL78" ca="1" si="66">AVERAGE(C15,E15,G15,I15,K15,M15,O15,Q15,S15,U15,W15,Y15,AC15)</f>
        <v>#DIV/0!</v>
      </c>
      <c r="AM15" s="70" t="e">
        <f t="shared" ref="AM15:AM78" ca="1" si="67">_xlfn.STDEV.P(C15,E15,G15,I15,K15,M15,O15,Q15,S15,U15,W15,Y15,AC15)</f>
        <v>#DIV/0!</v>
      </c>
      <c r="AN15" s="276" t="e">
        <f t="shared" ref="AN15:AN78" ca="1" si="68">AL15+(AM15/2)</f>
        <v>#DIV/0!</v>
      </c>
      <c r="AO15" s="276" t="e">
        <f t="shared" ref="AO15:AO78" ca="1" si="69">AL15-(AM15/2)</f>
        <v>#DIV/0!</v>
      </c>
    </row>
    <row r="16" spans="1:41" ht="21.75" customHeight="1" outlineLevel="1">
      <c r="A16" s="273" t="s">
        <v>212</v>
      </c>
      <c r="B16" s="148" t="e">
        <f t="shared" ca="1" si="51"/>
        <v>#DIV/0!</v>
      </c>
      <c r="C16" s="149" t="str">
        <f t="shared" si="37"/>
        <v/>
      </c>
      <c r="D16" s="150" t="str">
        <f t="shared" si="52"/>
        <v/>
      </c>
      <c r="E16" s="149" t="str">
        <f t="shared" si="38"/>
        <v/>
      </c>
      <c r="F16" s="150" t="str">
        <f t="shared" si="53"/>
        <v/>
      </c>
      <c r="G16" s="149" t="str">
        <f t="shared" ca="1" si="39"/>
        <v/>
      </c>
      <c r="H16" s="150" t="str">
        <f t="shared" ca="1" si="54"/>
        <v/>
      </c>
      <c r="I16" s="149" t="str">
        <f t="shared" ca="1" si="40"/>
        <v/>
      </c>
      <c r="J16" s="150" t="str">
        <f t="shared" ca="1" si="55"/>
        <v/>
      </c>
      <c r="K16" s="149" t="str">
        <f t="shared" ca="1" si="41"/>
        <v/>
      </c>
      <c r="L16" s="150" t="str">
        <f t="shared" ca="1" si="56"/>
        <v/>
      </c>
      <c r="M16" s="149" t="str">
        <f t="shared" ca="1" si="42"/>
        <v/>
      </c>
      <c r="N16" s="150" t="str">
        <f t="shared" ca="1" si="57"/>
        <v/>
      </c>
      <c r="O16" s="149" t="str">
        <f t="shared" ca="1" si="43"/>
        <v/>
      </c>
      <c r="P16" s="150" t="str">
        <f t="shared" ca="1" si="58"/>
        <v/>
      </c>
      <c r="Q16" s="149" t="str">
        <f t="shared" ca="1" si="44"/>
        <v/>
      </c>
      <c r="R16" s="150" t="str">
        <f t="shared" ca="1" si="59"/>
        <v/>
      </c>
      <c r="S16" s="149" t="str">
        <f t="shared" ca="1" si="45"/>
        <v/>
      </c>
      <c r="T16" s="150" t="str">
        <f t="shared" ca="1" si="60"/>
        <v/>
      </c>
      <c r="U16" s="149" t="str">
        <f t="shared" ca="1" si="46"/>
        <v/>
      </c>
      <c r="V16" s="150" t="str">
        <f t="shared" ca="1" si="61"/>
        <v/>
      </c>
      <c r="W16" s="149" t="str">
        <f t="shared" ca="1" si="47"/>
        <v/>
      </c>
      <c r="X16" s="150" t="str">
        <f t="shared" ca="1" si="62"/>
        <v/>
      </c>
      <c r="Y16" s="149" t="str">
        <f t="shared" ca="1" si="48"/>
        <v/>
      </c>
      <c r="Z16" s="150" t="str">
        <f t="shared" ca="1" si="63"/>
        <v/>
      </c>
      <c r="AA16" s="149" t="str">
        <f t="shared" ca="1" si="49"/>
        <v/>
      </c>
      <c r="AB16" s="150" t="str">
        <f t="shared" ca="1" si="64"/>
        <v/>
      </c>
      <c r="AC16" s="149" t="str">
        <f t="shared" ca="1" si="50"/>
        <v/>
      </c>
      <c r="AD16" s="150" t="str">
        <f t="shared" ca="1" si="65"/>
        <v/>
      </c>
      <c r="AE16" s="146"/>
      <c r="AF16" s="146"/>
      <c r="AG16" s="146"/>
      <c r="AH16" s="146"/>
      <c r="AI16" s="146"/>
      <c r="AJ16" s="146"/>
      <c r="AL16" s="211" t="e">
        <f t="shared" ca="1" si="66"/>
        <v>#DIV/0!</v>
      </c>
      <c r="AM16" s="70" t="e">
        <f t="shared" ca="1" si="67"/>
        <v>#DIV/0!</v>
      </c>
      <c r="AN16" s="276" t="e">
        <f t="shared" ca="1" si="68"/>
        <v>#DIV/0!</v>
      </c>
      <c r="AO16" s="276" t="e">
        <f t="shared" ca="1" si="69"/>
        <v>#DIV/0!</v>
      </c>
    </row>
    <row r="17" spans="1:41" ht="21.75" customHeight="1" outlineLevel="1">
      <c r="A17" s="274">
        <v>1.6</v>
      </c>
      <c r="B17" s="148" t="e">
        <f t="shared" ca="1" si="51"/>
        <v>#DIV/0!</v>
      </c>
      <c r="C17" s="149" t="str">
        <f t="shared" si="37"/>
        <v/>
      </c>
      <c r="D17" s="150" t="str">
        <f t="shared" si="52"/>
        <v/>
      </c>
      <c r="E17" s="149" t="str">
        <f t="shared" si="38"/>
        <v/>
      </c>
      <c r="F17" s="150" t="str">
        <f t="shared" si="53"/>
        <v/>
      </c>
      <c r="G17" s="149" t="str">
        <f t="shared" ca="1" si="39"/>
        <v/>
      </c>
      <c r="H17" s="150" t="str">
        <f t="shared" ca="1" si="54"/>
        <v/>
      </c>
      <c r="I17" s="149" t="str">
        <f t="shared" ca="1" si="40"/>
        <v/>
      </c>
      <c r="J17" s="150" t="str">
        <f t="shared" ca="1" si="55"/>
        <v/>
      </c>
      <c r="K17" s="149" t="str">
        <f t="shared" ca="1" si="41"/>
        <v/>
      </c>
      <c r="L17" s="150" t="str">
        <f t="shared" ca="1" si="56"/>
        <v/>
      </c>
      <c r="M17" s="149" t="str">
        <f t="shared" ca="1" si="42"/>
        <v/>
      </c>
      <c r="N17" s="150" t="str">
        <f t="shared" ca="1" si="57"/>
        <v/>
      </c>
      <c r="O17" s="149" t="str">
        <f t="shared" ca="1" si="43"/>
        <v/>
      </c>
      <c r="P17" s="150" t="str">
        <f t="shared" ca="1" si="58"/>
        <v/>
      </c>
      <c r="Q17" s="149" t="str">
        <f t="shared" ca="1" si="44"/>
        <v/>
      </c>
      <c r="R17" s="150" t="str">
        <f t="shared" ca="1" si="59"/>
        <v/>
      </c>
      <c r="S17" s="149" t="str">
        <f t="shared" ca="1" si="45"/>
        <v/>
      </c>
      <c r="T17" s="150" t="str">
        <f t="shared" ca="1" si="60"/>
        <v/>
      </c>
      <c r="U17" s="149" t="str">
        <f t="shared" ca="1" si="46"/>
        <v/>
      </c>
      <c r="V17" s="150" t="str">
        <f t="shared" ca="1" si="61"/>
        <v/>
      </c>
      <c r="W17" s="149" t="str">
        <f t="shared" ca="1" si="47"/>
        <v/>
      </c>
      <c r="X17" s="150" t="str">
        <f t="shared" ca="1" si="62"/>
        <v/>
      </c>
      <c r="Y17" s="149" t="str">
        <f t="shared" ca="1" si="48"/>
        <v/>
      </c>
      <c r="Z17" s="150" t="str">
        <f t="shared" ca="1" si="63"/>
        <v/>
      </c>
      <c r="AA17" s="149" t="str">
        <f t="shared" ca="1" si="49"/>
        <v/>
      </c>
      <c r="AB17" s="150" t="str">
        <f t="shared" ca="1" si="64"/>
        <v/>
      </c>
      <c r="AC17" s="149" t="str">
        <f t="shared" ca="1" si="50"/>
        <v/>
      </c>
      <c r="AD17" s="150" t="str">
        <f t="shared" ca="1" si="65"/>
        <v/>
      </c>
      <c r="AE17" s="146"/>
      <c r="AF17" s="146"/>
      <c r="AG17" s="146"/>
      <c r="AH17" s="146"/>
      <c r="AI17" s="146"/>
      <c r="AJ17" s="146"/>
      <c r="AL17" s="211" t="e">
        <f t="shared" ca="1" si="66"/>
        <v>#DIV/0!</v>
      </c>
      <c r="AM17" s="70" t="e">
        <f t="shared" ca="1" si="67"/>
        <v>#DIV/0!</v>
      </c>
      <c r="AN17" s="276" t="e">
        <f t="shared" ca="1" si="68"/>
        <v>#DIV/0!</v>
      </c>
      <c r="AO17" s="276" t="e">
        <f t="shared" ca="1" si="69"/>
        <v>#DIV/0!</v>
      </c>
    </row>
    <row r="18" spans="1:41" ht="21.75" customHeight="1" outlineLevel="1">
      <c r="A18" s="273">
        <v>1.7</v>
      </c>
      <c r="B18" s="148" t="e">
        <f t="shared" ca="1" si="51"/>
        <v>#DIV/0!</v>
      </c>
      <c r="C18" s="149" t="str">
        <f t="shared" si="37"/>
        <v/>
      </c>
      <c r="D18" s="150" t="str">
        <f t="shared" si="52"/>
        <v/>
      </c>
      <c r="E18" s="149" t="str">
        <f t="shared" si="38"/>
        <v/>
      </c>
      <c r="F18" s="150" t="str">
        <f t="shared" si="53"/>
        <v/>
      </c>
      <c r="G18" s="149" t="str">
        <f t="shared" ca="1" si="39"/>
        <v/>
      </c>
      <c r="H18" s="150" t="str">
        <f t="shared" ca="1" si="54"/>
        <v/>
      </c>
      <c r="I18" s="149" t="str">
        <f t="shared" ca="1" si="40"/>
        <v/>
      </c>
      <c r="J18" s="150" t="str">
        <f t="shared" ca="1" si="55"/>
        <v/>
      </c>
      <c r="K18" s="149" t="str">
        <f t="shared" ca="1" si="41"/>
        <v/>
      </c>
      <c r="L18" s="150" t="str">
        <f t="shared" ca="1" si="56"/>
        <v/>
      </c>
      <c r="M18" s="149" t="str">
        <f t="shared" ca="1" si="42"/>
        <v/>
      </c>
      <c r="N18" s="150" t="str">
        <f t="shared" ca="1" si="57"/>
        <v/>
      </c>
      <c r="O18" s="149" t="str">
        <f t="shared" ca="1" si="43"/>
        <v/>
      </c>
      <c r="P18" s="150" t="str">
        <f t="shared" ca="1" si="58"/>
        <v/>
      </c>
      <c r="Q18" s="149" t="str">
        <f t="shared" ca="1" si="44"/>
        <v/>
      </c>
      <c r="R18" s="150" t="str">
        <f t="shared" ca="1" si="59"/>
        <v/>
      </c>
      <c r="S18" s="149" t="str">
        <f t="shared" ca="1" si="45"/>
        <v/>
      </c>
      <c r="T18" s="150" t="str">
        <f t="shared" ca="1" si="60"/>
        <v/>
      </c>
      <c r="U18" s="149" t="str">
        <f t="shared" ca="1" si="46"/>
        <v/>
      </c>
      <c r="V18" s="150" t="str">
        <f t="shared" ca="1" si="61"/>
        <v/>
      </c>
      <c r="W18" s="149" t="str">
        <f t="shared" ca="1" si="47"/>
        <v/>
      </c>
      <c r="X18" s="150" t="str">
        <f t="shared" ca="1" si="62"/>
        <v/>
      </c>
      <c r="Y18" s="149" t="str">
        <f t="shared" ca="1" si="48"/>
        <v/>
      </c>
      <c r="Z18" s="150" t="str">
        <f t="shared" ca="1" si="63"/>
        <v/>
      </c>
      <c r="AA18" s="149" t="str">
        <f t="shared" ca="1" si="49"/>
        <v/>
      </c>
      <c r="AB18" s="150" t="str">
        <f t="shared" ca="1" si="64"/>
        <v/>
      </c>
      <c r="AC18" s="149" t="str">
        <f t="shared" ca="1" si="50"/>
        <v/>
      </c>
      <c r="AD18" s="150" t="str">
        <f t="shared" ca="1" si="65"/>
        <v/>
      </c>
      <c r="AE18" s="146"/>
      <c r="AF18" s="146"/>
      <c r="AG18" s="146"/>
      <c r="AH18" s="146"/>
      <c r="AI18" s="146"/>
      <c r="AJ18" s="146"/>
      <c r="AL18" s="211" t="e">
        <f t="shared" ca="1" si="66"/>
        <v>#DIV/0!</v>
      </c>
      <c r="AM18" s="70" t="e">
        <f t="shared" ca="1" si="67"/>
        <v>#DIV/0!</v>
      </c>
      <c r="AN18" s="276" t="e">
        <f t="shared" ca="1" si="68"/>
        <v>#DIV/0!</v>
      </c>
      <c r="AO18" s="276" t="e">
        <f t="shared" ca="1" si="69"/>
        <v>#DIV/0!</v>
      </c>
    </row>
    <row r="19" spans="1:41" ht="21.75" customHeight="1" outlineLevel="1">
      <c r="A19" s="273" t="s">
        <v>213</v>
      </c>
      <c r="B19" s="148" t="e">
        <f t="shared" ca="1" si="51"/>
        <v>#DIV/0!</v>
      </c>
      <c r="C19" s="149" t="str">
        <f t="shared" si="37"/>
        <v/>
      </c>
      <c r="D19" s="150" t="str">
        <f t="shared" si="52"/>
        <v/>
      </c>
      <c r="E19" s="149" t="str">
        <f t="shared" si="38"/>
        <v/>
      </c>
      <c r="F19" s="150" t="str">
        <f t="shared" si="53"/>
        <v/>
      </c>
      <c r="G19" s="149" t="str">
        <f t="shared" ca="1" si="39"/>
        <v/>
      </c>
      <c r="H19" s="150" t="str">
        <f t="shared" ca="1" si="54"/>
        <v/>
      </c>
      <c r="I19" s="149" t="str">
        <f t="shared" ca="1" si="40"/>
        <v/>
      </c>
      <c r="J19" s="150" t="str">
        <f t="shared" ca="1" si="55"/>
        <v/>
      </c>
      <c r="K19" s="149" t="str">
        <f t="shared" ca="1" si="41"/>
        <v/>
      </c>
      <c r="L19" s="150" t="str">
        <f t="shared" ca="1" si="56"/>
        <v/>
      </c>
      <c r="M19" s="149" t="str">
        <f t="shared" ca="1" si="42"/>
        <v/>
      </c>
      <c r="N19" s="150" t="str">
        <f t="shared" ca="1" si="57"/>
        <v/>
      </c>
      <c r="O19" s="149" t="str">
        <f t="shared" ca="1" si="43"/>
        <v/>
      </c>
      <c r="P19" s="150" t="str">
        <f t="shared" ca="1" si="58"/>
        <v/>
      </c>
      <c r="Q19" s="149" t="str">
        <f t="shared" ca="1" si="44"/>
        <v/>
      </c>
      <c r="R19" s="150" t="str">
        <f t="shared" ca="1" si="59"/>
        <v/>
      </c>
      <c r="S19" s="149" t="str">
        <f t="shared" ca="1" si="45"/>
        <v/>
      </c>
      <c r="T19" s="150" t="str">
        <f t="shared" ca="1" si="60"/>
        <v/>
      </c>
      <c r="U19" s="149" t="str">
        <f t="shared" ca="1" si="46"/>
        <v/>
      </c>
      <c r="V19" s="150" t="str">
        <f t="shared" ca="1" si="61"/>
        <v/>
      </c>
      <c r="W19" s="149" t="str">
        <f t="shared" ca="1" si="47"/>
        <v/>
      </c>
      <c r="X19" s="150" t="str">
        <f t="shared" ca="1" si="62"/>
        <v/>
      </c>
      <c r="Y19" s="149" t="str">
        <f t="shared" ca="1" si="48"/>
        <v/>
      </c>
      <c r="Z19" s="150" t="str">
        <f t="shared" ca="1" si="63"/>
        <v/>
      </c>
      <c r="AA19" s="149" t="str">
        <f t="shared" ca="1" si="49"/>
        <v/>
      </c>
      <c r="AB19" s="150" t="str">
        <f t="shared" ca="1" si="64"/>
        <v/>
      </c>
      <c r="AC19" s="149" t="str">
        <f t="shared" ca="1" si="50"/>
        <v/>
      </c>
      <c r="AD19" s="150" t="str">
        <f t="shared" ca="1" si="65"/>
        <v/>
      </c>
      <c r="AE19" s="146"/>
      <c r="AF19" s="146"/>
      <c r="AG19" s="146"/>
      <c r="AH19" s="146"/>
      <c r="AI19" s="146"/>
      <c r="AJ19" s="146"/>
      <c r="AL19" s="211" t="e">
        <f t="shared" ca="1" si="66"/>
        <v>#DIV/0!</v>
      </c>
      <c r="AM19" s="70" t="e">
        <f t="shared" ca="1" si="67"/>
        <v>#DIV/0!</v>
      </c>
      <c r="AN19" s="276" t="e">
        <f t="shared" ca="1" si="68"/>
        <v>#DIV/0!</v>
      </c>
      <c r="AO19" s="276" t="e">
        <f t="shared" ca="1" si="69"/>
        <v>#DIV/0!</v>
      </c>
    </row>
    <row r="20" spans="1:41" ht="21.75" hidden="1" customHeight="1" outlineLevel="1">
      <c r="A20" s="273"/>
      <c r="B20" s="148" t="str">
        <f t="shared" si="51"/>
        <v/>
      </c>
      <c r="C20" s="149" t="str">
        <f t="shared" si="37"/>
        <v/>
      </c>
      <c r="D20" s="150" t="str">
        <f t="shared" si="52"/>
        <v/>
      </c>
      <c r="E20" s="149" t="str">
        <f t="shared" si="38"/>
        <v/>
      </c>
      <c r="F20" s="150" t="str">
        <f t="shared" si="53"/>
        <v/>
      </c>
      <c r="G20" s="149" t="str">
        <f t="shared" ca="1" si="39"/>
        <v/>
      </c>
      <c r="H20" s="150" t="str">
        <f t="shared" si="54"/>
        <v/>
      </c>
      <c r="I20" s="149" t="str">
        <f t="shared" ca="1" si="40"/>
        <v/>
      </c>
      <c r="J20" s="150" t="str">
        <f t="shared" si="55"/>
        <v/>
      </c>
      <c r="K20" s="149" t="str">
        <f t="shared" ca="1" si="41"/>
        <v/>
      </c>
      <c r="L20" s="150" t="str">
        <f t="shared" si="56"/>
        <v/>
      </c>
      <c r="M20" s="149" t="str">
        <f t="shared" ca="1" si="42"/>
        <v/>
      </c>
      <c r="N20" s="150" t="str">
        <f t="shared" si="57"/>
        <v/>
      </c>
      <c r="O20" s="149" t="str">
        <f t="shared" ca="1" si="43"/>
        <v/>
      </c>
      <c r="P20" s="150" t="str">
        <f t="shared" si="58"/>
        <v/>
      </c>
      <c r="Q20" s="149" t="str">
        <f t="shared" ca="1" si="44"/>
        <v/>
      </c>
      <c r="R20" s="150" t="str">
        <f t="shared" si="59"/>
        <v/>
      </c>
      <c r="S20" s="149" t="str">
        <f t="shared" ca="1" si="45"/>
        <v/>
      </c>
      <c r="T20" s="150" t="str">
        <f t="shared" si="60"/>
        <v/>
      </c>
      <c r="U20" s="149" t="str">
        <f t="shared" ca="1" si="46"/>
        <v/>
      </c>
      <c r="V20" s="150" t="str">
        <f t="shared" si="61"/>
        <v/>
      </c>
      <c r="W20" s="149" t="str">
        <f t="shared" ca="1" si="47"/>
        <v/>
      </c>
      <c r="X20" s="150" t="str">
        <f t="shared" si="62"/>
        <v/>
      </c>
      <c r="Y20" s="149" t="str">
        <f t="shared" ca="1" si="48"/>
        <v/>
      </c>
      <c r="Z20" s="150" t="str">
        <f t="shared" si="63"/>
        <v/>
      </c>
      <c r="AA20" s="149" t="str">
        <f t="shared" ca="1" si="49"/>
        <v/>
      </c>
      <c r="AB20" s="150" t="str">
        <f t="shared" si="64"/>
        <v/>
      </c>
      <c r="AC20" s="149" t="str">
        <f t="shared" ca="1" si="50"/>
        <v/>
      </c>
      <c r="AD20" s="150" t="str">
        <f t="shared" si="65"/>
        <v/>
      </c>
      <c r="AE20" s="146"/>
      <c r="AF20" s="146"/>
      <c r="AG20" s="146"/>
      <c r="AH20" s="146"/>
      <c r="AI20" s="146"/>
      <c r="AJ20" s="146"/>
      <c r="AL20" s="211" t="e">
        <f t="shared" ca="1" si="66"/>
        <v>#DIV/0!</v>
      </c>
      <c r="AM20" s="70" t="e">
        <f t="shared" ca="1" si="67"/>
        <v>#DIV/0!</v>
      </c>
      <c r="AN20" s="276" t="e">
        <f t="shared" ca="1" si="68"/>
        <v>#DIV/0!</v>
      </c>
      <c r="AO20" s="276" t="e">
        <f t="shared" ca="1" si="69"/>
        <v>#DIV/0!</v>
      </c>
    </row>
    <row r="21" spans="1:41" ht="21.75" hidden="1" customHeight="1" outlineLevel="1">
      <c r="A21" s="273"/>
      <c r="B21" s="148" t="str">
        <f t="shared" si="51"/>
        <v/>
      </c>
      <c r="C21" s="149" t="str">
        <f t="shared" si="37"/>
        <v/>
      </c>
      <c r="D21" s="150" t="str">
        <f t="shared" si="52"/>
        <v/>
      </c>
      <c r="E21" s="149" t="str">
        <f t="shared" si="38"/>
        <v/>
      </c>
      <c r="F21" s="150" t="str">
        <f t="shared" si="53"/>
        <v/>
      </c>
      <c r="G21" s="149" t="str">
        <f t="shared" ca="1" si="39"/>
        <v/>
      </c>
      <c r="H21" s="150" t="str">
        <f t="shared" si="54"/>
        <v/>
      </c>
      <c r="I21" s="149" t="str">
        <f t="shared" ca="1" si="40"/>
        <v/>
      </c>
      <c r="J21" s="150" t="str">
        <f t="shared" si="55"/>
        <v/>
      </c>
      <c r="K21" s="149" t="str">
        <f t="shared" ca="1" si="41"/>
        <v/>
      </c>
      <c r="L21" s="150" t="str">
        <f t="shared" si="56"/>
        <v/>
      </c>
      <c r="M21" s="149" t="str">
        <f t="shared" ca="1" si="42"/>
        <v/>
      </c>
      <c r="N21" s="150" t="str">
        <f t="shared" si="57"/>
        <v/>
      </c>
      <c r="O21" s="149" t="str">
        <f t="shared" ca="1" si="43"/>
        <v/>
      </c>
      <c r="P21" s="150" t="str">
        <f t="shared" si="58"/>
        <v/>
      </c>
      <c r="Q21" s="149" t="str">
        <f t="shared" ca="1" si="44"/>
        <v/>
      </c>
      <c r="R21" s="150" t="str">
        <f t="shared" si="59"/>
        <v/>
      </c>
      <c r="S21" s="149" t="str">
        <f t="shared" ca="1" si="45"/>
        <v/>
      </c>
      <c r="T21" s="150" t="str">
        <f t="shared" si="60"/>
        <v/>
      </c>
      <c r="U21" s="149" t="str">
        <f t="shared" ca="1" si="46"/>
        <v/>
      </c>
      <c r="V21" s="150" t="str">
        <f t="shared" si="61"/>
        <v/>
      </c>
      <c r="W21" s="149" t="str">
        <f t="shared" ca="1" si="47"/>
        <v/>
      </c>
      <c r="X21" s="150" t="str">
        <f t="shared" si="62"/>
        <v/>
      </c>
      <c r="Y21" s="149" t="str">
        <f t="shared" ca="1" si="48"/>
        <v/>
      </c>
      <c r="Z21" s="150" t="str">
        <f t="shared" si="63"/>
        <v/>
      </c>
      <c r="AA21" s="149" t="str">
        <f t="shared" ca="1" si="49"/>
        <v/>
      </c>
      <c r="AB21" s="150" t="str">
        <f t="shared" si="64"/>
        <v/>
      </c>
      <c r="AC21" s="149" t="str">
        <f t="shared" ca="1" si="50"/>
        <v/>
      </c>
      <c r="AD21" s="150" t="str">
        <f t="shared" si="65"/>
        <v/>
      </c>
      <c r="AE21" s="146"/>
      <c r="AF21" s="146"/>
      <c r="AG21" s="146"/>
      <c r="AH21" s="146"/>
      <c r="AI21" s="146"/>
      <c r="AJ21" s="146"/>
      <c r="AL21" s="211" t="e">
        <f t="shared" ca="1" si="66"/>
        <v>#DIV/0!</v>
      </c>
      <c r="AM21" s="70" t="e">
        <f t="shared" ca="1" si="67"/>
        <v>#DIV/0!</v>
      </c>
      <c r="AN21" s="276" t="e">
        <f t="shared" ca="1" si="68"/>
        <v>#DIV/0!</v>
      </c>
      <c r="AO21" s="276" t="e">
        <f t="shared" ca="1" si="69"/>
        <v>#DIV/0!</v>
      </c>
    </row>
    <row r="22" spans="1:41" ht="21.75" hidden="1" customHeight="1" outlineLevel="1">
      <c r="A22" s="275"/>
      <c r="B22" s="148" t="str">
        <f t="shared" si="51"/>
        <v/>
      </c>
      <c r="C22" s="149" t="str">
        <f t="shared" si="37"/>
        <v/>
      </c>
      <c r="D22" s="150" t="str">
        <f t="shared" si="52"/>
        <v/>
      </c>
      <c r="E22" s="149" t="str">
        <f t="shared" si="38"/>
        <v/>
      </c>
      <c r="F22" s="150" t="str">
        <f t="shared" si="53"/>
        <v/>
      </c>
      <c r="G22" s="149" t="str">
        <f t="shared" ca="1" si="39"/>
        <v/>
      </c>
      <c r="H22" s="150" t="str">
        <f t="shared" si="54"/>
        <v/>
      </c>
      <c r="I22" s="149" t="str">
        <f t="shared" ca="1" si="40"/>
        <v/>
      </c>
      <c r="J22" s="150" t="str">
        <f t="shared" si="55"/>
        <v/>
      </c>
      <c r="K22" s="149" t="str">
        <f t="shared" ca="1" si="41"/>
        <v/>
      </c>
      <c r="L22" s="150" t="str">
        <f t="shared" si="56"/>
        <v/>
      </c>
      <c r="M22" s="149" t="str">
        <f t="shared" ca="1" si="42"/>
        <v/>
      </c>
      <c r="N22" s="150" t="str">
        <f t="shared" si="57"/>
        <v/>
      </c>
      <c r="O22" s="149" t="str">
        <f t="shared" ca="1" si="43"/>
        <v/>
      </c>
      <c r="P22" s="150" t="str">
        <f t="shared" si="58"/>
        <v/>
      </c>
      <c r="Q22" s="149" t="str">
        <f t="shared" ca="1" si="44"/>
        <v/>
      </c>
      <c r="R22" s="150" t="str">
        <f t="shared" si="59"/>
        <v/>
      </c>
      <c r="S22" s="149" t="str">
        <f t="shared" ca="1" si="45"/>
        <v/>
      </c>
      <c r="T22" s="150" t="str">
        <f t="shared" si="60"/>
        <v/>
      </c>
      <c r="U22" s="149" t="str">
        <f t="shared" ca="1" si="46"/>
        <v/>
      </c>
      <c r="V22" s="150" t="str">
        <f t="shared" si="61"/>
        <v/>
      </c>
      <c r="W22" s="149" t="str">
        <f t="shared" ca="1" si="47"/>
        <v/>
      </c>
      <c r="X22" s="150" t="str">
        <f t="shared" si="62"/>
        <v/>
      </c>
      <c r="Y22" s="149" t="str">
        <f t="shared" ca="1" si="48"/>
        <v/>
      </c>
      <c r="Z22" s="150" t="str">
        <f t="shared" si="63"/>
        <v/>
      </c>
      <c r="AA22" s="149" t="str">
        <f t="shared" ca="1" si="49"/>
        <v/>
      </c>
      <c r="AB22" s="150" t="str">
        <f t="shared" si="64"/>
        <v/>
      </c>
      <c r="AC22" s="149" t="str">
        <f t="shared" ca="1" si="50"/>
        <v/>
      </c>
      <c r="AD22" s="150" t="str">
        <f t="shared" si="65"/>
        <v/>
      </c>
      <c r="AE22" s="146"/>
      <c r="AF22" s="146"/>
      <c r="AG22" s="146"/>
      <c r="AH22" s="146"/>
      <c r="AI22" s="146"/>
      <c r="AJ22" s="146"/>
      <c r="AL22" s="211" t="e">
        <f t="shared" ca="1" si="66"/>
        <v>#DIV/0!</v>
      </c>
      <c r="AM22" s="70" t="e">
        <f t="shared" ca="1" si="67"/>
        <v>#DIV/0!</v>
      </c>
      <c r="AN22" s="276" t="e">
        <f t="shared" ca="1" si="68"/>
        <v>#DIV/0!</v>
      </c>
      <c r="AO22" s="276" t="e">
        <f t="shared" ca="1" si="69"/>
        <v>#DIV/0!</v>
      </c>
    </row>
    <row r="23" spans="1:41" ht="21.75" hidden="1" customHeight="1" outlineLevel="1">
      <c r="A23" s="275"/>
      <c r="B23" s="148" t="str">
        <f t="shared" si="51"/>
        <v/>
      </c>
      <c r="C23" s="149" t="str">
        <f t="shared" si="37"/>
        <v/>
      </c>
      <c r="D23" s="150" t="str">
        <f t="shared" si="52"/>
        <v/>
      </c>
      <c r="E23" s="149" t="str">
        <f t="shared" si="38"/>
        <v/>
      </c>
      <c r="F23" s="150" t="str">
        <f t="shared" si="53"/>
        <v/>
      </c>
      <c r="G23" s="149" t="str">
        <f t="shared" ca="1" si="39"/>
        <v/>
      </c>
      <c r="H23" s="150" t="str">
        <f t="shared" si="54"/>
        <v/>
      </c>
      <c r="I23" s="149" t="str">
        <f t="shared" ca="1" si="40"/>
        <v/>
      </c>
      <c r="J23" s="150" t="str">
        <f t="shared" si="55"/>
        <v/>
      </c>
      <c r="K23" s="149" t="str">
        <f t="shared" ca="1" si="41"/>
        <v/>
      </c>
      <c r="L23" s="150" t="str">
        <f t="shared" si="56"/>
        <v/>
      </c>
      <c r="M23" s="149" t="str">
        <f t="shared" ca="1" si="42"/>
        <v/>
      </c>
      <c r="N23" s="150" t="str">
        <f t="shared" si="57"/>
        <v/>
      </c>
      <c r="O23" s="149" t="str">
        <f t="shared" ca="1" si="43"/>
        <v/>
      </c>
      <c r="P23" s="150" t="str">
        <f t="shared" si="58"/>
        <v/>
      </c>
      <c r="Q23" s="149" t="str">
        <f t="shared" ca="1" si="44"/>
        <v/>
      </c>
      <c r="R23" s="150" t="str">
        <f t="shared" si="59"/>
        <v/>
      </c>
      <c r="S23" s="149" t="str">
        <f t="shared" ca="1" si="45"/>
        <v/>
      </c>
      <c r="T23" s="150" t="str">
        <f t="shared" si="60"/>
        <v/>
      </c>
      <c r="U23" s="149" t="str">
        <f t="shared" ca="1" si="46"/>
        <v/>
      </c>
      <c r="V23" s="150" t="str">
        <f t="shared" si="61"/>
        <v/>
      </c>
      <c r="W23" s="149" t="str">
        <f t="shared" ca="1" si="47"/>
        <v/>
      </c>
      <c r="X23" s="150" t="str">
        <f t="shared" si="62"/>
        <v/>
      </c>
      <c r="Y23" s="149" t="str">
        <f t="shared" ca="1" si="48"/>
        <v/>
      </c>
      <c r="Z23" s="150" t="str">
        <f t="shared" si="63"/>
        <v/>
      </c>
      <c r="AA23" s="149" t="str">
        <f t="shared" ca="1" si="49"/>
        <v/>
      </c>
      <c r="AB23" s="150" t="str">
        <f t="shared" si="64"/>
        <v/>
      </c>
      <c r="AC23" s="149" t="str">
        <f t="shared" ca="1" si="50"/>
        <v/>
      </c>
      <c r="AD23" s="150" t="str">
        <f t="shared" si="65"/>
        <v/>
      </c>
      <c r="AE23" s="146"/>
      <c r="AF23" s="146"/>
      <c r="AG23" s="146"/>
      <c r="AH23" s="146"/>
      <c r="AI23" s="146"/>
      <c r="AJ23" s="146"/>
      <c r="AL23" s="211" t="e">
        <f t="shared" ca="1" si="66"/>
        <v>#DIV/0!</v>
      </c>
      <c r="AM23" s="70" t="e">
        <f t="shared" ca="1" si="67"/>
        <v>#DIV/0!</v>
      </c>
      <c r="AN23" s="276" t="e">
        <f t="shared" ca="1" si="68"/>
        <v>#DIV/0!</v>
      </c>
      <c r="AO23" s="276" t="e">
        <f t="shared" ca="1" si="69"/>
        <v>#DIV/0!</v>
      </c>
    </row>
    <row r="24" spans="1:41" ht="21.75" hidden="1" customHeight="1" outlineLevel="1">
      <c r="A24" s="274"/>
      <c r="B24" s="148" t="str">
        <f t="shared" si="51"/>
        <v/>
      </c>
      <c r="C24" s="149" t="str">
        <f t="shared" si="37"/>
        <v/>
      </c>
      <c r="D24" s="150" t="str">
        <f t="shared" si="52"/>
        <v/>
      </c>
      <c r="E24" s="149" t="str">
        <f t="shared" si="38"/>
        <v/>
      </c>
      <c r="F24" s="150" t="str">
        <f t="shared" si="53"/>
        <v/>
      </c>
      <c r="G24" s="149" t="str">
        <f t="shared" ca="1" si="39"/>
        <v/>
      </c>
      <c r="H24" s="150" t="str">
        <f t="shared" si="54"/>
        <v/>
      </c>
      <c r="I24" s="149" t="str">
        <f t="shared" ca="1" si="40"/>
        <v/>
      </c>
      <c r="J24" s="150" t="str">
        <f t="shared" si="55"/>
        <v/>
      </c>
      <c r="K24" s="149" t="str">
        <f t="shared" ca="1" si="41"/>
        <v/>
      </c>
      <c r="L24" s="150" t="str">
        <f t="shared" si="56"/>
        <v/>
      </c>
      <c r="M24" s="149" t="str">
        <f t="shared" ca="1" si="42"/>
        <v/>
      </c>
      <c r="N24" s="150" t="str">
        <f t="shared" si="57"/>
        <v/>
      </c>
      <c r="O24" s="149" t="str">
        <f t="shared" ca="1" si="43"/>
        <v/>
      </c>
      <c r="P24" s="150" t="str">
        <f t="shared" si="58"/>
        <v/>
      </c>
      <c r="Q24" s="149" t="str">
        <f t="shared" ca="1" si="44"/>
        <v/>
      </c>
      <c r="R24" s="150" t="str">
        <f t="shared" si="59"/>
        <v/>
      </c>
      <c r="S24" s="149" t="str">
        <f t="shared" ca="1" si="45"/>
        <v/>
      </c>
      <c r="T24" s="150" t="str">
        <f t="shared" si="60"/>
        <v/>
      </c>
      <c r="U24" s="149" t="str">
        <f t="shared" ca="1" si="46"/>
        <v/>
      </c>
      <c r="V24" s="150" t="str">
        <f t="shared" si="61"/>
        <v/>
      </c>
      <c r="W24" s="149" t="str">
        <f t="shared" ca="1" si="47"/>
        <v/>
      </c>
      <c r="X24" s="150" t="str">
        <f t="shared" si="62"/>
        <v/>
      </c>
      <c r="Y24" s="149" t="str">
        <f t="shared" ca="1" si="48"/>
        <v/>
      </c>
      <c r="Z24" s="150" t="str">
        <f t="shared" si="63"/>
        <v/>
      </c>
      <c r="AA24" s="149" t="str">
        <f t="shared" ca="1" si="49"/>
        <v/>
      </c>
      <c r="AB24" s="150" t="str">
        <f t="shared" si="64"/>
        <v/>
      </c>
      <c r="AC24" s="149" t="str">
        <f t="shared" ca="1" si="50"/>
        <v/>
      </c>
      <c r="AD24" s="150" t="str">
        <f t="shared" si="65"/>
        <v/>
      </c>
      <c r="AE24" s="146"/>
      <c r="AF24" s="146"/>
      <c r="AG24" s="146"/>
      <c r="AH24" s="146"/>
      <c r="AI24" s="146"/>
      <c r="AJ24" s="146"/>
      <c r="AL24" s="211" t="e">
        <f t="shared" ca="1" si="66"/>
        <v>#DIV/0!</v>
      </c>
      <c r="AM24" s="70" t="e">
        <f t="shared" ca="1" si="67"/>
        <v>#DIV/0!</v>
      </c>
      <c r="AN24" s="276" t="e">
        <f t="shared" ca="1" si="68"/>
        <v>#DIV/0!</v>
      </c>
      <c r="AO24" s="276" t="e">
        <f t="shared" ca="1" si="69"/>
        <v>#DIV/0!</v>
      </c>
    </row>
    <row r="25" spans="1:41" ht="21.75" hidden="1" customHeight="1" outlineLevel="1">
      <c r="A25" s="273"/>
      <c r="B25" s="148" t="str">
        <f t="shared" si="51"/>
        <v/>
      </c>
      <c r="C25" s="149" t="str">
        <f t="shared" si="37"/>
        <v/>
      </c>
      <c r="D25" s="150" t="str">
        <f t="shared" si="52"/>
        <v/>
      </c>
      <c r="E25" s="149" t="str">
        <f t="shared" si="38"/>
        <v/>
      </c>
      <c r="F25" s="150" t="str">
        <f t="shared" si="53"/>
        <v/>
      </c>
      <c r="G25" s="149" t="str">
        <f t="shared" ca="1" si="39"/>
        <v/>
      </c>
      <c r="H25" s="150" t="str">
        <f t="shared" si="54"/>
        <v/>
      </c>
      <c r="I25" s="149" t="str">
        <f t="shared" ca="1" si="40"/>
        <v/>
      </c>
      <c r="J25" s="150" t="str">
        <f t="shared" si="55"/>
        <v/>
      </c>
      <c r="K25" s="149" t="str">
        <f t="shared" ca="1" si="41"/>
        <v/>
      </c>
      <c r="L25" s="150" t="str">
        <f t="shared" si="56"/>
        <v/>
      </c>
      <c r="M25" s="149" t="str">
        <f t="shared" ca="1" si="42"/>
        <v/>
      </c>
      <c r="N25" s="150" t="str">
        <f t="shared" si="57"/>
        <v/>
      </c>
      <c r="O25" s="149" t="str">
        <f t="shared" ca="1" si="43"/>
        <v/>
      </c>
      <c r="P25" s="150" t="str">
        <f t="shared" si="58"/>
        <v/>
      </c>
      <c r="Q25" s="149" t="str">
        <f t="shared" ca="1" si="44"/>
        <v/>
      </c>
      <c r="R25" s="150" t="str">
        <f t="shared" si="59"/>
        <v/>
      </c>
      <c r="S25" s="149" t="str">
        <f t="shared" ca="1" si="45"/>
        <v/>
      </c>
      <c r="T25" s="150" t="str">
        <f t="shared" si="60"/>
        <v/>
      </c>
      <c r="U25" s="149" t="str">
        <f t="shared" ca="1" si="46"/>
        <v/>
      </c>
      <c r="V25" s="150" t="str">
        <f t="shared" si="61"/>
        <v/>
      </c>
      <c r="W25" s="149" t="str">
        <f t="shared" ca="1" si="47"/>
        <v/>
      </c>
      <c r="X25" s="150" t="str">
        <f t="shared" si="62"/>
        <v/>
      </c>
      <c r="Y25" s="149" t="str">
        <f t="shared" ca="1" si="48"/>
        <v/>
      </c>
      <c r="Z25" s="150" t="str">
        <f t="shared" si="63"/>
        <v/>
      </c>
      <c r="AA25" s="149" t="str">
        <f t="shared" ca="1" si="49"/>
        <v/>
      </c>
      <c r="AB25" s="150" t="str">
        <f t="shared" si="64"/>
        <v/>
      </c>
      <c r="AC25" s="149" t="str">
        <f t="shared" ca="1" si="50"/>
        <v/>
      </c>
      <c r="AD25" s="150" t="str">
        <f t="shared" si="65"/>
        <v/>
      </c>
      <c r="AE25" s="146"/>
      <c r="AF25" s="146"/>
      <c r="AG25" s="146"/>
      <c r="AH25" s="146"/>
      <c r="AI25" s="146"/>
      <c r="AJ25" s="146"/>
      <c r="AL25" s="211" t="e">
        <f t="shared" ca="1" si="66"/>
        <v>#DIV/0!</v>
      </c>
      <c r="AM25" s="70" t="e">
        <f t="shared" ca="1" si="67"/>
        <v>#DIV/0!</v>
      </c>
      <c r="AN25" s="276" t="e">
        <f t="shared" ca="1" si="68"/>
        <v>#DIV/0!</v>
      </c>
      <c r="AO25" s="276" t="e">
        <f t="shared" ca="1" si="69"/>
        <v>#DIV/0!</v>
      </c>
    </row>
    <row r="26" spans="1:41" ht="21.75" hidden="1" customHeight="1" outlineLevel="1">
      <c r="A26" s="273"/>
      <c r="B26" s="148" t="str">
        <f t="shared" si="51"/>
        <v/>
      </c>
      <c r="C26" s="149" t="str">
        <f t="shared" si="37"/>
        <v/>
      </c>
      <c r="D26" s="150" t="str">
        <f t="shared" si="52"/>
        <v/>
      </c>
      <c r="E26" s="149" t="str">
        <f t="shared" si="38"/>
        <v/>
      </c>
      <c r="F26" s="150" t="str">
        <f t="shared" si="53"/>
        <v/>
      </c>
      <c r="G26" s="149" t="str">
        <f t="shared" ca="1" si="39"/>
        <v/>
      </c>
      <c r="H26" s="150" t="str">
        <f t="shared" si="54"/>
        <v/>
      </c>
      <c r="I26" s="149" t="str">
        <f t="shared" ca="1" si="40"/>
        <v/>
      </c>
      <c r="J26" s="150" t="str">
        <f t="shared" si="55"/>
        <v/>
      </c>
      <c r="K26" s="149" t="str">
        <f t="shared" ca="1" si="41"/>
        <v/>
      </c>
      <c r="L26" s="150" t="str">
        <f t="shared" si="56"/>
        <v/>
      </c>
      <c r="M26" s="149" t="str">
        <f t="shared" ca="1" si="42"/>
        <v/>
      </c>
      <c r="N26" s="150" t="str">
        <f t="shared" si="57"/>
        <v/>
      </c>
      <c r="O26" s="149" t="str">
        <f t="shared" ca="1" si="43"/>
        <v/>
      </c>
      <c r="P26" s="150" t="str">
        <f t="shared" si="58"/>
        <v/>
      </c>
      <c r="Q26" s="149" t="str">
        <f t="shared" ca="1" si="44"/>
        <v/>
      </c>
      <c r="R26" s="150" t="str">
        <f t="shared" si="59"/>
        <v/>
      </c>
      <c r="S26" s="149" t="str">
        <f t="shared" ca="1" si="45"/>
        <v/>
      </c>
      <c r="T26" s="150" t="str">
        <f t="shared" si="60"/>
        <v/>
      </c>
      <c r="U26" s="149" t="str">
        <f t="shared" ca="1" si="46"/>
        <v/>
      </c>
      <c r="V26" s="150" t="str">
        <f t="shared" si="61"/>
        <v/>
      </c>
      <c r="W26" s="149" t="str">
        <f t="shared" ca="1" si="47"/>
        <v/>
      </c>
      <c r="X26" s="150" t="str">
        <f t="shared" si="62"/>
        <v/>
      </c>
      <c r="Y26" s="149" t="str">
        <f t="shared" ca="1" si="48"/>
        <v/>
      </c>
      <c r="Z26" s="150" t="str">
        <f t="shared" si="63"/>
        <v/>
      </c>
      <c r="AA26" s="149" t="str">
        <f t="shared" ca="1" si="49"/>
        <v/>
      </c>
      <c r="AB26" s="150" t="str">
        <f t="shared" si="64"/>
        <v/>
      </c>
      <c r="AC26" s="149" t="str">
        <f t="shared" ca="1" si="50"/>
        <v/>
      </c>
      <c r="AD26" s="150" t="str">
        <f t="shared" si="65"/>
        <v/>
      </c>
      <c r="AE26" s="146"/>
      <c r="AF26" s="146"/>
      <c r="AG26" s="146"/>
      <c r="AH26" s="146"/>
      <c r="AI26" s="146"/>
      <c r="AJ26" s="146"/>
      <c r="AL26" s="211" t="e">
        <f t="shared" ca="1" si="66"/>
        <v>#DIV/0!</v>
      </c>
      <c r="AM26" s="70" t="e">
        <f t="shared" ca="1" si="67"/>
        <v>#DIV/0!</v>
      </c>
      <c r="AN26" s="276" t="e">
        <f t="shared" ca="1" si="68"/>
        <v>#DIV/0!</v>
      </c>
      <c r="AO26" s="276" t="e">
        <f t="shared" ca="1" si="69"/>
        <v>#DIV/0!</v>
      </c>
    </row>
    <row r="27" spans="1:41" ht="21.75" hidden="1" customHeight="1" outlineLevel="1">
      <c r="A27" s="273"/>
      <c r="B27" s="148" t="str">
        <f t="shared" si="51"/>
        <v/>
      </c>
      <c r="C27" s="149" t="str">
        <f t="shared" si="37"/>
        <v/>
      </c>
      <c r="D27" s="150" t="str">
        <f t="shared" si="52"/>
        <v/>
      </c>
      <c r="E27" s="149" t="str">
        <f t="shared" si="38"/>
        <v/>
      </c>
      <c r="F27" s="150" t="str">
        <f t="shared" si="53"/>
        <v/>
      </c>
      <c r="G27" s="149" t="str">
        <f t="shared" ca="1" si="39"/>
        <v/>
      </c>
      <c r="H27" s="150" t="str">
        <f t="shared" si="54"/>
        <v/>
      </c>
      <c r="I27" s="149" t="str">
        <f t="shared" ca="1" si="40"/>
        <v/>
      </c>
      <c r="J27" s="150" t="str">
        <f t="shared" si="55"/>
        <v/>
      </c>
      <c r="K27" s="149" t="str">
        <f t="shared" ca="1" si="41"/>
        <v/>
      </c>
      <c r="L27" s="150" t="str">
        <f t="shared" si="56"/>
        <v/>
      </c>
      <c r="M27" s="149" t="str">
        <f t="shared" ca="1" si="42"/>
        <v/>
      </c>
      <c r="N27" s="150" t="str">
        <f t="shared" si="57"/>
        <v/>
      </c>
      <c r="O27" s="149" t="str">
        <f t="shared" ca="1" si="43"/>
        <v/>
      </c>
      <c r="P27" s="150" t="str">
        <f t="shared" si="58"/>
        <v/>
      </c>
      <c r="Q27" s="149" t="str">
        <f t="shared" ca="1" si="44"/>
        <v/>
      </c>
      <c r="R27" s="150" t="str">
        <f t="shared" si="59"/>
        <v/>
      </c>
      <c r="S27" s="149" t="str">
        <f t="shared" ca="1" si="45"/>
        <v/>
      </c>
      <c r="T27" s="150" t="str">
        <f t="shared" si="60"/>
        <v/>
      </c>
      <c r="U27" s="149" t="str">
        <f t="shared" ca="1" si="46"/>
        <v/>
      </c>
      <c r="V27" s="150" t="str">
        <f t="shared" si="61"/>
        <v/>
      </c>
      <c r="W27" s="149" t="str">
        <f t="shared" ca="1" si="47"/>
        <v/>
      </c>
      <c r="X27" s="150" t="str">
        <f t="shared" si="62"/>
        <v/>
      </c>
      <c r="Y27" s="149" t="str">
        <f t="shared" ca="1" si="48"/>
        <v/>
      </c>
      <c r="Z27" s="150" t="str">
        <f t="shared" si="63"/>
        <v/>
      </c>
      <c r="AA27" s="149" t="str">
        <f t="shared" ca="1" si="49"/>
        <v/>
      </c>
      <c r="AB27" s="150" t="str">
        <f t="shared" si="64"/>
        <v/>
      </c>
      <c r="AC27" s="149" t="str">
        <f t="shared" ca="1" si="50"/>
        <v/>
      </c>
      <c r="AD27" s="150" t="str">
        <f t="shared" si="65"/>
        <v/>
      </c>
      <c r="AE27" s="146"/>
      <c r="AF27" s="146"/>
      <c r="AG27" s="146"/>
      <c r="AH27" s="146"/>
      <c r="AI27" s="146"/>
      <c r="AJ27" s="146"/>
      <c r="AL27" s="211" t="e">
        <f t="shared" ca="1" si="66"/>
        <v>#DIV/0!</v>
      </c>
      <c r="AM27" s="70" t="e">
        <f t="shared" ca="1" si="67"/>
        <v>#DIV/0!</v>
      </c>
      <c r="AN27" s="276" t="e">
        <f t="shared" ca="1" si="68"/>
        <v>#DIV/0!</v>
      </c>
      <c r="AO27" s="276" t="e">
        <f t="shared" ca="1" si="69"/>
        <v>#DIV/0!</v>
      </c>
    </row>
    <row r="28" spans="1:41" ht="21.75" hidden="1" customHeight="1" outlineLevel="1">
      <c r="A28" s="273"/>
      <c r="B28" s="148" t="str">
        <f t="shared" si="51"/>
        <v/>
      </c>
      <c r="C28" s="149" t="str">
        <f t="shared" si="37"/>
        <v/>
      </c>
      <c r="D28" s="150" t="str">
        <f t="shared" si="52"/>
        <v/>
      </c>
      <c r="E28" s="149" t="str">
        <f t="shared" si="38"/>
        <v/>
      </c>
      <c r="F28" s="150" t="str">
        <f t="shared" si="53"/>
        <v/>
      </c>
      <c r="G28" s="149" t="str">
        <f t="shared" ca="1" si="39"/>
        <v/>
      </c>
      <c r="H28" s="150" t="str">
        <f t="shared" si="54"/>
        <v/>
      </c>
      <c r="I28" s="149" t="str">
        <f t="shared" ca="1" si="40"/>
        <v/>
      </c>
      <c r="J28" s="150" t="str">
        <f t="shared" si="55"/>
        <v/>
      </c>
      <c r="K28" s="149" t="str">
        <f t="shared" ca="1" si="41"/>
        <v/>
      </c>
      <c r="L28" s="150" t="str">
        <f t="shared" si="56"/>
        <v/>
      </c>
      <c r="M28" s="149" t="str">
        <f t="shared" ca="1" si="42"/>
        <v/>
      </c>
      <c r="N28" s="150" t="str">
        <f t="shared" si="57"/>
        <v/>
      </c>
      <c r="O28" s="149" t="str">
        <f t="shared" ca="1" si="43"/>
        <v/>
      </c>
      <c r="P28" s="150" t="str">
        <f t="shared" si="58"/>
        <v/>
      </c>
      <c r="Q28" s="149" t="str">
        <f t="shared" ca="1" si="44"/>
        <v/>
      </c>
      <c r="R28" s="150" t="str">
        <f t="shared" si="59"/>
        <v/>
      </c>
      <c r="S28" s="149" t="str">
        <f t="shared" ca="1" si="45"/>
        <v/>
      </c>
      <c r="T28" s="150" t="str">
        <f t="shared" si="60"/>
        <v/>
      </c>
      <c r="U28" s="149" t="str">
        <f t="shared" ca="1" si="46"/>
        <v/>
      </c>
      <c r="V28" s="150" t="str">
        <f t="shared" si="61"/>
        <v/>
      </c>
      <c r="W28" s="149" t="str">
        <f t="shared" ca="1" si="47"/>
        <v/>
      </c>
      <c r="X28" s="150" t="str">
        <f t="shared" si="62"/>
        <v/>
      </c>
      <c r="Y28" s="149" t="str">
        <f t="shared" ca="1" si="48"/>
        <v/>
      </c>
      <c r="Z28" s="150" t="str">
        <f t="shared" si="63"/>
        <v/>
      </c>
      <c r="AA28" s="149" t="str">
        <f t="shared" ca="1" si="49"/>
        <v/>
      </c>
      <c r="AB28" s="150" t="str">
        <f t="shared" si="64"/>
        <v/>
      </c>
      <c r="AC28" s="149" t="str">
        <f t="shared" ca="1" si="50"/>
        <v/>
      </c>
      <c r="AD28" s="150" t="str">
        <f t="shared" si="65"/>
        <v/>
      </c>
      <c r="AE28" s="146"/>
      <c r="AF28" s="146"/>
      <c r="AG28" s="146"/>
      <c r="AH28" s="146"/>
      <c r="AI28" s="146"/>
      <c r="AJ28" s="146"/>
      <c r="AL28" s="211" t="e">
        <f t="shared" ca="1" si="66"/>
        <v>#DIV/0!</v>
      </c>
      <c r="AM28" s="70" t="e">
        <f t="shared" ca="1" si="67"/>
        <v>#DIV/0!</v>
      </c>
      <c r="AN28" s="276" t="e">
        <f t="shared" ca="1" si="68"/>
        <v>#DIV/0!</v>
      </c>
      <c r="AO28" s="276" t="e">
        <f t="shared" ca="1" si="69"/>
        <v>#DIV/0!</v>
      </c>
    </row>
    <row r="29" spans="1:41" ht="21.75" hidden="1" customHeight="1" outlineLevel="1">
      <c r="A29" s="273"/>
      <c r="B29" s="148" t="str">
        <f t="shared" si="51"/>
        <v/>
      </c>
      <c r="C29" s="149" t="str">
        <f t="shared" si="37"/>
        <v/>
      </c>
      <c r="D29" s="150" t="str">
        <f t="shared" si="52"/>
        <v/>
      </c>
      <c r="E29" s="149" t="str">
        <f t="shared" si="38"/>
        <v/>
      </c>
      <c r="F29" s="150" t="str">
        <f t="shared" si="53"/>
        <v/>
      </c>
      <c r="G29" s="149" t="str">
        <f t="shared" ca="1" si="39"/>
        <v/>
      </c>
      <c r="H29" s="150" t="str">
        <f t="shared" si="54"/>
        <v/>
      </c>
      <c r="I29" s="149" t="str">
        <f t="shared" ca="1" si="40"/>
        <v/>
      </c>
      <c r="J29" s="150" t="str">
        <f t="shared" si="55"/>
        <v/>
      </c>
      <c r="K29" s="149" t="str">
        <f t="shared" ca="1" si="41"/>
        <v/>
      </c>
      <c r="L29" s="150" t="str">
        <f t="shared" si="56"/>
        <v/>
      </c>
      <c r="M29" s="149" t="str">
        <f t="shared" ca="1" si="42"/>
        <v/>
      </c>
      <c r="N29" s="150" t="str">
        <f t="shared" si="57"/>
        <v/>
      </c>
      <c r="O29" s="149" t="str">
        <f t="shared" ca="1" si="43"/>
        <v/>
      </c>
      <c r="P29" s="150" t="str">
        <f t="shared" si="58"/>
        <v/>
      </c>
      <c r="Q29" s="149" t="str">
        <f t="shared" ca="1" si="44"/>
        <v/>
      </c>
      <c r="R29" s="150" t="str">
        <f t="shared" si="59"/>
        <v/>
      </c>
      <c r="S29" s="149" t="str">
        <f t="shared" ca="1" si="45"/>
        <v/>
      </c>
      <c r="T29" s="150" t="str">
        <f t="shared" si="60"/>
        <v/>
      </c>
      <c r="U29" s="149" t="str">
        <f t="shared" ca="1" si="46"/>
        <v/>
      </c>
      <c r="V29" s="150" t="str">
        <f t="shared" si="61"/>
        <v/>
      </c>
      <c r="W29" s="149" t="str">
        <f t="shared" ca="1" si="47"/>
        <v/>
      </c>
      <c r="X29" s="150" t="str">
        <f t="shared" si="62"/>
        <v/>
      </c>
      <c r="Y29" s="149" t="str">
        <f t="shared" ca="1" si="48"/>
        <v/>
      </c>
      <c r="Z29" s="150" t="str">
        <f t="shared" si="63"/>
        <v/>
      </c>
      <c r="AA29" s="149" t="str">
        <f t="shared" ca="1" si="49"/>
        <v/>
      </c>
      <c r="AB29" s="150" t="str">
        <f t="shared" si="64"/>
        <v/>
      </c>
      <c r="AC29" s="149" t="str">
        <f t="shared" ca="1" si="50"/>
        <v/>
      </c>
      <c r="AD29" s="150" t="str">
        <f t="shared" si="65"/>
        <v/>
      </c>
      <c r="AE29" s="146"/>
      <c r="AF29" s="146"/>
      <c r="AG29" s="146"/>
      <c r="AH29" s="146"/>
      <c r="AI29" s="146"/>
      <c r="AJ29" s="146"/>
      <c r="AL29" s="211" t="e">
        <f t="shared" ca="1" si="66"/>
        <v>#DIV/0!</v>
      </c>
      <c r="AM29" s="70" t="e">
        <f t="shared" ca="1" si="67"/>
        <v>#DIV/0!</v>
      </c>
      <c r="AN29" s="276" t="e">
        <f t="shared" ca="1" si="68"/>
        <v>#DIV/0!</v>
      </c>
      <c r="AO29" s="276" t="e">
        <f t="shared" ca="1" si="69"/>
        <v>#DIV/0!</v>
      </c>
    </row>
    <row r="30" spans="1:41" ht="21.75" hidden="1" customHeight="1" outlineLevel="1">
      <c r="A30" s="273"/>
      <c r="B30" s="148" t="str">
        <f t="shared" si="51"/>
        <v/>
      </c>
      <c r="C30" s="149" t="str">
        <f t="shared" si="37"/>
        <v/>
      </c>
      <c r="D30" s="150" t="str">
        <f t="shared" si="52"/>
        <v/>
      </c>
      <c r="E30" s="149" t="str">
        <f t="shared" si="38"/>
        <v/>
      </c>
      <c r="F30" s="150" t="str">
        <f t="shared" si="53"/>
        <v/>
      </c>
      <c r="G30" s="149" t="str">
        <f t="shared" ca="1" si="39"/>
        <v/>
      </c>
      <c r="H30" s="150" t="str">
        <f t="shared" si="54"/>
        <v/>
      </c>
      <c r="I30" s="149" t="str">
        <f t="shared" ca="1" si="40"/>
        <v/>
      </c>
      <c r="J30" s="150" t="str">
        <f t="shared" si="55"/>
        <v/>
      </c>
      <c r="K30" s="149" t="str">
        <f t="shared" ca="1" si="41"/>
        <v/>
      </c>
      <c r="L30" s="150" t="str">
        <f t="shared" si="56"/>
        <v/>
      </c>
      <c r="M30" s="149" t="str">
        <f t="shared" ca="1" si="42"/>
        <v/>
      </c>
      <c r="N30" s="150" t="str">
        <f t="shared" si="57"/>
        <v/>
      </c>
      <c r="O30" s="149" t="str">
        <f t="shared" ca="1" si="43"/>
        <v/>
      </c>
      <c r="P30" s="150" t="str">
        <f t="shared" si="58"/>
        <v/>
      </c>
      <c r="Q30" s="149" t="str">
        <f t="shared" ca="1" si="44"/>
        <v/>
      </c>
      <c r="R30" s="150" t="str">
        <f t="shared" si="59"/>
        <v/>
      </c>
      <c r="S30" s="149" t="str">
        <f t="shared" ca="1" si="45"/>
        <v/>
      </c>
      <c r="T30" s="150" t="str">
        <f t="shared" si="60"/>
        <v/>
      </c>
      <c r="U30" s="149" t="str">
        <f t="shared" ca="1" si="46"/>
        <v/>
      </c>
      <c r="V30" s="150" t="str">
        <f t="shared" si="61"/>
        <v/>
      </c>
      <c r="W30" s="149" t="str">
        <f t="shared" ca="1" si="47"/>
        <v/>
      </c>
      <c r="X30" s="150" t="str">
        <f t="shared" si="62"/>
        <v/>
      </c>
      <c r="Y30" s="149" t="str">
        <f t="shared" ca="1" si="48"/>
        <v/>
      </c>
      <c r="Z30" s="150" t="str">
        <f t="shared" si="63"/>
        <v/>
      </c>
      <c r="AA30" s="149" t="str">
        <f t="shared" ca="1" si="49"/>
        <v/>
      </c>
      <c r="AB30" s="150" t="str">
        <f t="shared" si="64"/>
        <v/>
      </c>
      <c r="AC30" s="149" t="str">
        <f t="shared" ca="1" si="50"/>
        <v/>
      </c>
      <c r="AD30" s="150" t="str">
        <f t="shared" si="65"/>
        <v/>
      </c>
      <c r="AE30" s="146"/>
      <c r="AF30" s="146"/>
      <c r="AG30" s="146"/>
      <c r="AH30" s="146"/>
      <c r="AI30" s="146"/>
      <c r="AJ30" s="146"/>
      <c r="AL30" s="211" t="e">
        <f t="shared" ca="1" si="66"/>
        <v>#DIV/0!</v>
      </c>
      <c r="AM30" s="70" t="e">
        <f t="shared" ca="1" si="67"/>
        <v>#DIV/0!</v>
      </c>
      <c r="AN30" s="276" t="e">
        <f t="shared" ca="1" si="68"/>
        <v>#DIV/0!</v>
      </c>
      <c r="AO30" s="276" t="e">
        <f t="shared" ca="1" si="69"/>
        <v>#DIV/0!</v>
      </c>
    </row>
    <row r="31" spans="1:41" ht="21.75" hidden="1" customHeight="1" outlineLevel="1">
      <c r="A31" s="273"/>
      <c r="B31" s="148" t="str">
        <f t="shared" si="51"/>
        <v/>
      </c>
      <c r="C31" s="149" t="str">
        <f t="shared" si="37"/>
        <v/>
      </c>
      <c r="D31" s="150" t="str">
        <f t="shared" si="52"/>
        <v/>
      </c>
      <c r="E31" s="149" t="str">
        <f t="shared" si="38"/>
        <v/>
      </c>
      <c r="F31" s="150" t="str">
        <f t="shared" si="53"/>
        <v/>
      </c>
      <c r="G31" s="149" t="str">
        <f t="shared" ca="1" si="39"/>
        <v/>
      </c>
      <c r="H31" s="150" t="str">
        <f t="shared" si="54"/>
        <v/>
      </c>
      <c r="I31" s="149" t="str">
        <f t="shared" ca="1" si="40"/>
        <v/>
      </c>
      <c r="J31" s="150" t="str">
        <f t="shared" si="55"/>
        <v/>
      </c>
      <c r="K31" s="149" t="str">
        <f t="shared" ca="1" si="41"/>
        <v/>
      </c>
      <c r="L31" s="150" t="str">
        <f t="shared" si="56"/>
        <v/>
      </c>
      <c r="M31" s="149" t="str">
        <f t="shared" ca="1" si="42"/>
        <v/>
      </c>
      <c r="N31" s="150" t="str">
        <f t="shared" si="57"/>
        <v/>
      </c>
      <c r="O31" s="149" t="str">
        <f t="shared" ca="1" si="43"/>
        <v/>
      </c>
      <c r="P31" s="150" t="str">
        <f t="shared" si="58"/>
        <v/>
      </c>
      <c r="Q31" s="149" t="str">
        <f t="shared" ca="1" si="44"/>
        <v/>
      </c>
      <c r="R31" s="150" t="str">
        <f t="shared" si="59"/>
        <v/>
      </c>
      <c r="S31" s="149" t="str">
        <f t="shared" ca="1" si="45"/>
        <v/>
      </c>
      <c r="T31" s="150" t="str">
        <f t="shared" si="60"/>
        <v/>
      </c>
      <c r="U31" s="149" t="str">
        <f t="shared" ca="1" si="46"/>
        <v/>
      </c>
      <c r="V31" s="150" t="str">
        <f t="shared" si="61"/>
        <v/>
      </c>
      <c r="W31" s="149" t="str">
        <f t="shared" ca="1" si="47"/>
        <v/>
      </c>
      <c r="X31" s="150" t="str">
        <f t="shared" si="62"/>
        <v/>
      </c>
      <c r="Y31" s="149" t="str">
        <f t="shared" ca="1" si="48"/>
        <v/>
      </c>
      <c r="Z31" s="150" t="str">
        <f t="shared" si="63"/>
        <v/>
      </c>
      <c r="AA31" s="149" t="str">
        <f t="shared" ca="1" si="49"/>
        <v/>
      </c>
      <c r="AB31" s="150" t="str">
        <f t="shared" si="64"/>
        <v/>
      </c>
      <c r="AC31" s="149" t="str">
        <f t="shared" ca="1" si="50"/>
        <v/>
      </c>
      <c r="AD31" s="150" t="str">
        <f t="shared" si="65"/>
        <v/>
      </c>
      <c r="AE31" s="146"/>
      <c r="AF31" s="146"/>
      <c r="AG31" s="146"/>
      <c r="AH31" s="146"/>
      <c r="AI31" s="146"/>
      <c r="AJ31" s="146"/>
      <c r="AL31" s="211" t="e">
        <f t="shared" ca="1" si="66"/>
        <v>#DIV/0!</v>
      </c>
      <c r="AM31" s="70" t="e">
        <f t="shared" ca="1" si="67"/>
        <v>#DIV/0!</v>
      </c>
      <c r="AN31" s="276" t="e">
        <f t="shared" ca="1" si="68"/>
        <v>#DIV/0!</v>
      </c>
      <c r="AO31" s="276" t="e">
        <f t="shared" ca="1" si="69"/>
        <v>#DIV/0!</v>
      </c>
    </row>
    <row r="32" spans="1:41" ht="21.75" hidden="1" customHeight="1" outlineLevel="1">
      <c r="A32" s="273"/>
      <c r="B32" s="148" t="str">
        <f t="shared" si="51"/>
        <v/>
      </c>
      <c r="C32" s="149" t="str">
        <f t="shared" si="37"/>
        <v/>
      </c>
      <c r="D32" s="150" t="str">
        <f t="shared" si="52"/>
        <v/>
      </c>
      <c r="E32" s="149" t="str">
        <f t="shared" si="38"/>
        <v/>
      </c>
      <c r="F32" s="150" t="str">
        <f t="shared" si="53"/>
        <v/>
      </c>
      <c r="G32" s="149" t="str">
        <f t="shared" ca="1" si="39"/>
        <v/>
      </c>
      <c r="H32" s="150" t="str">
        <f t="shared" si="54"/>
        <v/>
      </c>
      <c r="I32" s="149" t="str">
        <f t="shared" ca="1" si="40"/>
        <v/>
      </c>
      <c r="J32" s="150" t="str">
        <f t="shared" si="55"/>
        <v/>
      </c>
      <c r="K32" s="149" t="str">
        <f t="shared" ca="1" si="41"/>
        <v/>
      </c>
      <c r="L32" s="150" t="str">
        <f t="shared" si="56"/>
        <v/>
      </c>
      <c r="M32" s="149" t="str">
        <f t="shared" ca="1" si="42"/>
        <v/>
      </c>
      <c r="N32" s="150" t="str">
        <f t="shared" si="57"/>
        <v/>
      </c>
      <c r="O32" s="149" t="str">
        <f t="shared" ca="1" si="43"/>
        <v/>
      </c>
      <c r="P32" s="150" t="str">
        <f t="shared" si="58"/>
        <v/>
      </c>
      <c r="Q32" s="149" t="str">
        <f t="shared" ca="1" si="44"/>
        <v/>
      </c>
      <c r="R32" s="150" t="str">
        <f t="shared" si="59"/>
        <v/>
      </c>
      <c r="S32" s="149" t="str">
        <f t="shared" ca="1" si="45"/>
        <v/>
      </c>
      <c r="T32" s="150" t="str">
        <f t="shared" si="60"/>
        <v/>
      </c>
      <c r="U32" s="149" t="str">
        <f t="shared" ca="1" si="46"/>
        <v/>
      </c>
      <c r="V32" s="150" t="str">
        <f t="shared" si="61"/>
        <v/>
      </c>
      <c r="W32" s="149" t="str">
        <f t="shared" ca="1" si="47"/>
        <v/>
      </c>
      <c r="X32" s="150" t="str">
        <f t="shared" si="62"/>
        <v/>
      </c>
      <c r="Y32" s="149" t="str">
        <f t="shared" ca="1" si="48"/>
        <v/>
      </c>
      <c r="Z32" s="150" t="str">
        <f t="shared" si="63"/>
        <v/>
      </c>
      <c r="AA32" s="149" t="str">
        <f t="shared" ca="1" si="49"/>
        <v/>
      </c>
      <c r="AB32" s="150" t="str">
        <f t="shared" si="64"/>
        <v/>
      </c>
      <c r="AC32" s="149" t="str">
        <f t="shared" ca="1" si="50"/>
        <v/>
      </c>
      <c r="AD32" s="150" t="str">
        <f t="shared" si="65"/>
        <v/>
      </c>
      <c r="AE32" s="146"/>
      <c r="AF32" s="146"/>
      <c r="AG32" s="146"/>
      <c r="AH32" s="146"/>
      <c r="AI32" s="146"/>
      <c r="AJ32" s="146"/>
      <c r="AL32" s="211" t="e">
        <f t="shared" ca="1" si="66"/>
        <v>#DIV/0!</v>
      </c>
      <c r="AM32" s="70" t="e">
        <f t="shared" ca="1" si="67"/>
        <v>#DIV/0!</v>
      </c>
      <c r="AN32" s="276" t="e">
        <f t="shared" ca="1" si="68"/>
        <v>#DIV/0!</v>
      </c>
      <c r="AO32" s="276" t="e">
        <f t="shared" ca="1" si="69"/>
        <v>#DIV/0!</v>
      </c>
    </row>
    <row r="33" spans="1:41" ht="21.75" hidden="1" customHeight="1" outlineLevel="1">
      <c r="A33" s="273"/>
      <c r="B33" s="148" t="str">
        <f t="shared" si="51"/>
        <v/>
      </c>
      <c r="C33" s="149" t="str">
        <f t="shared" si="37"/>
        <v/>
      </c>
      <c r="D33" s="150" t="str">
        <f t="shared" si="52"/>
        <v/>
      </c>
      <c r="E33" s="149" t="str">
        <f t="shared" si="38"/>
        <v/>
      </c>
      <c r="F33" s="150" t="str">
        <f t="shared" si="53"/>
        <v/>
      </c>
      <c r="G33" s="149" t="str">
        <f t="shared" ca="1" si="39"/>
        <v/>
      </c>
      <c r="H33" s="150" t="str">
        <f t="shared" si="54"/>
        <v/>
      </c>
      <c r="I33" s="149" t="str">
        <f t="shared" ca="1" si="40"/>
        <v/>
      </c>
      <c r="J33" s="150" t="str">
        <f t="shared" si="55"/>
        <v/>
      </c>
      <c r="K33" s="149" t="str">
        <f t="shared" ca="1" si="41"/>
        <v/>
      </c>
      <c r="L33" s="150" t="str">
        <f t="shared" si="56"/>
        <v/>
      </c>
      <c r="M33" s="149" t="str">
        <f t="shared" ca="1" si="42"/>
        <v/>
      </c>
      <c r="N33" s="150" t="str">
        <f t="shared" si="57"/>
        <v/>
      </c>
      <c r="O33" s="149" t="str">
        <f t="shared" ca="1" si="43"/>
        <v/>
      </c>
      <c r="P33" s="150" t="str">
        <f t="shared" si="58"/>
        <v/>
      </c>
      <c r="Q33" s="149" t="str">
        <f t="shared" ca="1" si="44"/>
        <v/>
      </c>
      <c r="R33" s="150" t="str">
        <f t="shared" si="59"/>
        <v/>
      </c>
      <c r="S33" s="149" t="str">
        <f t="shared" ca="1" si="45"/>
        <v/>
      </c>
      <c r="T33" s="150" t="str">
        <f t="shared" si="60"/>
        <v/>
      </c>
      <c r="U33" s="149" t="str">
        <f t="shared" ca="1" si="46"/>
        <v/>
      </c>
      <c r="V33" s="150" t="str">
        <f t="shared" si="61"/>
        <v/>
      </c>
      <c r="W33" s="149" t="str">
        <f t="shared" ca="1" si="47"/>
        <v/>
      </c>
      <c r="X33" s="150" t="str">
        <f t="shared" si="62"/>
        <v/>
      </c>
      <c r="Y33" s="149" t="str">
        <f t="shared" ca="1" si="48"/>
        <v/>
      </c>
      <c r="Z33" s="150" t="str">
        <f t="shared" si="63"/>
        <v/>
      </c>
      <c r="AA33" s="149" t="str">
        <f t="shared" ca="1" si="49"/>
        <v/>
      </c>
      <c r="AB33" s="150" t="str">
        <f t="shared" si="64"/>
        <v/>
      </c>
      <c r="AC33" s="149" t="str">
        <f t="shared" ca="1" si="50"/>
        <v/>
      </c>
      <c r="AD33" s="150" t="str">
        <f t="shared" si="65"/>
        <v/>
      </c>
      <c r="AE33" s="146"/>
      <c r="AF33" s="146"/>
      <c r="AG33" s="146"/>
      <c r="AH33" s="146"/>
      <c r="AI33" s="146"/>
      <c r="AJ33" s="146"/>
      <c r="AL33" s="211" t="e">
        <f t="shared" ca="1" si="66"/>
        <v>#DIV/0!</v>
      </c>
      <c r="AM33" s="70" t="e">
        <f t="shared" ca="1" si="67"/>
        <v>#DIV/0!</v>
      </c>
      <c r="AN33" s="276" t="e">
        <f t="shared" ca="1" si="68"/>
        <v>#DIV/0!</v>
      </c>
      <c r="AO33" s="276" t="e">
        <f t="shared" ca="1" si="69"/>
        <v>#DIV/0!</v>
      </c>
    </row>
    <row r="34" spans="1:41" ht="21.75" hidden="1" customHeight="1" outlineLevel="1">
      <c r="A34" s="274"/>
      <c r="B34" s="148" t="str">
        <f t="shared" si="51"/>
        <v/>
      </c>
      <c r="C34" s="149" t="str">
        <f t="shared" si="37"/>
        <v/>
      </c>
      <c r="D34" s="150" t="str">
        <f t="shared" si="52"/>
        <v/>
      </c>
      <c r="E34" s="149" t="str">
        <f t="shared" si="38"/>
        <v/>
      </c>
      <c r="F34" s="150" t="str">
        <f t="shared" si="53"/>
        <v/>
      </c>
      <c r="G34" s="149" t="str">
        <f t="shared" ca="1" si="39"/>
        <v/>
      </c>
      <c r="H34" s="150" t="str">
        <f t="shared" si="54"/>
        <v/>
      </c>
      <c r="I34" s="149" t="str">
        <f t="shared" ca="1" si="40"/>
        <v/>
      </c>
      <c r="J34" s="150" t="str">
        <f t="shared" si="55"/>
        <v/>
      </c>
      <c r="K34" s="149" t="str">
        <f t="shared" ca="1" si="41"/>
        <v/>
      </c>
      <c r="L34" s="150" t="str">
        <f t="shared" si="56"/>
        <v/>
      </c>
      <c r="M34" s="149" t="str">
        <f t="shared" ca="1" si="42"/>
        <v/>
      </c>
      <c r="N34" s="150" t="str">
        <f t="shared" si="57"/>
        <v/>
      </c>
      <c r="O34" s="149" t="str">
        <f t="shared" ca="1" si="43"/>
        <v/>
      </c>
      <c r="P34" s="150" t="str">
        <f t="shared" si="58"/>
        <v/>
      </c>
      <c r="Q34" s="149" t="str">
        <f t="shared" ca="1" si="44"/>
        <v/>
      </c>
      <c r="R34" s="150" t="str">
        <f t="shared" si="59"/>
        <v/>
      </c>
      <c r="S34" s="149" t="str">
        <f t="shared" ca="1" si="45"/>
        <v/>
      </c>
      <c r="T34" s="150" t="str">
        <f t="shared" si="60"/>
        <v/>
      </c>
      <c r="U34" s="149" t="str">
        <f t="shared" ca="1" si="46"/>
        <v/>
      </c>
      <c r="V34" s="150" t="str">
        <f t="shared" si="61"/>
        <v/>
      </c>
      <c r="W34" s="149" t="str">
        <f t="shared" ca="1" si="47"/>
        <v/>
      </c>
      <c r="X34" s="150" t="str">
        <f t="shared" si="62"/>
        <v/>
      </c>
      <c r="Y34" s="149" t="str">
        <f t="shared" ca="1" si="48"/>
        <v/>
      </c>
      <c r="Z34" s="150" t="str">
        <f t="shared" si="63"/>
        <v/>
      </c>
      <c r="AA34" s="149" t="str">
        <f t="shared" ca="1" si="49"/>
        <v/>
      </c>
      <c r="AB34" s="150" t="str">
        <f t="shared" si="64"/>
        <v/>
      </c>
      <c r="AC34" s="149" t="str">
        <f t="shared" ca="1" si="50"/>
        <v/>
      </c>
      <c r="AD34" s="150" t="str">
        <f t="shared" si="65"/>
        <v/>
      </c>
      <c r="AE34" s="146"/>
      <c r="AF34" s="146"/>
      <c r="AG34" s="146"/>
      <c r="AH34" s="146"/>
      <c r="AI34" s="146"/>
      <c r="AJ34" s="146"/>
      <c r="AL34" s="211" t="e">
        <f t="shared" ca="1" si="66"/>
        <v>#DIV/0!</v>
      </c>
      <c r="AM34" s="70" t="e">
        <f t="shared" ca="1" si="67"/>
        <v>#DIV/0!</v>
      </c>
      <c r="AN34" s="276" t="e">
        <f t="shared" ca="1" si="68"/>
        <v>#DIV/0!</v>
      </c>
      <c r="AO34" s="276" t="e">
        <f t="shared" ca="1" si="69"/>
        <v>#DIV/0!</v>
      </c>
    </row>
    <row r="35" spans="1:41" ht="21.75" hidden="1" customHeight="1" outlineLevel="1">
      <c r="A35" s="273"/>
      <c r="B35" s="148" t="str">
        <f t="shared" si="51"/>
        <v/>
      </c>
      <c r="C35" s="149" t="str">
        <f t="shared" si="37"/>
        <v/>
      </c>
      <c r="D35" s="150" t="str">
        <f t="shared" si="52"/>
        <v/>
      </c>
      <c r="E35" s="149" t="str">
        <f t="shared" si="38"/>
        <v/>
      </c>
      <c r="F35" s="150" t="str">
        <f t="shared" si="53"/>
        <v/>
      </c>
      <c r="G35" s="149" t="str">
        <f t="shared" ca="1" si="39"/>
        <v/>
      </c>
      <c r="H35" s="150" t="str">
        <f t="shared" si="54"/>
        <v/>
      </c>
      <c r="I35" s="149" t="str">
        <f t="shared" ca="1" si="40"/>
        <v/>
      </c>
      <c r="J35" s="150" t="str">
        <f t="shared" si="55"/>
        <v/>
      </c>
      <c r="K35" s="149" t="str">
        <f t="shared" ca="1" si="41"/>
        <v/>
      </c>
      <c r="L35" s="150" t="str">
        <f t="shared" si="56"/>
        <v/>
      </c>
      <c r="M35" s="149" t="str">
        <f t="shared" ca="1" si="42"/>
        <v/>
      </c>
      <c r="N35" s="150" t="str">
        <f t="shared" si="57"/>
        <v/>
      </c>
      <c r="O35" s="149" t="str">
        <f t="shared" ca="1" si="43"/>
        <v/>
      </c>
      <c r="P35" s="150" t="str">
        <f t="shared" si="58"/>
        <v/>
      </c>
      <c r="Q35" s="149" t="str">
        <f t="shared" ca="1" si="44"/>
        <v/>
      </c>
      <c r="R35" s="150" t="str">
        <f t="shared" si="59"/>
        <v/>
      </c>
      <c r="S35" s="149" t="str">
        <f t="shared" ca="1" si="45"/>
        <v/>
      </c>
      <c r="T35" s="150" t="str">
        <f t="shared" si="60"/>
        <v/>
      </c>
      <c r="U35" s="149" t="str">
        <f t="shared" ca="1" si="46"/>
        <v/>
      </c>
      <c r="V35" s="150" t="str">
        <f t="shared" si="61"/>
        <v/>
      </c>
      <c r="W35" s="149" t="str">
        <f t="shared" ca="1" si="47"/>
        <v/>
      </c>
      <c r="X35" s="150" t="str">
        <f t="shared" si="62"/>
        <v/>
      </c>
      <c r="Y35" s="149" t="str">
        <f t="shared" ca="1" si="48"/>
        <v/>
      </c>
      <c r="Z35" s="150" t="str">
        <f t="shared" si="63"/>
        <v/>
      </c>
      <c r="AA35" s="149" t="str">
        <f t="shared" ca="1" si="49"/>
        <v/>
      </c>
      <c r="AB35" s="150" t="str">
        <f t="shared" si="64"/>
        <v/>
      </c>
      <c r="AC35" s="149" t="str">
        <f t="shared" ca="1" si="50"/>
        <v/>
      </c>
      <c r="AD35" s="150" t="str">
        <f t="shared" si="65"/>
        <v/>
      </c>
      <c r="AE35" s="146"/>
      <c r="AF35" s="146"/>
      <c r="AG35" s="146"/>
      <c r="AH35" s="146"/>
      <c r="AI35" s="146"/>
      <c r="AJ35" s="146"/>
      <c r="AL35" s="211" t="e">
        <f t="shared" ca="1" si="66"/>
        <v>#DIV/0!</v>
      </c>
      <c r="AM35" s="70" t="e">
        <f t="shared" ca="1" si="67"/>
        <v>#DIV/0!</v>
      </c>
      <c r="AN35" s="276" t="e">
        <f t="shared" ca="1" si="68"/>
        <v>#DIV/0!</v>
      </c>
      <c r="AO35" s="276" t="e">
        <f t="shared" ca="1" si="69"/>
        <v>#DIV/0!</v>
      </c>
    </row>
    <row r="36" spans="1:41" ht="21.75" hidden="1" customHeight="1" outlineLevel="1">
      <c r="A36" s="273"/>
      <c r="B36" s="148" t="str">
        <f t="shared" si="51"/>
        <v/>
      </c>
      <c r="C36" s="149" t="str">
        <f t="shared" si="37"/>
        <v/>
      </c>
      <c r="D36" s="150" t="str">
        <f t="shared" si="52"/>
        <v/>
      </c>
      <c r="E36" s="149" t="str">
        <f t="shared" si="38"/>
        <v/>
      </c>
      <c r="F36" s="150" t="str">
        <f t="shared" si="53"/>
        <v/>
      </c>
      <c r="G36" s="149" t="str">
        <f t="shared" ca="1" si="39"/>
        <v/>
      </c>
      <c r="H36" s="150" t="str">
        <f t="shared" si="54"/>
        <v/>
      </c>
      <c r="I36" s="149" t="str">
        <f t="shared" ca="1" si="40"/>
        <v/>
      </c>
      <c r="J36" s="150" t="str">
        <f t="shared" si="55"/>
        <v/>
      </c>
      <c r="K36" s="149" t="str">
        <f t="shared" ca="1" si="41"/>
        <v/>
      </c>
      <c r="L36" s="150" t="str">
        <f t="shared" si="56"/>
        <v/>
      </c>
      <c r="M36" s="149" t="str">
        <f t="shared" ca="1" si="42"/>
        <v/>
      </c>
      <c r="N36" s="150" t="str">
        <f t="shared" si="57"/>
        <v/>
      </c>
      <c r="O36" s="149" t="str">
        <f t="shared" ca="1" si="43"/>
        <v/>
      </c>
      <c r="P36" s="150" t="str">
        <f t="shared" si="58"/>
        <v/>
      </c>
      <c r="Q36" s="149" t="str">
        <f t="shared" ca="1" si="44"/>
        <v/>
      </c>
      <c r="R36" s="150" t="str">
        <f t="shared" si="59"/>
        <v/>
      </c>
      <c r="S36" s="149" t="str">
        <f t="shared" ca="1" si="45"/>
        <v/>
      </c>
      <c r="T36" s="150" t="str">
        <f t="shared" si="60"/>
        <v/>
      </c>
      <c r="U36" s="149" t="str">
        <f t="shared" ca="1" si="46"/>
        <v/>
      </c>
      <c r="V36" s="150" t="str">
        <f t="shared" si="61"/>
        <v/>
      </c>
      <c r="W36" s="149" t="str">
        <f t="shared" ca="1" si="47"/>
        <v/>
      </c>
      <c r="X36" s="150" t="str">
        <f t="shared" si="62"/>
        <v/>
      </c>
      <c r="Y36" s="149" t="str">
        <f t="shared" ca="1" si="48"/>
        <v/>
      </c>
      <c r="Z36" s="150" t="str">
        <f t="shared" si="63"/>
        <v/>
      </c>
      <c r="AA36" s="149" t="str">
        <f t="shared" ca="1" si="49"/>
        <v/>
      </c>
      <c r="AB36" s="150" t="str">
        <f t="shared" si="64"/>
        <v/>
      </c>
      <c r="AC36" s="149" t="str">
        <f t="shared" ca="1" si="50"/>
        <v/>
      </c>
      <c r="AD36" s="150" t="str">
        <f t="shared" si="65"/>
        <v/>
      </c>
      <c r="AE36" s="146"/>
      <c r="AF36" s="146"/>
      <c r="AG36" s="146"/>
      <c r="AH36" s="146"/>
      <c r="AI36" s="146"/>
      <c r="AJ36" s="146"/>
      <c r="AL36" s="211" t="e">
        <f t="shared" ca="1" si="66"/>
        <v>#DIV/0!</v>
      </c>
      <c r="AM36" s="70" t="e">
        <f t="shared" ca="1" si="67"/>
        <v>#DIV/0!</v>
      </c>
      <c r="AN36" s="276" t="e">
        <f t="shared" ca="1" si="68"/>
        <v>#DIV/0!</v>
      </c>
      <c r="AO36" s="276" t="e">
        <f t="shared" ca="1" si="69"/>
        <v>#DIV/0!</v>
      </c>
    </row>
    <row r="37" spans="1:41" ht="21.75" hidden="1" customHeight="1" outlineLevel="1">
      <c r="A37" s="273"/>
      <c r="B37" s="148" t="str">
        <f t="shared" si="51"/>
        <v/>
      </c>
      <c r="C37" s="149" t="str">
        <f t="shared" si="37"/>
        <v/>
      </c>
      <c r="D37" s="150" t="str">
        <f t="shared" si="52"/>
        <v/>
      </c>
      <c r="E37" s="149" t="str">
        <f t="shared" si="38"/>
        <v/>
      </c>
      <c r="F37" s="150" t="str">
        <f t="shared" si="53"/>
        <v/>
      </c>
      <c r="G37" s="149" t="str">
        <f t="shared" ca="1" si="39"/>
        <v/>
      </c>
      <c r="H37" s="150" t="str">
        <f t="shared" si="54"/>
        <v/>
      </c>
      <c r="I37" s="149" t="str">
        <f t="shared" ca="1" si="40"/>
        <v/>
      </c>
      <c r="J37" s="150" t="str">
        <f t="shared" si="55"/>
        <v/>
      </c>
      <c r="K37" s="149" t="str">
        <f t="shared" ca="1" si="41"/>
        <v/>
      </c>
      <c r="L37" s="150" t="str">
        <f t="shared" si="56"/>
        <v/>
      </c>
      <c r="M37" s="149" t="str">
        <f t="shared" ca="1" si="42"/>
        <v/>
      </c>
      <c r="N37" s="150" t="str">
        <f t="shared" si="57"/>
        <v/>
      </c>
      <c r="O37" s="149" t="str">
        <f t="shared" ca="1" si="43"/>
        <v/>
      </c>
      <c r="P37" s="150" t="str">
        <f t="shared" si="58"/>
        <v/>
      </c>
      <c r="Q37" s="149" t="str">
        <f t="shared" ca="1" si="44"/>
        <v/>
      </c>
      <c r="R37" s="150" t="str">
        <f t="shared" si="59"/>
        <v/>
      </c>
      <c r="S37" s="149" t="str">
        <f t="shared" ca="1" si="45"/>
        <v/>
      </c>
      <c r="T37" s="150" t="str">
        <f t="shared" si="60"/>
        <v/>
      </c>
      <c r="U37" s="149" t="str">
        <f t="shared" ca="1" si="46"/>
        <v/>
      </c>
      <c r="V37" s="150" t="str">
        <f t="shared" si="61"/>
        <v/>
      </c>
      <c r="W37" s="149" t="str">
        <f t="shared" ca="1" si="47"/>
        <v/>
      </c>
      <c r="X37" s="150" t="str">
        <f t="shared" si="62"/>
        <v/>
      </c>
      <c r="Y37" s="149" t="str">
        <f t="shared" ca="1" si="48"/>
        <v/>
      </c>
      <c r="Z37" s="150" t="str">
        <f t="shared" si="63"/>
        <v/>
      </c>
      <c r="AA37" s="149" t="str">
        <f t="shared" ca="1" si="49"/>
        <v/>
      </c>
      <c r="AB37" s="150" t="str">
        <f t="shared" si="64"/>
        <v/>
      </c>
      <c r="AC37" s="149" t="str">
        <f t="shared" ca="1" si="50"/>
        <v/>
      </c>
      <c r="AD37" s="150" t="str">
        <f t="shared" si="65"/>
        <v/>
      </c>
      <c r="AE37" s="146"/>
      <c r="AF37" s="146"/>
      <c r="AG37" s="146"/>
      <c r="AH37" s="146"/>
      <c r="AI37" s="146"/>
      <c r="AJ37" s="146"/>
      <c r="AL37" s="211" t="e">
        <f t="shared" ca="1" si="66"/>
        <v>#DIV/0!</v>
      </c>
      <c r="AM37" s="70" t="e">
        <f t="shared" ca="1" si="67"/>
        <v>#DIV/0!</v>
      </c>
      <c r="AN37" s="276" t="e">
        <f t="shared" ca="1" si="68"/>
        <v>#DIV/0!</v>
      </c>
      <c r="AO37" s="276" t="e">
        <f t="shared" ca="1" si="69"/>
        <v>#DIV/0!</v>
      </c>
    </row>
    <row r="38" spans="1:41" ht="21.75" hidden="1" customHeight="1" outlineLevel="1">
      <c r="A38" s="273"/>
      <c r="B38" s="148" t="str">
        <f t="shared" si="51"/>
        <v/>
      </c>
      <c r="C38" s="149" t="str">
        <f t="shared" si="37"/>
        <v/>
      </c>
      <c r="D38" s="150" t="str">
        <f t="shared" si="52"/>
        <v/>
      </c>
      <c r="E38" s="149" t="str">
        <f t="shared" si="38"/>
        <v/>
      </c>
      <c r="F38" s="150" t="str">
        <f t="shared" si="53"/>
        <v/>
      </c>
      <c r="G38" s="149" t="str">
        <f t="shared" ca="1" si="39"/>
        <v/>
      </c>
      <c r="H38" s="150" t="str">
        <f t="shared" si="54"/>
        <v/>
      </c>
      <c r="I38" s="149" t="str">
        <f t="shared" ca="1" si="40"/>
        <v/>
      </c>
      <c r="J38" s="150" t="str">
        <f t="shared" si="55"/>
        <v/>
      </c>
      <c r="K38" s="149" t="str">
        <f t="shared" ca="1" si="41"/>
        <v/>
      </c>
      <c r="L38" s="150" t="str">
        <f t="shared" si="56"/>
        <v/>
      </c>
      <c r="M38" s="149" t="str">
        <f t="shared" ca="1" si="42"/>
        <v/>
      </c>
      <c r="N38" s="150" t="str">
        <f t="shared" si="57"/>
        <v/>
      </c>
      <c r="O38" s="149" t="str">
        <f t="shared" ca="1" si="43"/>
        <v/>
      </c>
      <c r="P38" s="150" t="str">
        <f t="shared" si="58"/>
        <v/>
      </c>
      <c r="Q38" s="149" t="str">
        <f t="shared" ca="1" si="44"/>
        <v/>
      </c>
      <c r="R38" s="150" t="str">
        <f t="shared" si="59"/>
        <v/>
      </c>
      <c r="S38" s="149" t="str">
        <f t="shared" ca="1" si="45"/>
        <v/>
      </c>
      <c r="T38" s="150" t="str">
        <f t="shared" si="60"/>
        <v/>
      </c>
      <c r="U38" s="149" t="str">
        <f t="shared" ca="1" si="46"/>
        <v/>
      </c>
      <c r="V38" s="150" t="str">
        <f t="shared" si="61"/>
        <v/>
      </c>
      <c r="W38" s="149" t="str">
        <f t="shared" ca="1" si="47"/>
        <v/>
      </c>
      <c r="X38" s="150" t="str">
        <f t="shared" si="62"/>
        <v/>
      </c>
      <c r="Y38" s="149" t="str">
        <f t="shared" ca="1" si="48"/>
        <v/>
      </c>
      <c r="Z38" s="150" t="str">
        <f t="shared" si="63"/>
        <v/>
      </c>
      <c r="AA38" s="149" t="str">
        <f t="shared" ca="1" si="49"/>
        <v/>
      </c>
      <c r="AB38" s="150" t="str">
        <f t="shared" si="64"/>
        <v/>
      </c>
      <c r="AC38" s="149" t="str">
        <f t="shared" ca="1" si="50"/>
        <v/>
      </c>
      <c r="AD38" s="150" t="str">
        <f t="shared" si="65"/>
        <v/>
      </c>
      <c r="AE38" s="146"/>
      <c r="AF38" s="146"/>
      <c r="AG38" s="146"/>
      <c r="AH38" s="146"/>
      <c r="AI38" s="146"/>
      <c r="AJ38" s="146"/>
      <c r="AL38" s="211" t="e">
        <f t="shared" ca="1" si="66"/>
        <v>#DIV/0!</v>
      </c>
      <c r="AM38" s="70" t="e">
        <f t="shared" ca="1" si="67"/>
        <v>#DIV/0!</v>
      </c>
      <c r="AN38" s="276" t="e">
        <f t="shared" ca="1" si="68"/>
        <v>#DIV/0!</v>
      </c>
      <c r="AO38" s="276" t="e">
        <f t="shared" ca="1" si="69"/>
        <v>#DIV/0!</v>
      </c>
    </row>
    <row r="39" spans="1:41" ht="21.75" hidden="1" customHeight="1" outlineLevel="1">
      <c r="A39" s="273"/>
      <c r="B39" s="148" t="str">
        <f t="shared" si="51"/>
        <v/>
      </c>
      <c r="C39" s="149" t="str">
        <f t="shared" si="37"/>
        <v/>
      </c>
      <c r="D39" s="150" t="str">
        <f t="shared" si="52"/>
        <v/>
      </c>
      <c r="E39" s="149" t="str">
        <f t="shared" si="38"/>
        <v/>
      </c>
      <c r="F39" s="150" t="str">
        <f t="shared" si="53"/>
        <v/>
      </c>
      <c r="G39" s="149" t="str">
        <f t="shared" ca="1" si="39"/>
        <v/>
      </c>
      <c r="H39" s="150" t="str">
        <f t="shared" si="54"/>
        <v/>
      </c>
      <c r="I39" s="149" t="str">
        <f t="shared" ca="1" si="40"/>
        <v/>
      </c>
      <c r="J39" s="150" t="str">
        <f t="shared" si="55"/>
        <v/>
      </c>
      <c r="K39" s="149" t="str">
        <f t="shared" ca="1" si="41"/>
        <v/>
      </c>
      <c r="L39" s="150" t="str">
        <f t="shared" si="56"/>
        <v/>
      </c>
      <c r="M39" s="149" t="str">
        <f t="shared" ca="1" si="42"/>
        <v/>
      </c>
      <c r="N39" s="150" t="str">
        <f t="shared" si="57"/>
        <v/>
      </c>
      <c r="O39" s="149" t="str">
        <f t="shared" ca="1" si="43"/>
        <v/>
      </c>
      <c r="P39" s="150" t="str">
        <f t="shared" si="58"/>
        <v/>
      </c>
      <c r="Q39" s="149" t="str">
        <f t="shared" ca="1" si="44"/>
        <v/>
      </c>
      <c r="R39" s="150" t="str">
        <f t="shared" si="59"/>
        <v/>
      </c>
      <c r="S39" s="149" t="str">
        <f t="shared" ca="1" si="45"/>
        <v/>
      </c>
      <c r="T39" s="150" t="str">
        <f t="shared" si="60"/>
        <v/>
      </c>
      <c r="U39" s="149" t="str">
        <f t="shared" ca="1" si="46"/>
        <v/>
      </c>
      <c r="V39" s="150" t="str">
        <f t="shared" si="61"/>
        <v/>
      </c>
      <c r="W39" s="149" t="str">
        <f t="shared" ca="1" si="47"/>
        <v/>
      </c>
      <c r="X39" s="150" t="str">
        <f t="shared" si="62"/>
        <v/>
      </c>
      <c r="Y39" s="149" t="str">
        <f t="shared" ca="1" si="48"/>
        <v/>
      </c>
      <c r="Z39" s="150" t="str">
        <f t="shared" si="63"/>
        <v/>
      </c>
      <c r="AA39" s="149" t="str">
        <f t="shared" ca="1" si="49"/>
        <v/>
      </c>
      <c r="AB39" s="150" t="str">
        <f t="shared" si="64"/>
        <v/>
      </c>
      <c r="AC39" s="149" t="str">
        <f t="shared" ca="1" si="50"/>
        <v/>
      </c>
      <c r="AD39" s="150" t="str">
        <f t="shared" si="65"/>
        <v/>
      </c>
      <c r="AE39" s="146"/>
      <c r="AF39" s="146"/>
      <c r="AG39" s="146"/>
      <c r="AH39" s="146"/>
      <c r="AI39" s="146"/>
      <c r="AJ39" s="146"/>
      <c r="AL39" s="211" t="e">
        <f t="shared" ca="1" si="66"/>
        <v>#DIV/0!</v>
      </c>
      <c r="AM39" s="70" t="e">
        <f t="shared" ca="1" si="67"/>
        <v>#DIV/0!</v>
      </c>
      <c r="AN39" s="276" t="e">
        <f t="shared" ca="1" si="68"/>
        <v>#DIV/0!</v>
      </c>
      <c r="AO39" s="276" t="e">
        <f t="shared" ca="1" si="69"/>
        <v>#DIV/0!</v>
      </c>
    </row>
    <row r="40" spans="1:41" ht="21.75" hidden="1" customHeight="1">
      <c r="A40" s="273"/>
      <c r="B40" s="148" t="str">
        <f t="shared" si="51"/>
        <v/>
      </c>
      <c r="C40" s="149" t="str">
        <f t="shared" si="37"/>
        <v/>
      </c>
      <c r="D40" s="150" t="str">
        <f t="shared" si="52"/>
        <v/>
      </c>
      <c r="E40" s="149" t="str">
        <f t="shared" si="38"/>
        <v/>
      </c>
      <c r="F40" s="150" t="str">
        <f t="shared" si="53"/>
        <v/>
      </c>
      <c r="G40" s="149" t="str">
        <f t="shared" ca="1" si="39"/>
        <v/>
      </c>
      <c r="H40" s="150" t="str">
        <f t="shared" si="54"/>
        <v/>
      </c>
      <c r="I40" s="149" t="str">
        <f t="shared" ca="1" si="40"/>
        <v/>
      </c>
      <c r="J40" s="150" t="str">
        <f t="shared" si="55"/>
        <v/>
      </c>
      <c r="K40" s="149" t="str">
        <f t="shared" ca="1" si="41"/>
        <v/>
      </c>
      <c r="L40" s="150" t="str">
        <f t="shared" si="56"/>
        <v/>
      </c>
      <c r="M40" s="149" t="str">
        <f t="shared" ca="1" si="42"/>
        <v/>
      </c>
      <c r="N40" s="150" t="str">
        <f t="shared" si="57"/>
        <v/>
      </c>
      <c r="O40" s="149" t="str">
        <f t="shared" ca="1" si="43"/>
        <v/>
      </c>
      <c r="P40" s="150" t="str">
        <f t="shared" si="58"/>
        <v/>
      </c>
      <c r="Q40" s="149" t="str">
        <f t="shared" ca="1" si="44"/>
        <v/>
      </c>
      <c r="R40" s="150" t="str">
        <f t="shared" si="59"/>
        <v/>
      </c>
      <c r="S40" s="149" t="str">
        <f t="shared" ca="1" si="45"/>
        <v/>
      </c>
      <c r="T40" s="150" t="str">
        <f t="shared" si="60"/>
        <v/>
      </c>
      <c r="U40" s="149" t="str">
        <f t="shared" ca="1" si="46"/>
        <v/>
      </c>
      <c r="V40" s="150" t="str">
        <f t="shared" si="61"/>
        <v/>
      </c>
      <c r="W40" s="149" t="str">
        <f t="shared" ca="1" si="47"/>
        <v/>
      </c>
      <c r="X40" s="150" t="str">
        <f t="shared" si="62"/>
        <v/>
      </c>
      <c r="Y40" s="149" t="str">
        <f t="shared" ca="1" si="48"/>
        <v/>
      </c>
      <c r="Z40" s="150" t="str">
        <f t="shared" si="63"/>
        <v/>
      </c>
      <c r="AA40" s="149" t="str">
        <f t="shared" ca="1" si="49"/>
        <v/>
      </c>
      <c r="AB40" s="150" t="str">
        <f t="shared" si="64"/>
        <v/>
      </c>
      <c r="AC40" s="149" t="str">
        <f t="shared" ca="1" si="50"/>
        <v/>
      </c>
      <c r="AD40" s="150" t="str">
        <f t="shared" si="65"/>
        <v/>
      </c>
      <c r="AE40" s="146"/>
      <c r="AF40" s="146"/>
      <c r="AG40" s="146"/>
      <c r="AH40" s="146"/>
      <c r="AI40" s="146"/>
      <c r="AJ40" s="146"/>
      <c r="AL40" s="211" t="e">
        <f t="shared" ca="1" si="66"/>
        <v>#DIV/0!</v>
      </c>
      <c r="AM40" s="70" t="e">
        <f t="shared" ca="1" si="67"/>
        <v>#DIV/0!</v>
      </c>
      <c r="AN40" s="276" t="e">
        <f t="shared" ca="1" si="68"/>
        <v>#DIV/0!</v>
      </c>
      <c r="AO40" s="276" t="e">
        <f t="shared" ca="1" si="69"/>
        <v>#DIV/0!</v>
      </c>
    </row>
    <row r="41" spans="1:41" ht="21.75" hidden="1" customHeight="1">
      <c r="A41" s="147"/>
      <c r="B41" s="148" t="str">
        <f t="shared" si="51"/>
        <v/>
      </c>
      <c r="C41" s="149" t="str">
        <f t="shared" si="37"/>
        <v/>
      </c>
      <c r="D41" s="150" t="str">
        <f t="shared" si="52"/>
        <v/>
      </c>
      <c r="E41" s="149" t="str">
        <f t="shared" si="38"/>
        <v/>
      </c>
      <c r="F41" s="150" t="str">
        <f t="shared" si="53"/>
        <v/>
      </c>
      <c r="G41" s="149" t="str">
        <f t="shared" ca="1" si="39"/>
        <v/>
      </c>
      <c r="H41" s="150" t="str">
        <f t="shared" si="54"/>
        <v/>
      </c>
      <c r="I41" s="149" t="str">
        <f t="shared" ca="1" si="40"/>
        <v/>
      </c>
      <c r="J41" s="150" t="str">
        <f t="shared" si="55"/>
        <v/>
      </c>
      <c r="K41" s="149" t="str">
        <f t="shared" ca="1" si="41"/>
        <v/>
      </c>
      <c r="L41" s="150" t="str">
        <f t="shared" si="56"/>
        <v/>
      </c>
      <c r="M41" s="149" t="str">
        <f t="shared" ca="1" si="42"/>
        <v/>
      </c>
      <c r="N41" s="150" t="str">
        <f t="shared" si="57"/>
        <v/>
      </c>
      <c r="O41" s="149" t="str">
        <f t="shared" ca="1" si="43"/>
        <v/>
      </c>
      <c r="P41" s="150" t="str">
        <f t="shared" si="58"/>
        <v/>
      </c>
      <c r="Q41" s="149" t="str">
        <f t="shared" ca="1" si="44"/>
        <v/>
      </c>
      <c r="R41" s="150" t="str">
        <f t="shared" si="59"/>
        <v/>
      </c>
      <c r="S41" s="149" t="str">
        <f t="shared" ca="1" si="45"/>
        <v/>
      </c>
      <c r="T41" s="150" t="str">
        <f t="shared" si="60"/>
        <v/>
      </c>
      <c r="U41" s="149" t="str">
        <f t="shared" ca="1" si="46"/>
        <v/>
      </c>
      <c r="V41" s="150" t="str">
        <f t="shared" si="61"/>
        <v/>
      </c>
      <c r="W41" s="149" t="str">
        <f t="shared" ca="1" si="47"/>
        <v/>
      </c>
      <c r="X41" s="150" t="str">
        <f t="shared" si="62"/>
        <v/>
      </c>
      <c r="Y41" s="149" t="str">
        <f t="shared" ca="1" si="48"/>
        <v/>
      </c>
      <c r="Z41" s="150" t="str">
        <f t="shared" si="63"/>
        <v/>
      </c>
      <c r="AA41" s="149" t="str">
        <f t="shared" ca="1" si="49"/>
        <v/>
      </c>
      <c r="AB41" s="150" t="str">
        <f t="shared" si="64"/>
        <v/>
      </c>
      <c r="AC41" s="149" t="str">
        <f t="shared" ca="1" si="50"/>
        <v/>
      </c>
      <c r="AD41" s="150" t="str">
        <f t="shared" si="65"/>
        <v/>
      </c>
      <c r="AE41" s="146"/>
      <c r="AF41" s="146"/>
      <c r="AG41" s="146"/>
      <c r="AH41" s="146"/>
      <c r="AI41" s="146"/>
      <c r="AJ41" s="146"/>
      <c r="AL41" s="211" t="e">
        <f t="shared" ca="1" si="66"/>
        <v>#DIV/0!</v>
      </c>
      <c r="AM41" s="70" t="e">
        <f t="shared" ca="1" si="67"/>
        <v>#DIV/0!</v>
      </c>
      <c r="AN41" s="276" t="e">
        <f t="shared" ca="1" si="68"/>
        <v>#DIV/0!</v>
      </c>
      <c r="AO41" s="276" t="e">
        <f t="shared" ca="1" si="69"/>
        <v>#DIV/0!</v>
      </c>
    </row>
    <row r="42" spans="1:41" ht="21.75" hidden="1" customHeight="1">
      <c r="A42" s="147"/>
      <c r="B42" s="148" t="str">
        <f t="shared" si="51"/>
        <v/>
      </c>
      <c r="C42" s="149" t="str">
        <f t="shared" si="37"/>
        <v/>
      </c>
      <c r="D42" s="150" t="str">
        <f t="shared" si="52"/>
        <v/>
      </c>
      <c r="E42" s="149" t="str">
        <f t="shared" si="38"/>
        <v/>
      </c>
      <c r="F42" s="150" t="str">
        <f t="shared" si="53"/>
        <v/>
      </c>
      <c r="G42" s="149" t="str">
        <f t="shared" ca="1" si="39"/>
        <v/>
      </c>
      <c r="H42" s="150" t="str">
        <f t="shared" si="54"/>
        <v/>
      </c>
      <c r="I42" s="149" t="str">
        <f t="shared" ca="1" si="40"/>
        <v/>
      </c>
      <c r="J42" s="150" t="str">
        <f t="shared" si="55"/>
        <v/>
      </c>
      <c r="K42" s="149" t="str">
        <f t="shared" ca="1" si="41"/>
        <v/>
      </c>
      <c r="L42" s="150" t="str">
        <f t="shared" si="56"/>
        <v/>
      </c>
      <c r="M42" s="149" t="str">
        <f t="shared" ca="1" si="42"/>
        <v/>
      </c>
      <c r="N42" s="150" t="str">
        <f t="shared" si="57"/>
        <v/>
      </c>
      <c r="O42" s="149" t="str">
        <f t="shared" ca="1" si="43"/>
        <v/>
      </c>
      <c r="P42" s="150" t="str">
        <f t="shared" si="58"/>
        <v/>
      </c>
      <c r="Q42" s="149" t="str">
        <f t="shared" ca="1" si="44"/>
        <v/>
      </c>
      <c r="R42" s="150" t="str">
        <f t="shared" si="59"/>
        <v/>
      </c>
      <c r="S42" s="149" t="str">
        <f t="shared" ca="1" si="45"/>
        <v/>
      </c>
      <c r="T42" s="150" t="str">
        <f t="shared" si="60"/>
        <v/>
      </c>
      <c r="U42" s="149" t="str">
        <f t="shared" ca="1" si="46"/>
        <v/>
      </c>
      <c r="V42" s="150" t="str">
        <f t="shared" si="61"/>
        <v/>
      </c>
      <c r="W42" s="149" t="str">
        <f t="shared" ca="1" si="47"/>
        <v/>
      </c>
      <c r="X42" s="150" t="str">
        <f t="shared" si="62"/>
        <v/>
      </c>
      <c r="Y42" s="149" t="str">
        <f t="shared" ca="1" si="48"/>
        <v/>
      </c>
      <c r="Z42" s="150" t="str">
        <f t="shared" si="63"/>
        <v/>
      </c>
      <c r="AA42" s="149" t="str">
        <f t="shared" ca="1" si="49"/>
        <v/>
      </c>
      <c r="AB42" s="150" t="str">
        <f t="shared" si="64"/>
        <v/>
      </c>
      <c r="AC42" s="149" t="str">
        <f t="shared" ca="1" si="50"/>
        <v/>
      </c>
      <c r="AD42" s="150" t="str">
        <f t="shared" si="65"/>
        <v/>
      </c>
      <c r="AE42" s="146"/>
      <c r="AF42" s="146"/>
      <c r="AG42" s="146"/>
      <c r="AH42" s="146"/>
      <c r="AI42" s="146"/>
      <c r="AJ42" s="146"/>
      <c r="AL42" s="211" t="e">
        <f t="shared" ca="1" si="66"/>
        <v>#DIV/0!</v>
      </c>
      <c r="AM42" s="70" t="e">
        <f t="shared" ca="1" si="67"/>
        <v>#DIV/0!</v>
      </c>
      <c r="AN42" s="276" t="e">
        <f t="shared" ca="1" si="68"/>
        <v>#DIV/0!</v>
      </c>
      <c r="AO42" s="276" t="e">
        <f t="shared" ca="1" si="69"/>
        <v>#DIV/0!</v>
      </c>
    </row>
    <row r="43" spans="1:41" ht="21.75" hidden="1" customHeight="1">
      <c r="A43" s="147"/>
      <c r="B43" s="148" t="str">
        <f t="shared" si="51"/>
        <v/>
      </c>
      <c r="C43" s="149" t="str">
        <f t="shared" si="37"/>
        <v/>
      </c>
      <c r="D43" s="150" t="str">
        <f t="shared" si="52"/>
        <v/>
      </c>
      <c r="E43" s="149" t="str">
        <f t="shared" si="38"/>
        <v/>
      </c>
      <c r="F43" s="150" t="str">
        <f t="shared" si="53"/>
        <v/>
      </c>
      <c r="G43" s="149" t="str">
        <f t="shared" ca="1" si="39"/>
        <v/>
      </c>
      <c r="H43" s="150" t="str">
        <f t="shared" si="54"/>
        <v/>
      </c>
      <c r="I43" s="149" t="str">
        <f t="shared" ca="1" si="40"/>
        <v/>
      </c>
      <c r="J43" s="150" t="str">
        <f t="shared" si="55"/>
        <v/>
      </c>
      <c r="K43" s="149" t="str">
        <f t="shared" ca="1" si="41"/>
        <v/>
      </c>
      <c r="L43" s="150" t="str">
        <f t="shared" si="56"/>
        <v/>
      </c>
      <c r="M43" s="149" t="str">
        <f t="shared" ca="1" si="42"/>
        <v/>
      </c>
      <c r="N43" s="150" t="str">
        <f t="shared" si="57"/>
        <v/>
      </c>
      <c r="O43" s="149" t="str">
        <f t="shared" ca="1" si="43"/>
        <v/>
      </c>
      <c r="P43" s="150" t="str">
        <f t="shared" si="58"/>
        <v/>
      </c>
      <c r="Q43" s="149" t="str">
        <f t="shared" ca="1" si="44"/>
        <v/>
      </c>
      <c r="R43" s="150" t="str">
        <f t="shared" si="59"/>
        <v/>
      </c>
      <c r="S43" s="149" t="str">
        <f t="shared" ca="1" si="45"/>
        <v/>
      </c>
      <c r="T43" s="150" t="str">
        <f t="shared" si="60"/>
        <v/>
      </c>
      <c r="U43" s="149" t="str">
        <f t="shared" ca="1" si="46"/>
        <v/>
      </c>
      <c r="V43" s="150" t="str">
        <f t="shared" si="61"/>
        <v/>
      </c>
      <c r="W43" s="149" t="str">
        <f t="shared" ca="1" si="47"/>
        <v/>
      </c>
      <c r="X43" s="150" t="str">
        <f t="shared" si="62"/>
        <v/>
      </c>
      <c r="Y43" s="149" t="str">
        <f t="shared" ca="1" si="48"/>
        <v/>
      </c>
      <c r="Z43" s="150" t="str">
        <f t="shared" si="63"/>
        <v/>
      </c>
      <c r="AA43" s="149" t="str">
        <f t="shared" ca="1" si="49"/>
        <v/>
      </c>
      <c r="AB43" s="150" t="str">
        <f t="shared" si="64"/>
        <v/>
      </c>
      <c r="AC43" s="149" t="str">
        <f t="shared" ca="1" si="50"/>
        <v/>
      </c>
      <c r="AD43" s="150" t="str">
        <f t="shared" si="65"/>
        <v/>
      </c>
      <c r="AE43" s="146"/>
      <c r="AF43" s="146"/>
      <c r="AG43" s="146"/>
      <c r="AH43" s="146"/>
      <c r="AI43" s="146"/>
      <c r="AJ43" s="146"/>
      <c r="AL43" s="211" t="e">
        <f t="shared" ca="1" si="66"/>
        <v>#DIV/0!</v>
      </c>
      <c r="AM43" s="70" t="e">
        <f t="shared" ca="1" si="67"/>
        <v>#DIV/0!</v>
      </c>
      <c r="AN43" s="276" t="e">
        <f t="shared" ca="1" si="68"/>
        <v>#DIV/0!</v>
      </c>
      <c r="AO43" s="276" t="e">
        <f t="shared" ca="1" si="69"/>
        <v>#DIV/0!</v>
      </c>
    </row>
    <row r="44" spans="1:41" ht="21.75" hidden="1" customHeight="1">
      <c r="A44" s="147"/>
      <c r="B44" s="148" t="str">
        <f t="shared" si="51"/>
        <v/>
      </c>
      <c r="C44" s="149" t="str">
        <f t="shared" si="37"/>
        <v/>
      </c>
      <c r="D44" s="150" t="str">
        <f t="shared" si="52"/>
        <v/>
      </c>
      <c r="E44" s="149" t="str">
        <f t="shared" si="38"/>
        <v/>
      </c>
      <c r="F44" s="150" t="str">
        <f t="shared" si="53"/>
        <v/>
      </c>
      <c r="G44" s="149" t="str">
        <f t="shared" ca="1" si="39"/>
        <v/>
      </c>
      <c r="H44" s="150" t="str">
        <f t="shared" si="54"/>
        <v/>
      </c>
      <c r="I44" s="149" t="str">
        <f t="shared" ca="1" si="40"/>
        <v/>
      </c>
      <c r="J44" s="150" t="str">
        <f t="shared" si="55"/>
        <v/>
      </c>
      <c r="K44" s="149" t="str">
        <f t="shared" ca="1" si="41"/>
        <v/>
      </c>
      <c r="L44" s="150" t="str">
        <f t="shared" si="56"/>
        <v/>
      </c>
      <c r="M44" s="149" t="str">
        <f t="shared" ca="1" si="42"/>
        <v/>
      </c>
      <c r="N44" s="150" t="str">
        <f t="shared" si="57"/>
        <v/>
      </c>
      <c r="O44" s="149" t="str">
        <f t="shared" ca="1" si="43"/>
        <v/>
      </c>
      <c r="P44" s="150" t="str">
        <f t="shared" si="58"/>
        <v/>
      </c>
      <c r="Q44" s="149" t="str">
        <f t="shared" ca="1" si="44"/>
        <v/>
      </c>
      <c r="R44" s="150" t="str">
        <f t="shared" si="59"/>
        <v/>
      </c>
      <c r="S44" s="149" t="str">
        <f t="shared" ca="1" si="45"/>
        <v/>
      </c>
      <c r="T44" s="150" t="str">
        <f t="shared" si="60"/>
        <v/>
      </c>
      <c r="U44" s="149" t="str">
        <f t="shared" ca="1" si="46"/>
        <v/>
      </c>
      <c r="V44" s="150" t="str">
        <f t="shared" si="61"/>
        <v/>
      </c>
      <c r="W44" s="149" t="str">
        <f t="shared" ca="1" si="47"/>
        <v/>
      </c>
      <c r="X44" s="150" t="str">
        <f t="shared" si="62"/>
        <v/>
      </c>
      <c r="Y44" s="149" t="str">
        <f t="shared" ca="1" si="48"/>
        <v/>
      </c>
      <c r="Z44" s="150" t="str">
        <f t="shared" si="63"/>
        <v/>
      </c>
      <c r="AA44" s="149" t="str">
        <f t="shared" ca="1" si="49"/>
        <v/>
      </c>
      <c r="AB44" s="150" t="str">
        <f t="shared" si="64"/>
        <v/>
      </c>
      <c r="AC44" s="149" t="str">
        <f t="shared" ca="1" si="50"/>
        <v/>
      </c>
      <c r="AD44" s="150" t="str">
        <f t="shared" si="65"/>
        <v/>
      </c>
      <c r="AE44" s="146"/>
      <c r="AF44" s="146"/>
      <c r="AG44" s="146"/>
      <c r="AH44" s="146"/>
      <c r="AI44" s="146"/>
      <c r="AJ44" s="146"/>
      <c r="AL44" s="211" t="e">
        <f t="shared" ca="1" si="66"/>
        <v>#DIV/0!</v>
      </c>
      <c r="AM44" s="70" t="e">
        <f t="shared" ca="1" si="67"/>
        <v>#DIV/0!</v>
      </c>
      <c r="AN44" s="276" t="e">
        <f t="shared" ca="1" si="68"/>
        <v>#DIV/0!</v>
      </c>
      <c r="AO44" s="276" t="e">
        <f t="shared" ca="1" si="69"/>
        <v>#DIV/0!</v>
      </c>
    </row>
    <row r="45" spans="1:41" ht="21.75" hidden="1" customHeight="1">
      <c r="A45" s="147"/>
      <c r="B45" s="148" t="str">
        <f t="shared" si="51"/>
        <v/>
      </c>
      <c r="C45" s="149" t="str">
        <f t="shared" si="37"/>
        <v/>
      </c>
      <c r="D45" s="150" t="str">
        <f t="shared" si="52"/>
        <v/>
      </c>
      <c r="E45" s="149" t="str">
        <f t="shared" si="38"/>
        <v/>
      </c>
      <c r="F45" s="150" t="str">
        <f t="shared" si="53"/>
        <v/>
      </c>
      <c r="G45" s="149" t="str">
        <f t="shared" ca="1" si="39"/>
        <v/>
      </c>
      <c r="H45" s="150" t="str">
        <f t="shared" si="54"/>
        <v/>
      </c>
      <c r="I45" s="149" t="str">
        <f t="shared" ca="1" si="40"/>
        <v/>
      </c>
      <c r="J45" s="150" t="str">
        <f t="shared" si="55"/>
        <v/>
      </c>
      <c r="K45" s="149" t="str">
        <f t="shared" ca="1" si="41"/>
        <v/>
      </c>
      <c r="L45" s="150" t="str">
        <f t="shared" si="56"/>
        <v/>
      </c>
      <c r="M45" s="149" t="str">
        <f t="shared" ca="1" si="42"/>
        <v/>
      </c>
      <c r="N45" s="150" t="str">
        <f t="shared" si="57"/>
        <v/>
      </c>
      <c r="O45" s="149" t="str">
        <f t="shared" ca="1" si="43"/>
        <v/>
      </c>
      <c r="P45" s="150" t="str">
        <f t="shared" si="58"/>
        <v/>
      </c>
      <c r="Q45" s="149" t="str">
        <f t="shared" ca="1" si="44"/>
        <v/>
      </c>
      <c r="R45" s="150" t="str">
        <f t="shared" si="59"/>
        <v/>
      </c>
      <c r="S45" s="149" t="str">
        <f t="shared" ca="1" si="45"/>
        <v/>
      </c>
      <c r="T45" s="150" t="str">
        <f t="shared" si="60"/>
        <v/>
      </c>
      <c r="U45" s="149" t="str">
        <f t="shared" ca="1" si="46"/>
        <v/>
      </c>
      <c r="V45" s="150" t="str">
        <f t="shared" si="61"/>
        <v/>
      </c>
      <c r="W45" s="149" t="str">
        <f t="shared" ca="1" si="47"/>
        <v/>
      </c>
      <c r="X45" s="150" t="str">
        <f t="shared" si="62"/>
        <v/>
      </c>
      <c r="Y45" s="149" t="str">
        <f t="shared" ca="1" si="48"/>
        <v/>
      </c>
      <c r="Z45" s="150" t="str">
        <f t="shared" si="63"/>
        <v/>
      </c>
      <c r="AA45" s="149" t="str">
        <f t="shared" ca="1" si="49"/>
        <v/>
      </c>
      <c r="AB45" s="150" t="str">
        <f t="shared" si="64"/>
        <v/>
      </c>
      <c r="AC45" s="149" t="str">
        <f t="shared" ca="1" si="50"/>
        <v/>
      </c>
      <c r="AD45" s="150" t="str">
        <f t="shared" si="65"/>
        <v/>
      </c>
      <c r="AE45" s="146"/>
      <c r="AF45" s="146"/>
      <c r="AG45" s="146"/>
      <c r="AH45" s="146"/>
      <c r="AI45" s="146"/>
      <c r="AJ45" s="146"/>
      <c r="AL45" s="211" t="e">
        <f t="shared" ca="1" si="66"/>
        <v>#DIV/0!</v>
      </c>
      <c r="AM45" s="70" t="e">
        <f t="shared" ca="1" si="67"/>
        <v>#DIV/0!</v>
      </c>
      <c r="AN45" s="276" t="e">
        <f t="shared" ca="1" si="68"/>
        <v>#DIV/0!</v>
      </c>
      <c r="AO45" s="276" t="e">
        <f t="shared" ca="1" si="69"/>
        <v>#DIV/0!</v>
      </c>
    </row>
    <row r="46" spans="1:41" ht="21.75" hidden="1" customHeight="1">
      <c r="A46" s="147"/>
      <c r="B46" s="148" t="str">
        <f t="shared" si="51"/>
        <v/>
      </c>
      <c r="C46" s="149" t="str">
        <f t="shared" ref="C46:C101" si="70">IF($C$8="Habilitado",IF($A46="","",ROUND(VLOOKUP($A46,OFERENTE_1,15,FALSE),2)),"")</f>
        <v/>
      </c>
      <c r="D46" s="150" t="str">
        <f t="shared" si="52"/>
        <v/>
      </c>
      <c r="E46" s="149" t="str">
        <f t="shared" ref="E46:E101" si="71">IF($E$8="Habilitado",IF($A46="","",ROUND(VLOOKUP($A46,OFERENTE_2,15,FALSE),2)),"")</f>
        <v/>
      </c>
      <c r="F46" s="150" t="str">
        <f t="shared" si="53"/>
        <v/>
      </c>
      <c r="G46" s="149" t="str">
        <f t="shared" ref="G46:G101" ca="1" si="72">IF($G$8="Habilitado",IF($A46="","",ROUND(VLOOKUP($A46,OFERENTE_3,15,FALSE),2)),"")</f>
        <v/>
      </c>
      <c r="H46" s="150" t="str">
        <f t="shared" si="54"/>
        <v/>
      </c>
      <c r="I46" s="149" t="str">
        <f t="shared" ref="I46:I101" ca="1" si="73">IF($I$8="Habilitado",IF($A46="","",ROUND(VLOOKUP($A46,OFERENTE_4,15,FALSE),2)),"")</f>
        <v/>
      </c>
      <c r="J46" s="150" t="str">
        <f t="shared" si="55"/>
        <v/>
      </c>
      <c r="K46" s="149" t="str">
        <f t="shared" ref="K46:K101" ca="1" si="74">IF($K$8="Habilitado",IF($A46="","",ROUND(VLOOKUP($A46,OFERENTE_5,15,FALSE),2)),"")</f>
        <v/>
      </c>
      <c r="L46" s="150" t="str">
        <f t="shared" si="56"/>
        <v/>
      </c>
      <c r="M46" s="149" t="str">
        <f t="shared" ca="1" si="42"/>
        <v/>
      </c>
      <c r="N46" s="150" t="str">
        <f t="shared" si="57"/>
        <v/>
      </c>
      <c r="O46" s="149" t="str">
        <f t="shared" ref="O46:O101" ca="1" si="75">IF($O$8="Habilitado",IF($A46="","",ROUND(VLOOKUP($A46,OFERENTE_7,15,FALSE),2)),"")</f>
        <v/>
      </c>
      <c r="P46" s="150" t="str">
        <f t="shared" si="58"/>
        <v/>
      </c>
      <c r="Q46" s="149" t="str">
        <f t="shared" ref="Q46:Q77" ca="1" si="76">IF($Q$8="Habilitado",IF($A46="","",ROUND(VLOOKUP($A46,OFERENTE_8,15,FALSE),2)),"")</f>
        <v/>
      </c>
      <c r="R46" s="150" t="str">
        <f t="shared" si="59"/>
        <v/>
      </c>
      <c r="S46" s="149" t="str">
        <f t="shared" ref="S46:S77" ca="1" si="77">IF($S$8="Habilitado",IF($A46="","",ROUND(VLOOKUP($A46,OFERENTE_9,15,FALSE),2)),"")</f>
        <v/>
      </c>
      <c r="T46" s="150" t="str">
        <f t="shared" si="60"/>
        <v/>
      </c>
      <c r="U46" s="149" t="str">
        <f t="shared" ref="U46:U77" ca="1" si="78">IF($U$8="Habilitado",IF($A46="","",ROUND(VLOOKUP($A46,OFERENTE_10,15,FALSE),2)),"")</f>
        <v/>
      </c>
      <c r="V46" s="150" t="str">
        <f t="shared" si="61"/>
        <v/>
      </c>
      <c r="W46" s="149" t="str">
        <f t="shared" ref="W46:W77" ca="1" si="79">IF($W$8="Habilitado",IF($A46="","",ROUND(VLOOKUP($A46,OFERENTE_11,15,FALSE),2)),"")</f>
        <v/>
      </c>
      <c r="X46" s="150" t="str">
        <f t="shared" si="62"/>
        <v/>
      </c>
      <c r="Y46" s="149" t="str">
        <f t="shared" ref="Y46:Y77" ca="1" si="80">IF($Y$8="Habilitado",IF($A46="","",ROUND(VLOOKUP($A46,OFERENTE_12,15,FALSE),2)),"")</f>
        <v/>
      </c>
      <c r="Z46" s="150" t="str">
        <f t="shared" si="63"/>
        <v/>
      </c>
      <c r="AA46" s="149" t="str">
        <f t="shared" ref="AA46:AA77" ca="1" si="81">IF($AA$8="Habilitado",IF($A46="","",ROUND(VLOOKUP($A46,OFERENTE_13,15,FALSE),2)),"")</f>
        <v/>
      </c>
      <c r="AB46" s="150" t="str">
        <f t="shared" si="64"/>
        <v/>
      </c>
      <c r="AC46" s="149" t="str">
        <f t="shared" ref="AC46:AC77" ca="1" si="82">IF($AC$8="Habilitado",IF($A46="","",ROUND(VLOOKUP($A46,OFERENTE_14,15,FALSE),2)),"")</f>
        <v/>
      </c>
      <c r="AD46" s="150" t="str">
        <f t="shared" si="65"/>
        <v/>
      </c>
      <c r="AE46" s="146"/>
      <c r="AF46" s="146"/>
      <c r="AG46" s="146"/>
      <c r="AH46" s="146"/>
      <c r="AI46" s="146"/>
      <c r="AJ46" s="146"/>
      <c r="AL46" s="211" t="e">
        <f t="shared" ca="1" si="66"/>
        <v>#DIV/0!</v>
      </c>
      <c r="AM46" s="70" t="e">
        <f t="shared" ca="1" si="67"/>
        <v>#DIV/0!</v>
      </c>
      <c r="AN46" s="276" t="e">
        <f t="shared" ca="1" si="68"/>
        <v>#DIV/0!</v>
      </c>
      <c r="AO46" s="276" t="e">
        <f t="shared" ca="1" si="69"/>
        <v>#DIV/0!</v>
      </c>
    </row>
    <row r="47" spans="1:41" ht="21.75" hidden="1" customHeight="1">
      <c r="A47" s="147"/>
      <c r="B47" s="148" t="str">
        <f t="shared" si="51"/>
        <v/>
      </c>
      <c r="C47" s="149" t="str">
        <f t="shared" si="70"/>
        <v/>
      </c>
      <c r="D47" s="150" t="str">
        <f t="shared" si="52"/>
        <v/>
      </c>
      <c r="E47" s="149" t="str">
        <f t="shared" si="71"/>
        <v/>
      </c>
      <c r="F47" s="150" t="str">
        <f t="shared" si="53"/>
        <v/>
      </c>
      <c r="G47" s="149" t="str">
        <f t="shared" ca="1" si="72"/>
        <v/>
      </c>
      <c r="H47" s="150" t="str">
        <f t="shared" si="54"/>
        <v/>
      </c>
      <c r="I47" s="149" t="str">
        <f t="shared" ca="1" si="73"/>
        <v/>
      </c>
      <c r="J47" s="150" t="str">
        <f t="shared" si="55"/>
        <v/>
      </c>
      <c r="K47" s="149" t="str">
        <f t="shared" ca="1" si="74"/>
        <v/>
      </c>
      <c r="L47" s="150" t="str">
        <f t="shared" si="56"/>
        <v/>
      </c>
      <c r="M47" s="149" t="str">
        <f t="shared" ca="1" si="42"/>
        <v/>
      </c>
      <c r="N47" s="150" t="str">
        <f t="shared" si="57"/>
        <v/>
      </c>
      <c r="O47" s="149" t="str">
        <f t="shared" ca="1" si="75"/>
        <v/>
      </c>
      <c r="P47" s="150" t="str">
        <f t="shared" si="58"/>
        <v/>
      </c>
      <c r="Q47" s="149" t="str">
        <f t="shared" ca="1" si="76"/>
        <v/>
      </c>
      <c r="R47" s="150" t="str">
        <f t="shared" si="59"/>
        <v/>
      </c>
      <c r="S47" s="149" t="str">
        <f t="shared" ca="1" si="77"/>
        <v/>
      </c>
      <c r="T47" s="150" t="str">
        <f t="shared" si="60"/>
        <v/>
      </c>
      <c r="U47" s="149" t="str">
        <f t="shared" ca="1" si="78"/>
        <v/>
      </c>
      <c r="V47" s="150" t="str">
        <f t="shared" si="61"/>
        <v/>
      </c>
      <c r="W47" s="149" t="str">
        <f t="shared" ca="1" si="79"/>
        <v/>
      </c>
      <c r="X47" s="150" t="str">
        <f t="shared" si="62"/>
        <v/>
      </c>
      <c r="Y47" s="149" t="str">
        <f t="shared" ca="1" si="80"/>
        <v/>
      </c>
      <c r="Z47" s="150" t="str">
        <f t="shared" si="63"/>
        <v/>
      </c>
      <c r="AA47" s="149" t="str">
        <f t="shared" ca="1" si="81"/>
        <v/>
      </c>
      <c r="AB47" s="150" t="str">
        <f t="shared" si="64"/>
        <v/>
      </c>
      <c r="AC47" s="149" t="str">
        <f t="shared" ca="1" si="82"/>
        <v/>
      </c>
      <c r="AD47" s="150" t="str">
        <f t="shared" si="65"/>
        <v/>
      </c>
      <c r="AE47" s="146"/>
      <c r="AF47" s="146"/>
      <c r="AG47" s="146"/>
      <c r="AH47" s="146"/>
      <c r="AI47" s="146"/>
      <c r="AJ47" s="146"/>
      <c r="AL47" s="211" t="e">
        <f t="shared" ca="1" si="66"/>
        <v>#DIV/0!</v>
      </c>
      <c r="AM47" s="70" t="e">
        <f t="shared" ca="1" si="67"/>
        <v>#DIV/0!</v>
      </c>
      <c r="AN47" s="276" t="e">
        <f t="shared" ca="1" si="68"/>
        <v>#DIV/0!</v>
      </c>
      <c r="AO47" s="276" t="e">
        <f t="shared" ca="1" si="69"/>
        <v>#DIV/0!</v>
      </c>
    </row>
    <row r="48" spans="1:41" ht="21.75" hidden="1" customHeight="1">
      <c r="A48" s="147"/>
      <c r="B48" s="148" t="str">
        <f t="shared" si="51"/>
        <v/>
      </c>
      <c r="C48" s="149" t="str">
        <f t="shared" si="70"/>
        <v/>
      </c>
      <c r="D48" s="150" t="str">
        <f t="shared" si="52"/>
        <v/>
      </c>
      <c r="E48" s="149" t="str">
        <f t="shared" si="71"/>
        <v/>
      </c>
      <c r="F48" s="150" t="str">
        <f t="shared" si="53"/>
        <v/>
      </c>
      <c r="G48" s="149" t="str">
        <f t="shared" ca="1" si="72"/>
        <v/>
      </c>
      <c r="H48" s="150" t="str">
        <f t="shared" si="54"/>
        <v/>
      </c>
      <c r="I48" s="149" t="str">
        <f t="shared" ca="1" si="73"/>
        <v/>
      </c>
      <c r="J48" s="150" t="str">
        <f t="shared" si="55"/>
        <v/>
      </c>
      <c r="K48" s="149" t="str">
        <f t="shared" ca="1" si="74"/>
        <v/>
      </c>
      <c r="L48" s="150" t="str">
        <f t="shared" si="56"/>
        <v/>
      </c>
      <c r="M48" s="149" t="str">
        <f t="shared" ca="1" si="42"/>
        <v/>
      </c>
      <c r="N48" s="150" t="str">
        <f t="shared" si="57"/>
        <v/>
      </c>
      <c r="O48" s="149" t="str">
        <f t="shared" ca="1" si="75"/>
        <v/>
      </c>
      <c r="P48" s="150" t="str">
        <f t="shared" si="58"/>
        <v/>
      </c>
      <c r="Q48" s="149" t="str">
        <f t="shared" ca="1" si="76"/>
        <v/>
      </c>
      <c r="R48" s="150" t="str">
        <f t="shared" si="59"/>
        <v/>
      </c>
      <c r="S48" s="149" t="str">
        <f t="shared" ca="1" si="77"/>
        <v/>
      </c>
      <c r="T48" s="150" t="str">
        <f t="shared" si="60"/>
        <v/>
      </c>
      <c r="U48" s="149" t="str">
        <f t="shared" ca="1" si="78"/>
        <v/>
      </c>
      <c r="V48" s="150" t="str">
        <f t="shared" si="61"/>
        <v/>
      </c>
      <c r="W48" s="149" t="str">
        <f t="shared" ca="1" si="79"/>
        <v/>
      </c>
      <c r="X48" s="150" t="str">
        <f t="shared" si="62"/>
        <v/>
      </c>
      <c r="Y48" s="149" t="str">
        <f t="shared" ca="1" si="80"/>
        <v/>
      </c>
      <c r="Z48" s="150" t="str">
        <f t="shared" si="63"/>
        <v/>
      </c>
      <c r="AA48" s="149" t="str">
        <f t="shared" ca="1" si="81"/>
        <v/>
      </c>
      <c r="AB48" s="150" t="str">
        <f t="shared" si="64"/>
        <v/>
      </c>
      <c r="AC48" s="149" t="str">
        <f t="shared" ca="1" si="82"/>
        <v/>
      </c>
      <c r="AD48" s="150" t="str">
        <f t="shared" si="65"/>
        <v/>
      </c>
      <c r="AE48" s="146"/>
      <c r="AF48" s="146"/>
      <c r="AG48" s="146"/>
      <c r="AH48" s="146"/>
      <c r="AI48" s="146"/>
      <c r="AJ48" s="146"/>
      <c r="AL48" s="211" t="e">
        <f t="shared" ca="1" si="66"/>
        <v>#DIV/0!</v>
      </c>
      <c r="AM48" s="70" t="e">
        <f t="shared" ca="1" si="67"/>
        <v>#DIV/0!</v>
      </c>
      <c r="AN48" s="276" t="e">
        <f t="shared" ca="1" si="68"/>
        <v>#DIV/0!</v>
      </c>
      <c r="AO48" s="276" t="e">
        <f t="shared" ca="1" si="69"/>
        <v>#DIV/0!</v>
      </c>
    </row>
    <row r="49" spans="1:41" ht="21.75" hidden="1" customHeight="1">
      <c r="A49" s="147"/>
      <c r="B49" s="148" t="str">
        <f t="shared" si="51"/>
        <v/>
      </c>
      <c r="C49" s="149" t="str">
        <f t="shared" si="70"/>
        <v/>
      </c>
      <c r="D49" s="150" t="str">
        <f t="shared" si="52"/>
        <v/>
      </c>
      <c r="E49" s="149" t="str">
        <f t="shared" si="71"/>
        <v/>
      </c>
      <c r="F49" s="150" t="str">
        <f t="shared" si="53"/>
        <v/>
      </c>
      <c r="G49" s="149" t="str">
        <f t="shared" ca="1" si="72"/>
        <v/>
      </c>
      <c r="H49" s="150" t="str">
        <f t="shared" si="54"/>
        <v/>
      </c>
      <c r="I49" s="149" t="str">
        <f t="shared" ca="1" si="73"/>
        <v/>
      </c>
      <c r="J49" s="150" t="str">
        <f t="shared" si="55"/>
        <v/>
      </c>
      <c r="K49" s="149" t="str">
        <f t="shared" ca="1" si="74"/>
        <v/>
      </c>
      <c r="L49" s="150" t="str">
        <f t="shared" si="56"/>
        <v/>
      </c>
      <c r="M49" s="149" t="str">
        <f t="shared" ca="1" si="42"/>
        <v/>
      </c>
      <c r="N49" s="150" t="str">
        <f t="shared" si="57"/>
        <v/>
      </c>
      <c r="O49" s="149" t="str">
        <f t="shared" ca="1" si="75"/>
        <v/>
      </c>
      <c r="P49" s="150" t="str">
        <f t="shared" si="58"/>
        <v/>
      </c>
      <c r="Q49" s="149" t="str">
        <f t="shared" ca="1" si="76"/>
        <v/>
      </c>
      <c r="R49" s="150" t="str">
        <f t="shared" si="59"/>
        <v/>
      </c>
      <c r="S49" s="149" t="str">
        <f t="shared" ca="1" si="77"/>
        <v/>
      </c>
      <c r="T49" s="150" t="str">
        <f t="shared" si="60"/>
        <v/>
      </c>
      <c r="U49" s="149" t="str">
        <f t="shared" ca="1" si="78"/>
        <v/>
      </c>
      <c r="V49" s="150" t="str">
        <f t="shared" si="61"/>
        <v/>
      </c>
      <c r="W49" s="149" t="str">
        <f t="shared" ca="1" si="79"/>
        <v/>
      </c>
      <c r="X49" s="150" t="str">
        <f t="shared" si="62"/>
        <v/>
      </c>
      <c r="Y49" s="149" t="str">
        <f t="shared" ca="1" si="80"/>
        <v/>
      </c>
      <c r="Z49" s="150" t="str">
        <f t="shared" si="63"/>
        <v/>
      </c>
      <c r="AA49" s="149" t="str">
        <f t="shared" ca="1" si="81"/>
        <v/>
      </c>
      <c r="AB49" s="150" t="str">
        <f t="shared" si="64"/>
        <v/>
      </c>
      <c r="AC49" s="149" t="str">
        <f t="shared" ca="1" si="82"/>
        <v/>
      </c>
      <c r="AD49" s="150" t="str">
        <f t="shared" si="65"/>
        <v/>
      </c>
      <c r="AE49" s="146"/>
      <c r="AF49" s="146"/>
      <c r="AG49" s="146"/>
      <c r="AH49" s="146"/>
      <c r="AI49" s="146"/>
      <c r="AJ49" s="146"/>
      <c r="AL49" s="211" t="e">
        <f t="shared" ca="1" si="66"/>
        <v>#DIV/0!</v>
      </c>
      <c r="AM49" s="70" t="e">
        <f t="shared" ca="1" si="67"/>
        <v>#DIV/0!</v>
      </c>
      <c r="AN49" s="276" t="e">
        <f t="shared" ca="1" si="68"/>
        <v>#DIV/0!</v>
      </c>
      <c r="AO49" s="276" t="e">
        <f t="shared" ca="1" si="69"/>
        <v>#DIV/0!</v>
      </c>
    </row>
    <row r="50" spans="1:41" ht="21.75" hidden="1" customHeight="1">
      <c r="A50" s="147"/>
      <c r="B50" s="148" t="str">
        <f t="shared" si="51"/>
        <v/>
      </c>
      <c r="C50" s="149" t="str">
        <f t="shared" si="70"/>
        <v/>
      </c>
      <c r="D50" s="150" t="str">
        <f t="shared" si="52"/>
        <v/>
      </c>
      <c r="E50" s="149" t="str">
        <f t="shared" si="71"/>
        <v/>
      </c>
      <c r="F50" s="150" t="str">
        <f t="shared" si="53"/>
        <v/>
      </c>
      <c r="G50" s="149" t="str">
        <f t="shared" ca="1" si="72"/>
        <v/>
      </c>
      <c r="H50" s="150" t="str">
        <f t="shared" si="54"/>
        <v/>
      </c>
      <c r="I50" s="149" t="str">
        <f t="shared" ca="1" si="73"/>
        <v/>
      </c>
      <c r="J50" s="150" t="str">
        <f t="shared" si="55"/>
        <v/>
      </c>
      <c r="K50" s="149" t="str">
        <f t="shared" ca="1" si="74"/>
        <v/>
      </c>
      <c r="L50" s="150" t="str">
        <f t="shared" si="56"/>
        <v/>
      </c>
      <c r="M50" s="149" t="str">
        <f t="shared" ca="1" si="42"/>
        <v/>
      </c>
      <c r="N50" s="150" t="str">
        <f t="shared" si="57"/>
        <v/>
      </c>
      <c r="O50" s="149" t="str">
        <f t="shared" ca="1" si="75"/>
        <v/>
      </c>
      <c r="P50" s="150" t="str">
        <f t="shared" si="58"/>
        <v/>
      </c>
      <c r="Q50" s="149" t="str">
        <f t="shared" ca="1" si="76"/>
        <v/>
      </c>
      <c r="R50" s="150" t="str">
        <f t="shared" si="59"/>
        <v/>
      </c>
      <c r="S50" s="149" t="str">
        <f t="shared" ca="1" si="77"/>
        <v/>
      </c>
      <c r="T50" s="150" t="str">
        <f t="shared" si="60"/>
        <v/>
      </c>
      <c r="U50" s="149" t="str">
        <f t="shared" ca="1" si="78"/>
        <v/>
      </c>
      <c r="V50" s="150" t="str">
        <f t="shared" si="61"/>
        <v/>
      </c>
      <c r="W50" s="149" t="str">
        <f t="shared" ca="1" si="79"/>
        <v/>
      </c>
      <c r="X50" s="150" t="str">
        <f t="shared" si="62"/>
        <v/>
      </c>
      <c r="Y50" s="149" t="str">
        <f t="shared" ca="1" si="80"/>
        <v/>
      </c>
      <c r="Z50" s="150" t="str">
        <f t="shared" si="63"/>
        <v/>
      </c>
      <c r="AA50" s="149" t="str">
        <f t="shared" ca="1" si="81"/>
        <v/>
      </c>
      <c r="AB50" s="150" t="str">
        <f t="shared" si="64"/>
        <v/>
      </c>
      <c r="AC50" s="149" t="str">
        <f t="shared" ca="1" si="82"/>
        <v/>
      </c>
      <c r="AD50" s="150" t="str">
        <f t="shared" si="65"/>
        <v/>
      </c>
      <c r="AE50" s="146"/>
      <c r="AF50" s="146"/>
      <c r="AG50" s="146"/>
      <c r="AH50" s="146"/>
      <c r="AI50" s="146"/>
      <c r="AJ50" s="146"/>
      <c r="AL50" s="211" t="e">
        <f t="shared" ca="1" si="66"/>
        <v>#DIV/0!</v>
      </c>
      <c r="AM50" s="70" t="e">
        <f t="shared" ca="1" si="67"/>
        <v>#DIV/0!</v>
      </c>
      <c r="AN50" s="276" t="e">
        <f t="shared" ca="1" si="68"/>
        <v>#DIV/0!</v>
      </c>
      <c r="AO50" s="276" t="e">
        <f t="shared" ca="1" si="69"/>
        <v>#DIV/0!</v>
      </c>
    </row>
    <row r="51" spans="1:41" ht="21.75" hidden="1" customHeight="1">
      <c r="A51" s="147"/>
      <c r="B51" s="148" t="str">
        <f t="shared" si="51"/>
        <v/>
      </c>
      <c r="C51" s="149" t="str">
        <f t="shared" si="70"/>
        <v/>
      </c>
      <c r="D51" s="150" t="str">
        <f t="shared" si="52"/>
        <v/>
      </c>
      <c r="E51" s="149" t="str">
        <f t="shared" si="71"/>
        <v/>
      </c>
      <c r="F51" s="150" t="str">
        <f t="shared" si="53"/>
        <v/>
      </c>
      <c r="G51" s="149" t="str">
        <f t="shared" ca="1" si="72"/>
        <v/>
      </c>
      <c r="H51" s="150" t="str">
        <f t="shared" si="54"/>
        <v/>
      </c>
      <c r="I51" s="149" t="str">
        <f t="shared" ca="1" si="73"/>
        <v/>
      </c>
      <c r="J51" s="150" t="str">
        <f t="shared" si="55"/>
        <v/>
      </c>
      <c r="K51" s="149" t="str">
        <f t="shared" ca="1" si="74"/>
        <v/>
      </c>
      <c r="L51" s="150" t="str">
        <f t="shared" si="56"/>
        <v/>
      </c>
      <c r="M51" s="149" t="str">
        <f t="shared" ca="1" si="42"/>
        <v/>
      </c>
      <c r="N51" s="150" t="str">
        <f t="shared" si="57"/>
        <v/>
      </c>
      <c r="O51" s="149" t="str">
        <f t="shared" ca="1" si="75"/>
        <v/>
      </c>
      <c r="P51" s="150" t="str">
        <f t="shared" si="58"/>
        <v/>
      </c>
      <c r="Q51" s="149" t="str">
        <f t="shared" ca="1" si="76"/>
        <v/>
      </c>
      <c r="R51" s="150" t="str">
        <f t="shared" si="59"/>
        <v/>
      </c>
      <c r="S51" s="149" t="str">
        <f t="shared" ca="1" si="77"/>
        <v/>
      </c>
      <c r="T51" s="150" t="str">
        <f t="shared" si="60"/>
        <v/>
      </c>
      <c r="U51" s="149" t="str">
        <f t="shared" ca="1" si="78"/>
        <v/>
      </c>
      <c r="V51" s="150" t="str">
        <f t="shared" si="61"/>
        <v/>
      </c>
      <c r="W51" s="149" t="str">
        <f t="shared" ca="1" si="79"/>
        <v/>
      </c>
      <c r="X51" s="150" t="str">
        <f t="shared" si="62"/>
        <v/>
      </c>
      <c r="Y51" s="149" t="str">
        <f t="shared" ca="1" si="80"/>
        <v/>
      </c>
      <c r="Z51" s="150" t="str">
        <f t="shared" si="63"/>
        <v/>
      </c>
      <c r="AA51" s="149" t="str">
        <f t="shared" ca="1" si="81"/>
        <v/>
      </c>
      <c r="AB51" s="150" t="str">
        <f t="shared" si="64"/>
        <v/>
      </c>
      <c r="AC51" s="149" t="str">
        <f t="shared" ca="1" si="82"/>
        <v/>
      </c>
      <c r="AD51" s="150" t="str">
        <f t="shared" si="65"/>
        <v/>
      </c>
      <c r="AE51" s="146"/>
      <c r="AF51" s="146"/>
      <c r="AG51" s="146"/>
      <c r="AH51" s="146"/>
      <c r="AI51" s="146"/>
      <c r="AJ51" s="146"/>
      <c r="AL51" s="211" t="e">
        <f t="shared" ca="1" si="66"/>
        <v>#DIV/0!</v>
      </c>
      <c r="AM51" s="70" t="e">
        <f t="shared" ca="1" si="67"/>
        <v>#DIV/0!</v>
      </c>
      <c r="AN51" s="276" t="e">
        <f t="shared" ca="1" si="68"/>
        <v>#DIV/0!</v>
      </c>
      <c r="AO51" s="276" t="e">
        <f t="shared" ca="1" si="69"/>
        <v>#DIV/0!</v>
      </c>
    </row>
    <row r="52" spans="1:41" ht="21.75" hidden="1" customHeight="1">
      <c r="A52" s="147"/>
      <c r="B52" s="148" t="str">
        <f t="shared" si="51"/>
        <v/>
      </c>
      <c r="C52" s="149" t="str">
        <f t="shared" si="70"/>
        <v/>
      </c>
      <c r="D52" s="150" t="str">
        <f t="shared" si="52"/>
        <v/>
      </c>
      <c r="E52" s="149" t="str">
        <f t="shared" si="71"/>
        <v/>
      </c>
      <c r="F52" s="150" t="str">
        <f t="shared" si="53"/>
        <v/>
      </c>
      <c r="G52" s="149" t="str">
        <f t="shared" ca="1" si="72"/>
        <v/>
      </c>
      <c r="H52" s="150" t="str">
        <f t="shared" si="54"/>
        <v/>
      </c>
      <c r="I52" s="149" t="str">
        <f t="shared" ca="1" si="73"/>
        <v/>
      </c>
      <c r="J52" s="150" t="str">
        <f t="shared" si="55"/>
        <v/>
      </c>
      <c r="K52" s="149" t="str">
        <f t="shared" ca="1" si="74"/>
        <v/>
      </c>
      <c r="L52" s="150" t="str">
        <f t="shared" si="56"/>
        <v/>
      </c>
      <c r="M52" s="149" t="str">
        <f t="shared" ca="1" si="42"/>
        <v/>
      </c>
      <c r="N52" s="150" t="str">
        <f t="shared" si="57"/>
        <v/>
      </c>
      <c r="O52" s="149" t="str">
        <f t="shared" ca="1" si="75"/>
        <v/>
      </c>
      <c r="P52" s="150" t="str">
        <f t="shared" si="58"/>
        <v/>
      </c>
      <c r="Q52" s="149" t="str">
        <f t="shared" ca="1" si="76"/>
        <v/>
      </c>
      <c r="R52" s="150" t="str">
        <f t="shared" si="59"/>
        <v/>
      </c>
      <c r="S52" s="149" t="str">
        <f t="shared" ca="1" si="77"/>
        <v/>
      </c>
      <c r="T52" s="150" t="str">
        <f t="shared" si="60"/>
        <v/>
      </c>
      <c r="U52" s="149" t="str">
        <f t="shared" ca="1" si="78"/>
        <v/>
      </c>
      <c r="V52" s="150" t="str">
        <f t="shared" si="61"/>
        <v/>
      </c>
      <c r="W52" s="149" t="str">
        <f t="shared" ca="1" si="79"/>
        <v/>
      </c>
      <c r="X52" s="150" t="str">
        <f t="shared" si="62"/>
        <v/>
      </c>
      <c r="Y52" s="149" t="str">
        <f t="shared" ca="1" si="80"/>
        <v/>
      </c>
      <c r="Z52" s="150" t="str">
        <f t="shared" si="63"/>
        <v/>
      </c>
      <c r="AA52" s="149" t="str">
        <f t="shared" ca="1" si="81"/>
        <v/>
      </c>
      <c r="AB52" s="150" t="str">
        <f t="shared" si="64"/>
        <v/>
      </c>
      <c r="AC52" s="149" t="str">
        <f t="shared" ca="1" si="82"/>
        <v/>
      </c>
      <c r="AD52" s="150" t="str">
        <f t="shared" si="65"/>
        <v/>
      </c>
      <c r="AE52" s="146"/>
      <c r="AF52" s="146"/>
      <c r="AG52" s="146"/>
      <c r="AH52" s="146"/>
      <c r="AI52" s="146"/>
      <c r="AJ52" s="146"/>
      <c r="AL52" s="211" t="e">
        <f t="shared" ca="1" si="66"/>
        <v>#DIV/0!</v>
      </c>
      <c r="AM52" s="70" t="e">
        <f t="shared" ca="1" si="67"/>
        <v>#DIV/0!</v>
      </c>
      <c r="AN52" s="276" t="e">
        <f t="shared" ca="1" si="68"/>
        <v>#DIV/0!</v>
      </c>
      <c r="AO52" s="276" t="e">
        <f t="shared" ca="1" si="69"/>
        <v>#DIV/0!</v>
      </c>
    </row>
    <row r="53" spans="1:41" ht="21.75" hidden="1" customHeight="1">
      <c r="A53" s="147"/>
      <c r="B53" s="148" t="str">
        <f t="shared" si="51"/>
        <v/>
      </c>
      <c r="C53" s="149" t="str">
        <f t="shared" si="70"/>
        <v/>
      </c>
      <c r="D53" s="150" t="str">
        <f t="shared" si="52"/>
        <v/>
      </c>
      <c r="E53" s="149" t="str">
        <f t="shared" si="71"/>
        <v/>
      </c>
      <c r="F53" s="150" t="str">
        <f t="shared" si="53"/>
        <v/>
      </c>
      <c r="G53" s="149" t="str">
        <f t="shared" ca="1" si="72"/>
        <v/>
      </c>
      <c r="H53" s="150" t="str">
        <f t="shared" si="54"/>
        <v/>
      </c>
      <c r="I53" s="149" t="str">
        <f t="shared" ca="1" si="73"/>
        <v/>
      </c>
      <c r="J53" s="150" t="str">
        <f t="shared" si="55"/>
        <v/>
      </c>
      <c r="K53" s="149" t="str">
        <f t="shared" ca="1" si="74"/>
        <v/>
      </c>
      <c r="L53" s="150" t="str">
        <f t="shared" si="56"/>
        <v/>
      </c>
      <c r="M53" s="149" t="str">
        <f t="shared" ca="1" si="42"/>
        <v/>
      </c>
      <c r="N53" s="150" t="str">
        <f t="shared" si="57"/>
        <v/>
      </c>
      <c r="O53" s="149" t="str">
        <f t="shared" ca="1" si="75"/>
        <v/>
      </c>
      <c r="P53" s="150" t="str">
        <f t="shared" si="58"/>
        <v/>
      </c>
      <c r="Q53" s="149" t="str">
        <f t="shared" ca="1" si="76"/>
        <v/>
      </c>
      <c r="R53" s="150" t="str">
        <f t="shared" si="59"/>
        <v/>
      </c>
      <c r="S53" s="149" t="str">
        <f t="shared" ca="1" si="77"/>
        <v/>
      </c>
      <c r="T53" s="150" t="str">
        <f t="shared" si="60"/>
        <v/>
      </c>
      <c r="U53" s="149" t="str">
        <f t="shared" ca="1" si="78"/>
        <v/>
      </c>
      <c r="V53" s="150" t="str">
        <f t="shared" si="61"/>
        <v/>
      </c>
      <c r="W53" s="149" t="str">
        <f t="shared" ca="1" si="79"/>
        <v/>
      </c>
      <c r="X53" s="150" t="str">
        <f t="shared" si="62"/>
        <v/>
      </c>
      <c r="Y53" s="149" t="str">
        <f t="shared" ca="1" si="80"/>
        <v/>
      </c>
      <c r="Z53" s="150" t="str">
        <f t="shared" si="63"/>
        <v/>
      </c>
      <c r="AA53" s="149" t="str">
        <f t="shared" ca="1" si="81"/>
        <v/>
      </c>
      <c r="AB53" s="150" t="str">
        <f t="shared" si="64"/>
        <v/>
      </c>
      <c r="AC53" s="149" t="str">
        <f t="shared" ca="1" si="82"/>
        <v/>
      </c>
      <c r="AD53" s="150" t="str">
        <f t="shared" si="65"/>
        <v/>
      </c>
      <c r="AE53" s="146"/>
      <c r="AF53" s="146"/>
      <c r="AG53" s="146"/>
      <c r="AH53" s="146"/>
      <c r="AI53" s="146"/>
      <c r="AJ53" s="146"/>
      <c r="AL53" s="211" t="e">
        <f t="shared" ca="1" si="66"/>
        <v>#DIV/0!</v>
      </c>
      <c r="AM53" s="70" t="e">
        <f t="shared" ca="1" si="67"/>
        <v>#DIV/0!</v>
      </c>
      <c r="AN53" s="276" t="e">
        <f t="shared" ca="1" si="68"/>
        <v>#DIV/0!</v>
      </c>
      <c r="AO53" s="276" t="e">
        <f t="shared" ca="1" si="69"/>
        <v>#DIV/0!</v>
      </c>
    </row>
    <row r="54" spans="1:41" ht="21.75" hidden="1" customHeight="1">
      <c r="A54" s="147"/>
      <c r="B54" s="148" t="str">
        <f t="shared" si="51"/>
        <v/>
      </c>
      <c r="C54" s="149" t="str">
        <f t="shared" si="70"/>
        <v/>
      </c>
      <c r="D54" s="150" t="str">
        <f t="shared" si="52"/>
        <v/>
      </c>
      <c r="E54" s="149" t="str">
        <f t="shared" si="71"/>
        <v/>
      </c>
      <c r="F54" s="150" t="str">
        <f t="shared" si="53"/>
        <v/>
      </c>
      <c r="G54" s="149" t="str">
        <f t="shared" ca="1" si="72"/>
        <v/>
      </c>
      <c r="H54" s="150" t="str">
        <f t="shared" si="54"/>
        <v/>
      </c>
      <c r="I54" s="149" t="str">
        <f t="shared" ca="1" si="73"/>
        <v/>
      </c>
      <c r="J54" s="150" t="str">
        <f t="shared" si="55"/>
        <v/>
      </c>
      <c r="K54" s="149" t="str">
        <f t="shared" ca="1" si="74"/>
        <v/>
      </c>
      <c r="L54" s="150" t="str">
        <f t="shared" si="56"/>
        <v/>
      </c>
      <c r="M54" s="149" t="str">
        <f t="shared" ca="1" si="42"/>
        <v/>
      </c>
      <c r="N54" s="150" t="str">
        <f t="shared" si="57"/>
        <v/>
      </c>
      <c r="O54" s="149" t="str">
        <f t="shared" ca="1" si="75"/>
        <v/>
      </c>
      <c r="P54" s="150" t="str">
        <f t="shared" si="58"/>
        <v/>
      </c>
      <c r="Q54" s="149" t="str">
        <f t="shared" ca="1" si="76"/>
        <v/>
      </c>
      <c r="R54" s="150" t="str">
        <f t="shared" si="59"/>
        <v/>
      </c>
      <c r="S54" s="149" t="str">
        <f t="shared" ca="1" si="77"/>
        <v/>
      </c>
      <c r="T54" s="150" t="str">
        <f t="shared" si="60"/>
        <v/>
      </c>
      <c r="U54" s="149" t="str">
        <f t="shared" ca="1" si="78"/>
        <v/>
      </c>
      <c r="V54" s="150" t="str">
        <f t="shared" si="61"/>
        <v/>
      </c>
      <c r="W54" s="149" t="str">
        <f t="shared" ca="1" si="79"/>
        <v/>
      </c>
      <c r="X54" s="150" t="str">
        <f t="shared" si="62"/>
        <v/>
      </c>
      <c r="Y54" s="149" t="str">
        <f t="shared" ca="1" si="80"/>
        <v/>
      </c>
      <c r="Z54" s="150" t="str">
        <f t="shared" si="63"/>
        <v/>
      </c>
      <c r="AA54" s="149" t="str">
        <f t="shared" ca="1" si="81"/>
        <v/>
      </c>
      <c r="AB54" s="150" t="str">
        <f t="shared" si="64"/>
        <v/>
      </c>
      <c r="AC54" s="149" t="str">
        <f t="shared" ca="1" si="82"/>
        <v/>
      </c>
      <c r="AD54" s="150" t="str">
        <f t="shared" si="65"/>
        <v/>
      </c>
      <c r="AE54" s="146"/>
      <c r="AF54" s="146"/>
      <c r="AG54" s="146"/>
      <c r="AH54" s="146"/>
      <c r="AI54" s="146"/>
      <c r="AJ54" s="146"/>
      <c r="AL54" s="211" t="e">
        <f t="shared" ca="1" si="66"/>
        <v>#DIV/0!</v>
      </c>
      <c r="AM54" s="70" t="e">
        <f t="shared" ca="1" si="67"/>
        <v>#DIV/0!</v>
      </c>
      <c r="AN54" s="276" t="e">
        <f t="shared" ca="1" si="68"/>
        <v>#DIV/0!</v>
      </c>
      <c r="AO54" s="276" t="e">
        <f t="shared" ca="1" si="69"/>
        <v>#DIV/0!</v>
      </c>
    </row>
    <row r="55" spans="1:41" ht="21.75" hidden="1" customHeight="1">
      <c r="A55" s="147"/>
      <c r="B55" s="148" t="str">
        <f t="shared" si="51"/>
        <v/>
      </c>
      <c r="C55" s="149" t="str">
        <f t="shared" si="70"/>
        <v/>
      </c>
      <c r="D55" s="150" t="str">
        <f t="shared" si="52"/>
        <v/>
      </c>
      <c r="E55" s="149" t="str">
        <f t="shared" si="71"/>
        <v/>
      </c>
      <c r="F55" s="150" t="str">
        <f t="shared" si="53"/>
        <v/>
      </c>
      <c r="G55" s="149" t="str">
        <f t="shared" ca="1" si="72"/>
        <v/>
      </c>
      <c r="H55" s="150" t="str">
        <f t="shared" si="54"/>
        <v/>
      </c>
      <c r="I55" s="149" t="str">
        <f t="shared" ca="1" si="73"/>
        <v/>
      </c>
      <c r="J55" s="150" t="str">
        <f t="shared" si="55"/>
        <v/>
      </c>
      <c r="K55" s="149" t="str">
        <f t="shared" ca="1" si="74"/>
        <v/>
      </c>
      <c r="L55" s="150" t="str">
        <f t="shared" si="56"/>
        <v/>
      </c>
      <c r="M55" s="149" t="str">
        <f t="shared" ca="1" si="42"/>
        <v/>
      </c>
      <c r="N55" s="150" t="str">
        <f t="shared" si="57"/>
        <v/>
      </c>
      <c r="O55" s="149" t="str">
        <f t="shared" ca="1" si="75"/>
        <v/>
      </c>
      <c r="P55" s="150" t="str">
        <f t="shared" si="58"/>
        <v/>
      </c>
      <c r="Q55" s="149" t="str">
        <f t="shared" ca="1" si="76"/>
        <v/>
      </c>
      <c r="R55" s="150" t="str">
        <f t="shared" si="59"/>
        <v/>
      </c>
      <c r="S55" s="149" t="str">
        <f t="shared" ca="1" si="77"/>
        <v/>
      </c>
      <c r="T55" s="150" t="str">
        <f t="shared" si="60"/>
        <v/>
      </c>
      <c r="U55" s="149" t="str">
        <f t="shared" ca="1" si="78"/>
        <v/>
      </c>
      <c r="V55" s="150" t="str">
        <f t="shared" si="61"/>
        <v/>
      </c>
      <c r="W55" s="149" t="str">
        <f t="shared" ca="1" si="79"/>
        <v/>
      </c>
      <c r="X55" s="150" t="str">
        <f t="shared" si="62"/>
        <v/>
      </c>
      <c r="Y55" s="149" t="str">
        <f t="shared" ca="1" si="80"/>
        <v/>
      </c>
      <c r="Z55" s="150" t="str">
        <f t="shared" si="63"/>
        <v/>
      </c>
      <c r="AA55" s="149" t="str">
        <f t="shared" ca="1" si="81"/>
        <v/>
      </c>
      <c r="AB55" s="150" t="str">
        <f t="shared" si="64"/>
        <v/>
      </c>
      <c r="AC55" s="149" t="str">
        <f t="shared" ca="1" si="82"/>
        <v/>
      </c>
      <c r="AD55" s="150" t="str">
        <f t="shared" si="65"/>
        <v/>
      </c>
      <c r="AE55" s="146"/>
      <c r="AF55" s="146"/>
      <c r="AG55" s="146"/>
      <c r="AH55" s="146"/>
      <c r="AI55" s="146"/>
      <c r="AJ55" s="146"/>
      <c r="AL55" s="211" t="e">
        <f t="shared" ca="1" si="66"/>
        <v>#DIV/0!</v>
      </c>
      <c r="AM55" s="70" t="e">
        <f t="shared" ca="1" si="67"/>
        <v>#DIV/0!</v>
      </c>
      <c r="AN55" s="276" t="e">
        <f t="shared" ca="1" si="68"/>
        <v>#DIV/0!</v>
      </c>
      <c r="AO55" s="276" t="e">
        <f t="shared" ca="1" si="69"/>
        <v>#DIV/0!</v>
      </c>
    </row>
    <row r="56" spans="1:41" ht="21.75" hidden="1" customHeight="1">
      <c r="A56" s="147"/>
      <c r="B56" s="148" t="str">
        <f t="shared" si="51"/>
        <v/>
      </c>
      <c r="C56" s="149" t="str">
        <f t="shared" si="70"/>
        <v/>
      </c>
      <c r="D56" s="150" t="str">
        <f t="shared" si="52"/>
        <v/>
      </c>
      <c r="E56" s="149" t="str">
        <f t="shared" si="71"/>
        <v/>
      </c>
      <c r="F56" s="150" t="str">
        <f t="shared" si="53"/>
        <v/>
      </c>
      <c r="G56" s="149" t="str">
        <f t="shared" ca="1" si="72"/>
        <v/>
      </c>
      <c r="H56" s="150" t="str">
        <f t="shared" si="54"/>
        <v/>
      </c>
      <c r="I56" s="149" t="str">
        <f t="shared" ca="1" si="73"/>
        <v/>
      </c>
      <c r="J56" s="150" t="str">
        <f t="shared" si="55"/>
        <v/>
      </c>
      <c r="K56" s="149" t="str">
        <f t="shared" ca="1" si="74"/>
        <v/>
      </c>
      <c r="L56" s="150" t="str">
        <f t="shared" si="56"/>
        <v/>
      </c>
      <c r="M56" s="149" t="str">
        <f t="shared" ca="1" si="42"/>
        <v/>
      </c>
      <c r="N56" s="150" t="str">
        <f t="shared" si="57"/>
        <v/>
      </c>
      <c r="O56" s="149" t="str">
        <f t="shared" ca="1" si="75"/>
        <v/>
      </c>
      <c r="P56" s="150" t="str">
        <f t="shared" si="58"/>
        <v/>
      </c>
      <c r="Q56" s="149" t="str">
        <f t="shared" ca="1" si="76"/>
        <v/>
      </c>
      <c r="R56" s="150" t="str">
        <f t="shared" si="59"/>
        <v/>
      </c>
      <c r="S56" s="149" t="str">
        <f t="shared" ca="1" si="77"/>
        <v/>
      </c>
      <c r="T56" s="150" t="str">
        <f t="shared" si="60"/>
        <v/>
      </c>
      <c r="U56" s="149" t="str">
        <f t="shared" ca="1" si="78"/>
        <v/>
      </c>
      <c r="V56" s="150" t="str">
        <f t="shared" si="61"/>
        <v/>
      </c>
      <c r="W56" s="149" t="str">
        <f t="shared" ca="1" si="79"/>
        <v/>
      </c>
      <c r="X56" s="150" t="str">
        <f t="shared" si="62"/>
        <v/>
      </c>
      <c r="Y56" s="149" t="str">
        <f t="shared" ca="1" si="80"/>
        <v/>
      </c>
      <c r="Z56" s="150" t="str">
        <f t="shared" si="63"/>
        <v/>
      </c>
      <c r="AA56" s="149" t="str">
        <f t="shared" ca="1" si="81"/>
        <v/>
      </c>
      <c r="AB56" s="150" t="str">
        <f t="shared" si="64"/>
        <v/>
      </c>
      <c r="AC56" s="149" t="str">
        <f t="shared" ca="1" si="82"/>
        <v/>
      </c>
      <c r="AD56" s="150" t="str">
        <f t="shared" si="65"/>
        <v/>
      </c>
      <c r="AE56" s="146"/>
      <c r="AF56" s="146"/>
      <c r="AG56" s="146"/>
      <c r="AH56" s="146"/>
      <c r="AI56" s="146"/>
      <c r="AJ56" s="146"/>
      <c r="AL56" s="211" t="e">
        <f t="shared" ca="1" si="66"/>
        <v>#DIV/0!</v>
      </c>
      <c r="AM56" s="70" t="e">
        <f t="shared" ca="1" si="67"/>
        <v>#DIV/0!</v>
      </c>
      <c r="AN56" s="276" t="e">
        <f t="shared" ca="1" si="68"/>
        <v>#DIV/0!</v>
      </c>
      <c r="AO56" s="276" t="e">
        <f t="shared" ca="1" si="69"/>
        <v>#DIV/0!</v>
      </c>
    </row>
    <row r="57" spans="1:41" ht="21.75" hidden="1" customHeight="1">
      <c r="A57" s="147"/>
      <c r="B57" s="148" t="str">
        <f t="shared" si="51"/>
        <v/>
      </c>
      <c r="C57" s="149" t="str">
        <f t="shared" si="70"/>
        <v/>
      </c>
      <c r="D57" s="150" t="str">
        <f t="shared" si="52"/>
        <v/>
      </c>
      <c r="E57" s="149" t="str">
        <f t="shared" si="71"/>
        <v/>
      </c>
      <c r="F57" s="150" t="str">
        <f t="shared" si="53"/>
        <v/>
      </c>
      <c r="G57" s="149" t="str">
        <f t="shared" ca="1" si="72"/>
        <v/>
      </c>
      <c r="H57" s="150" t="str">
        <f t="shared" si="54"/>
        <v/>
      </c>
      <c r="I57" s="149" t="str">
        <f t="shared" ca="1" si="73"/>
        <v/>
      </c>
      <c r="J57" s="150" t="str">
        <f t="shared" si="55"/>
        <v/>
      </c>
      <c r="K57" s="149" t="str">
        <f t="shared" ca="1" si="74"/>
        <v/>
      </c>
      <c r="L57" s="150" t="str">
        <f t="shared" si="56"/>
        <v/>
      </c>
      <c r="M57" s="149" t="str">
        <f t="shared" ca="1" si="42"/>
        <v/>
      </c>
      <c r="N57" s="150" t="str">
        <f t="shared" si="57"/>
        <v/>
      </c>
      <c r="O57" s="149" t="str">
        <f t="shared" ca="1" si="75"/>
        <v/>
      </c>
      <c r="P57" s="150" t="str">
        <f t="shared" si="58"/>
        <v/>
      </c>
      <c r="Q57" s="149" t="str">
        <f t="shared" ca="1" si="76"/>
        <v/>
      </c>
      <c r="R57" s="150" t="str">
        <f t="shared" si="59"/>
        <v/>
      </c>
      <c r="S57" s="149" t="str">
        <f t="shared" ca="1" si="77"/>
        <v/>
      </c>
      <c r="T57" s="150" t="str">
        <f t="shared" si="60"/>
        <v/>
      </c>
      <c r="U57" s="149" t="str">
        <f t="shared" ca="1" si="78"/>
        <v/>
      </c>
      <c r="V57" s="150" t="str">
        <f t="shared" si="61"/>
        <v/>
      </c>
      <c r="W57" s="149" t="str">
        <f t="shared" ca="1" si="79"/>
        <v/>
      </c>
      <c r="X57" s="150" t="str">
        <f t="shared" si="62"/>
        <v/>
      </c>
      <c r="Y57" s="149" t="str">
        <f t="shared" ca="1" si="80"/>
        <v/>
      </c>
      <c r="Z57" s="150" t="str">
        <f t="shared" si="63"/>
        <v/>
      </c>
      <c r="AA57" s="149" t="str">
        <f t="shared" ca="1" si="81"/>
        <v/>
      </c>
      <c r="AB57" s="150" t="str">
        <f t="shared" si="64"/>
        <v/>
      </c>
      <c r="AC57" s="149" t="str">
        <f t="shared" ca="1" si="82"/>
        <v/>
      </c>
      <c r="AD57" s="150" t="str">
        <f t="shared" si="65"/>
        <v/>
      </c>
      <c r="AE57" s="146"/>
      <c r="AF57" s="146"/>
      <c r="AG57" s="146"/>
      <c r="AH57" s="146"/>
      <c r="AI57" s="146"/>
      <c r="AJ57" s="146"/>
      <c r="AL57" s="211" t="e">
        <f t="shared" ca="1" si="66"/>
        <v>#DIV/0!</v>
      </c>
      <c r="AM57" s="70" t="e">
        <f t="shared" ca="1" si="67"/>
        <v>#DIV/0!</v>
      </c>
      <c r="AN57" s="276" t="e">
        <f t="shared" ca="1" si="68"/>
        <v>#DIV/0!</v>
      </c>
      <c r="AO57" s="276" t="e">
        <f t="shared" ca="1" si="69"/>
        <v>#DIV/0!</v>
      </c>
    </row>
    <row r="58" spans="1:41" ht="21.75" hidden="1" customHeight="1">
      <c r="A58" s="147"/>
      <c r="B58" s="148" t="str">
        <f t="shared" si="51"/>
        <v/>
      </c>
      <c r="C58" s="149" t="str">
        <f t="shared" si="70"/>
        <v/>
      </c>
      <c r="D58" s="150" t="str">
        <f t="shared" si="52"/>
        <v/>
      </c>
      <c r="E58" s="149" t="str">
        <f t="shared" si="71"/>
        <v/>
      </c>
      <c r="F58" s="150" t="str">
        <f t="shared" si="53"/>
        <v/>
      </c>
      <c r="G58" s="149" t="str">
        <f t="shared" ca="1" si="72"/>
        <v/>
      </c>
      <c r="H58" s="150" t="str">
        <f t="shared" si="54"/>
        <v/>
      </c>
      <c r="I58" s="149" t="str">
        <f t="shared" ca="1" si="73"/>
        <v/>
      </c>
      <c r="J58" s="150" t="str">
        <f t="shared" si="55"/>
        <v/>
      </c>
      <c r="K58" s="149" t="str">
        <f t="shared" ca="1" si="74"/>
        <v/>
      </c>
      <c r="L58" s="150" t="str">
        <f t="shared" si="56"/>
        <v/>
      </c>
      <c r="M58" s="149" t="str">
        <f t="shared" ca="1" si="42"/>
        <v/>
      </c>
      <c r="N58" s="150" t="str">
        <f t="shared" si="57"/>
        <v/>
      </c>
      <c r="O58" s="149" t="str">
        <f t="shared" ca="1" si="75"/>
        <v/>
      </c>
      <c r="P58" s="150" t="str">
        <f t="shared" si="58"/>
        <v/>
      </c>
      <c r="Q58" s="149" t="str">
        <f t="shared" ca="1" si="76"/>
        <v/>
      </c>
      <c r="R58" s="150" t="str">
        <f t="shared" si="59"/>
        <v/>
      </c>
      <c r="S58" s="149" t="str">
        <f t="shared" ca="1" si="77"/>
        <v/>
      </c>
      <c r="T58" s="150" t="str">
        <f t="shared" si="60"/>
        <v/>
      </c>
      <c r="U58" s="149" t="str">
        <f t="shared" ca="1" si="78"/>
        <v/>
      </c>
      <c r="V58" s="150" t="str">
        <f t="shared" si="61"/>
        <v/>
      </c>
      <c r="W58" s="149" t="str">
        <f t="shared" ca="1" si="79"/>
        <v/>
      </c>
      <c r="X58" s="150" t="str">
        <f t="shared" si="62"/>
        <v/>
      </c>
      <c r="Y58" s="149" t="str">
        <f t="shared" ca="1" si="80"/>
        <v/>
      </c>
      <c r="Z58" s="150" t="str">
        <f t="shared" si="63"/>
        <v/>
      </c>
      <c r="AA58" s="149" t="str">
        <f t="shared" ca="1" si="81"/>
        <v/>
      </c>
      <c r="AB58" s="150" t="str">
        <f t="shared" si="64"/>
        <v/>
      </c>
      <c r="AC58" s="149" t="str">
        <f t="shared" ca="1" si="82"/>
        <v/>
      </c>
      <c r="AD58" s="150" t="str">
        <f t="shared" si="65"/>
        <v/>
      </c>
      <c r="AE58" s="146"/>
      <c r="AF58" s="146"/>
      <c r="AG58" s="146"/>
      <c r="AH58" s="146"/>
      <c r="AI58" s="146"/>
      <c r="AJ58" s="146"/>
      <c r="AL58" s="211" t="e">
        <f t="shared" ca="1" si="66"/>
        <v>#DIV/0!</v>
      </c>
      <c r="AM58" s="70" t="e">
        <f t="shared" ca="1" si="67"/>
        <v>#DIV/0!</v>
      </c>
      <c r="AN58" s="276" t="e">
        <f t="shared" ca="1" si="68"/>
        <v>#DIV/0!</v>
      </c>
      <c r="AO58" s="276" t="e">
        <f t="shared" ca="1" si="69"/>
        <v>#DIV/0!</v>
      </c>
    </row>
    <row r="59" spans="1:41" ht="21.75" hidden="1" customHeight="1">
      <c r="A59" s="147"/>
      <c r="B59" s="148" t="str">
        <f t="shared" si="51"/>
        <v/>
      </c>
      <c r="C59" s="149" t="str">
        <f t="shared" si="70"/>
        <v/>
      </c>
      <c r="D59" s="150" t="str">
        <f t="shared" si="52"/>
        <v/>
      </c>
      <c r="E59" s="149" t="str">
        <f t="shared" si="71"/>
        <v/>
      </c>
      <c r="F59" s="150" t="str">
        <f t="shared" si="53"/>
        <v/>
      </c>
      <c r="G59" s="149" t="str">
        <f t="shared" ca="1" si="72"/>
        <v/>
      </c>
      <c r="H59" s="150" t="str">
        <f t="shared" si="54"/>
        <v/>
      </c>
      <c r="I59" s="149" t="str">
        <f t="shared" ca="1" si="73"/>
        <v/>
      </c>
      <c r="J59" s="150" t="str">
        <f t="shared" si="55"/>
        <v/>
      </c>
      <c r="K59" s="149" t="str">
        <f t="shared" ca="1" si="74"/>
        <v/>
      </c>
      <c r="L59" s="150" t="str">
        <f t="shared" si="56"/>
        <v/>
      </c>
      <c r="M59" s="149" t="str">
        <f t="shared" ca="1" si="42"/>
        <v/>
      </c>
      <c r="N59" s="150" t="str">
        <f t="shared" si="57"/>
        <v/>
      </c>
      <c r="O59" s="149" t="str">
        <f t="shared" ca="1" si="75"/>
        <v/>
      </c>
      <c r="P59" s="150" t="str">
        <f t="shared" si="58"/>
        <v/>
      </c>
      <c r="Q59" s="149" t="str">
        <f t="shared" ca="1" si="76"/>
        <v/>
      </c>
      <c r="R59" s="150" t="str">
        <f t="shared" si="59"/>
        <v/>
      </c>
      <c r="S59" s="149" t="str">
        <f t="shared" ca="1" si="77"/>
        <v/>
      </c>
      <c r="T59" s="150" t="str">
        <f t="shared" si="60"/>
        <v/>
      </c>
      <c r="U59" s="149" t="str">
        <f t="shared" ca="1" si="78"/>
        <v/>
      </c>
      <c r="V59" s="150" t="str">
        <f t="shared" si="61"/>
        <v/>
      </c>
      <c r="W59" s="149" t="str">
        <f t="shared" ca="1" si="79"/>
        <v/>
      </c>
      <c r="X59" s="150" t="str">
        <f t="shared" si="62"/>
        <v/>
      </c>
      <c r="Y59" s="149" t="str">
        <f t="shared" ca="1" si="80"/>
        <v/>
      </c>
      <c r="Z59" s="150" t="str">
        <f t="shared" si="63"/>
        <v/>
      </c>
      <c r="AA59" s="149" t="str">
        <f t="shared" ca="1" si="81"/>
        <v/>
      </c>
      <c r="AB59" s="150" t="str">
        <f t="shared" si="64"/>
        <v/>
      </c>
      <c r="AC59" s="149" t="str">
        <f t="shared" ca="1" si="82"/>
        <v/>
      </c>
      <c r="AD59" s="150" t="str">
        <f t="shared" si="65"/>
        <v/>
      </c>
      <c r="AE59" s="146"/>
      <c r="AF59" s="146"/>
      <c r="AG59" s="146"/>
      <c r="AH59" s="146"/>
      <c r="AI59" s="146"/>
      <c r="AJ59" s="146"/>
      <c r="AL59" s="211" t="e">
        <f t="shared" ca="1" si="66"/>
        <v>#DIV/0!</v>
      </c>
      <c r="AM59" s="70" t="e">
        <f t="shared" ca="1" si="67"/>
        <v>#DIV/0!</v>
      </c>
      <c r="AN59" s="276" t="e">
        <f t="shared" ca="1" si="68"/>
        <v>#DIV/0!</v>
      </c>
      <c r="AO59" s="276" t="e">
        <f t="shared" ca="1" si="69"/>
        <v>#DIV/0!</v>
      </c>
    </row>
    <row r="60" spans="1:41" ht="21.75" hidden="1" customHeight="1">
      <c r="A60" s="147"/>
      <c r="B60" s="148" t="str">
        <f t="shared" si="51"/>
        <v/>
      </c>
      <c r="C60" s="149" t="str">
        <f t="shared" si="70"/>
        <v/>
      </c>
      <c r="D60" s="150" t="str">
        <f t="shared" si="52"/>
        <v/>
      </c>
      <c r="E60" s="149" t="str">
        <f t="shared" si="71"/>
        <v/>
      </c>
      <c r="F60" s="150" t="str">
        <f t="shared" si="53"/>
        <v/>
      </c>
      <c r="G60" s="149" t="str">
        <f t="shared" ca="1" si="72"/>
        <v/>
      </c>
      <c r="H60" s="150" t="str">
        <f t="shared" si="54"/>
        <v/>
      </c>
      <c r="I60" s="149" t="str">
        <f t="shared" ca="1" si="73"/>
        <v/>
      </c>
      <c r="J60" s="150" t="str">
        <f t="shared" si="55"/>
        <v/>
      </c>
      <c r="K60" s="149" t="str">
        <f t="shared" ca="1" si="74"/>
        <v/>
      </c>
      <c r="L60" s="150" t="str">
        <f t="shared" si="56"/>
        <v/>
      </c>
      <c r="M60" s="149" t="str">
        <f t="shared" ca="1" si="42"/>
        <v/>
      </c>
      <c r="N60" s="150" t="str">
        <f t="shared" si="57"/>
        <v/>
      </c>
      <c r="O60" s="149" t="str">
        <f t="shared" ca="1" si="75"/>
        <v/>
      </c>
      <c r="P60" s="150" t="str">
        <f t="shared" si="58"/>
        <v/>
      </c>
      <c r="Q60" s="149" t="str">
        <f t="shared" ca="1" si="76"/>
        <v/>
      </c>
      <c r="R60" s="150" t="str">
        <f t="shared" si="59"/>
        <v/>
      </c>
      <c r="S60" s="149" t="str">
        <f t="shared" ca="1" si="77"/>
        <v/>
      </c>
      <c r="T60" s="150" t="str">
        <f t="shared" si="60"/>
        <v/>
      </c>
      <c r="U60" s="149" t="str">
        <f t="shared" ca="1" si="78"/>
        <v/>
      </c>
      <c r="V60" s="150" t="str">
        <f t="shared" si="61"/>
        <v/>
      </c>
      <c r="W60" s="149" t="str">
        <f t="shared" ca="1" si="79"/>
        <v/>
      </c>
      <c r="X60" s="150" t="str">
        <f t="shared" si="62"/>
        <v/>
      </c>
      <c r="Y60" s="149" t="str">
        <f t="shared" ca="1" si="80"/>
        <v/>
      </c>
      <c r="Z60" s="150" t="str">
        <f t="shared" si="63"/>
        <v/>
      </c>
      <c r="AA60" s="149" t="str">
        <f t="shared" ca="1" si="81"/>
        <v/>
      </c>
      <c r="AB60" s="150" t="str">
        <f t="shared" si="64"/>
        <v/>
      </c>
      <c r="AC60" s="149" t="str">
        <f t="shared" ca="1" si="82"/>
        <v/>
      </c>
      <c r="AD60" s="150" t="str">
        <f t="shared" si="65"/>
        <v/>
      </c>
      <c r="AE60" s="146"/>
      <c r="AF60" s="146"/>
      <c r="AG60" s="146"/>
      <c r="AH60" s="146"/>
      <c r="AI60" s="146"/>
      <c r="AJ60" s="146"/>
      <c r="AL60" s="211" t="e">
        <f t="shared" ca="1" si="66"/>
        <v>#DIV/0!</v>
      </c>
      <c r="AM60" s="70" t="e">
        <f t="shared" ca="1" si="67"/>
        <v>#DIV/0!</v>
      </c>
      <c r="AN60" s="276" t="e">
        <f t="shared" ca="1" si="68"/>
        <v>#DIV/0!</v>
      </c>
      <c r="AO60" s="276" t="e">
        <f t="shared" ca="1" si="69"/>
        <v>#DIV/0!</v>
      </c>
    </row>
    <row r="61" spans="1:41" ht="21.75" hidden="1" customHeight="1">
      <c r="A61" s="147"/>
      <c r="B61" s="148" t="str">
        <f t="shared" si="51"/>
        <v/>
      </c>
      <c r="C61" s="149" t="str">
        <f t="shared" si="70"/>
        <v/>
      </c>
      <c r="D61" s="150" t="str">
        <f t="shared" si="52"/>
        <v/>
      </c>
      <c r="E61" s="149" t="str">
        <f t="shared" si="71"/>
        <v/>
      </c>
      <c r="F61" s="150" t="str">
        <f t="shared" si="53"/>
        <v/>
      </c>
      <c r="G61" s="149" t="str">
        <f t="shared" ca="1" si="72"/>
        <v/>
      </c>
      <c r="H61" s="150" t="str">
        <f t="shared" si="54"/>
        <v/>
      </c>
      <c r="I61" s="149" t="str">
        <f t="shared" ca="1" si="73"/>
        <v/>
      </c>
      <c r="J61" s="150" t="str">
        <f t="shared" si="55"/>
        <v/>
      </c>
      <c r="K61" s="149" t="str">
        <f t="shared" ca="1" si="74"/>
        <v/>
      </c>
      <c r="L61" s="150" t="str">
        <f t="shared" si="56"/>
        <v/>
      </c>
      <c r="M61" s="149" t="str">
        <f t="shared" ca="1" si="42"/>
        <v/>
      </c>
      <c r="N61" s="150" t="str">
        <f t="shared" si="57"/>
        <v/>
      </c>
      <c r="O61" s="149" t="str">
        <f t="shared" ca="1" si="75"/>
        <v/>
      </c>
      <c r="P61" s="150" t="str">
        <f t="shared" si="58"/>
        <v/>
      </c>
      <c r="Q61" s="149" t="str">
        <f t="shared" ca="1" si="76"/>
        <v/>
      </c>
      <c r="R61" s="150" t="str">
        <f t="shared" si="59"/>
        <v/>
      </c>
      <c r="S61" s="149" t="str">
        <f t="shared" ca="1" si="77"/>
        <v/>
      </c>
      <c r="T61" s="150" t="str">
        <f t="shared" si="60"/>
        <v/>
      </c>
      <c r="U61" s="149" t="str">
        <f t="shared" ca="1" si="78"/>
        <v/>
      </c>
      <c r="V61" s="150" t="str">
        <f t="shared" si="61"/>
        <v/>
      </c>
      <c r="W61" s="149" t="str">
        <f t="shared" ca="1" si="79"/>
        <v/>
      </c>
      <c r="X61" s="150" t="str">
        <f t="shared" si="62"/>
        <v/>
      </c>
      <c r="Y61" s="149" t="str">
        <f t="shared" ca="1" si="80"/>
        <v/>
      </c>
      <c r="Z61" s="150" t="str">
        <f t="shared" si="63"/>
        <v/>
      </c>
      <c r="AA61" s="149" t="str">
        <f t="shared" ca="1" si="81"/>
        <v/>
      </c>
      <c r="AB61" s="150" t="str">
        <f t="shared" si="64"/>
        <v/>
      </c>
      <c r="AC61" s="149" t="str">
        <f t="shared" ca="1" si="82"/>
        <v/>
      </c>
      <c r="AD61" s="150" t="str">
        <f t="shared" si="65"/>
        <v/>
      </c>
      <c r="AE61" s="146"/>
      <c r="AF61" s="146"/>
      <c r="AG61" s="146"/>
      <c r="AH61" s="146"/>
      <c r="AI61" s="146"/>
      <c r="AJ61" s="146"/>
      <c r="AL61" s="211" t="e">
        <f t="shared" ca="1" si="66"/>
        <v>#DIV/0!</v>
      </c>
      <c r="AM61" s="70" t="e">
        <f t="shared" ca="1" si="67"/>
        <v>#DIV/0!</v>
      </c>
      <c r="AN61" s="276" t="e">
        <f t="shared" ca="1" si="68"/>
        <v>#DIV/0!</v>
      </c>
      <c r="AO61" s="276" t="e">
        <f t="shared" ca="1" si="69"/>
        <v>#DIV/0!</v>
      </c>
    </row>
    <row r="62" spans="1:41" ht="21.75" hidden="1" customHeight="1">
      <c r="A62" s="147"/>
      <c r="B62" s="148" t="str">
        <f t="shared" si="51"/>
        <v/>
      </c>
      <c r="C62" s="149" t="str">
        <f t="shared" si="70"/>
        <v/>
      </c>
      <c r="D62" s="150" t="str">
        <f t="shared" si="52"/>
        <v/>
      </c>
      <c r="E62" s="149" t="str">
        <f t="shared" si="71"/>
        <v/>
      </c>
      <c r="F62" s="150" t="str">
        <f t="shared" si="53"/>
        <v/>
      </c>
      <c r="G62" s="149" t="str">
        <f t="shared" ca="1" si="72"/>
        <v/>
      </c>
      <c r="H62" s="150" t="str">
        <f t="shared" si="54"/>
        <v/>
      </c>
      <c r="I62" s="149" t="str">
        <f t="shared" ca="1" si="73"/>
        <v/>
      </c>
      <c r="J62" s="150" t="str">
        <f t="shared" si="55"/>
        <v/>
      </c>
      <c r="K62" s="149" t="str">
        <f t="shared" ca="1" si="74"/>
        <v/>
      </c>
      <c r="L62" s="150" t="str">
        <f t="shared" si="56"/>
        <v/>
      </c>
      <c r="M62" s="149" t="str">
        <f t="shared" ca="1" si="42"/>
        <v/>
      </c>
      <c r="N62" s="150" t="str">
        <f t="shared" si="57"/>
        <v/>
      </c>
      <c r="O62" s="149" t="str">
        <f t="shared" ca="1" si="75"/>
        <v/>
      </c>
      <c r="P62" s="150" t="str">
        <f t="shared" si="58"/>
        <v/>
      </c>
      <c r="Q62" s="149" t="str">
        <f t="shared" ca="1" si="76"/>
        <v/>
      </c>
      <c r="R62" s="150" t="str">
        <f t="shared" si="59"/>
        <v/>
      </c>
      <c r="S62" s="149" t="str">
        <f t="shared" ca="1" si="77"/>
        <v/>
      </c>
      <c r="T62" s="150" t="str">
        <f t="shared" si="60"/>
        <v/>
      </c>
      <c r="U62" s="149" t="str">
        <f t="shared" ca="1" si="78"/>
        <v/>
      </c>
      <c r="V62" s="150" t="str">
        <f t="shared" si="61"/>
        <v/>
      </c>
      <c r="W62" s="149" t="str">
        <f t="shared" ca="1" si="79"/>
        <v/>
      </c>
      <c r="X62" s="150" t="str">
        <f t="shared" si="62"/>
        <v/>
      </c>
      <c r="Y62" s="149" t="str">
        <f t="shared" ca="1" si="80"/>
        <v/>
      </c>
      <c r="Z62" s="150" t="str">
        <f t="shared" si="63"/>
        <v/>
      </c>
      <c r="AA62" s="149" t="str">
        <f t="shared" ca="1" si="81"/>
        <v/>
      </c>
      <c r="AB62" s="150" t="str">
        <f t="shared" si="64"/>
        <v/>
      </c>
      <c r="AC62" s="149" t="str">
        <f t="shared" ca="1" si="82"/>
        <v/>
      </c>
      <c r="AD62" s="150" t="str">
        <f t="shared" si="65"/>
        <v/>
      </c>
      <c r="AE62" s="146"/>
      <c r="AF62" s="146"/>
      <c r="AG62" s="146"/>
      <c r="AH62" s="146"/>
      <c r="AI62" s="146"/>
      <c r="AJ62" s="146"/>
      <c r="AL62" s="211" t="e">
        <f t="shared" ca="1" si="66"/>
        <v>#DIV/0!</v>
      </c>
      <c r="AM62" s="70" t="e">
        <f t="shared" ca="1" si="67"/>
        <v>#DIV/0!</v>
      </c>
      <c r="AN62" s="276" t="e">
        <f t="shared" ca="1" si="68"/>
        <v>#DIV/0!</v>
      </c>
      <c r="AO62" s="276" t="e">
        <f t="shared" ca="1" si="69"/>
        <v>#DIV/0!</v>
      </c>
    </row>
    <row r="63" spans="1:41" ht="21.75" hidden="1" customHeight="1">
      <c r="A63" s="147"/>
      <c r="B63" s="148" t="str">
        <f t="shared" si="51"/>
        <v/>
      </c>
      <c r="C63" s="149" t="str">
        <f t="shared" si="70"/>
        <v/>
      </c>
      <c r="D63" s="150" t="str">
        <f t="shared" si="52"/>
        <v/>
      </c>
      <c r="E63" s="149" t="str">
        <f t="shared" si="71"/>
        <v/>
      </c>
      <c r="F63" s="150" t="str">
        <f t="shared" si="53"/>
        <v/>
      </c>
      <c r="G63" s="149" t="str">
        <f t="shared" ca="1" si="72"/>
        <v/>
      </c>
      <c r="H63" s="150" t="str">
        <f t="shared" si="54"/>
        <v/>
      </c>
      <c r="I63" s="149" t="str">
        <f t="shared" ca="1" si="73"/>
        <v/>
      </c>
      <c r="J63" s="150" t="str">
        <f t="shared" si="55"/>
        <v/>
      </c>
      <c r="K63" s="149" t="str">
        <f t="shared" ca="1" si="74"/>
        <v/>
      </c>
      <c r="L63" s="150" t="str">
        <f t="shared" si="56"/>
        <v/>
      </c>
      <c r="M63" s="149" t="str">
        <f t="shared" ca="1" si="42"/>
        <v/>
      </c>
      <c r="N63" s="150" t="str">
        <f t="shared" si="57"/>
        <v/>
      </c>
      <c r="O63" s="149" t="str">
        <f t="shared" ca="1" si="75"/>
        <v/>
      </c>
      <c r="P63" s="150" t="str">
        <f t="shared" si="58"/>
        <v/>
      </c>
      <c r="Q63" s="149" t="str">
        <f t="shared" ca="1" si="76"/>
        <v/>
      </c>
      <c r="R63" s="150" t="str">
        <f t="shared" si="59"/>
        <v/>
      </c>
      <c r="S63" s="149" t="str">
        <f t="shared" ca="1" si="77"/>
        <v/>
      </c>
      <c r="T63" s="150" t="str">
        <f t="shared" si="60"/>
        <v/>
      </c>
      <c r="U63" s="149" t="str">
        <f t="shared" ca="1" si="78"/>
        <v/>
      </c>
      <c r="V63" s="150" t="str">
        <f t="shared" si="61"/>
        <v/>
      </c>
      <c r="W63" s="149" t="str">
        <f t="shared" ca="1" si="79"/>
        <v/>
      </c>
      <c r="X63" s="150" t="str">
        <f t="shared" si="62"/>
        <v/>
      </c>
      <c r="Y63" s="149" t="str">
        <f t="shared" ca="1" si="80"/>
        <v/>
      </c>
      <c r="Z63" s="150" t="str">
        <f t="shared" si="63"/>
        <v/>
      </c>
      <c r="AA63" s="149" t="str">
        <f t="shared" ca="1" si="81"/>
        <v/>
      </c>
      <c r="AB63" s="150" t="str">
        <f t="shared" si="64"/>
        <v/>
      </c>
      <c r="AC63" s="149" t="str">
        <f t="shared" ca="1" si="82"/>
        <v/>
      </c>
      <c r="AD63" s="150" t="str">
        <f t="shared" si="65"/>
        <v/>
      </c>
      <c r="AE63" s="146"/>
      <c r="AF63" s="146"/>
      <c r="AG63" s="146"/>
      <c r="AH63" s="146"/>
      <c r="AI63" s="146"/>
      <c r="AJ63" s="146"/>
      <c r="AL63" s="211" t="e">
        <f t="shared" ca="1" si="66"/>
        <v>#DIV/0!</v>
      </c>
      <c r="AM63" s="70" t="e">
        <f t="shared" ca="1" si="67"/>
        <v>#DIV/0!</v>
      </c>
      <c r="AN63" s="276" t="e">
        <f t="shared" ca="1" si="68"/>
        <v>#DIV/0!</v>
      </c>
      <c r="AO63" s="276" t="e">
        <f t="shared" ca="1" si="69"/>
        <v>#DIV/0!</v>
      </c>
    </row>
    <row r="64" spans="1:41" ht="21.75" hidden="1" customHeight="1">
      <c r="A64" s="147"/>
      <c r="B64" s="148" t="str">
        <f t="shared" si="51"/>
        <v/>
      </c>
      <c r="C64" s="149" t="str">
        <f t="shared" si="70"/>
        <v/>
      </c>
      <c r="D64" s="150" t="str">
        <f t="shared" si="52"/>
        <v/>
      </c>
      <c r="E64" s="149" t="str">
        <f t="shared" si="71"/>
        <v/>
      </c>
      <c r="F64" s="150" t="str">
        <f t="shared" si="53"/>
        <v/>
      </c>
      <c r="G64" s="149" t="str">
        <f t="shared" ca="1" si="72"/>
        <v/>
      </c>
      <c r="H64" s="150" t="str">
        <f t="shared" si="54"/>
        <v/>
      </c>
      <c r="I64" s="149" t="str">
        <f t="shared" ca="1" si="73"/>
        <v/>
      </c>
      <c r="J64" s="150" t="str">
        <f t="shared" si="55"/>
        <v/>
      </c>
      <c r="K64" s="149" t="str">
        <f t="shared" ca="1" si="74"/>
        <v/>
      </c>
      <c r="L64" s="150" t="str">
        <f t="shared" si="56"/>
        <v/>
      </c>
      <c r="M64" s="149" t="str">
        <f t="shared" ca="1" si="42"/>
        <v/>
      </c>
      <c r="N64" s="150" t="str">
        <f t="shared" si="57"/>
        <v/>
      </c>
      <c r="O64" s="149" t="str">
        <f t="shared" ca="1" si="75"/>
        <v/>
      </c>
      <c r="P64" s="150" t="str">
        <f t="shared" si="58"/>
        <v/>
      </c>
      <c r="Q64" s="149" t="str">
        <f t="shared" ca="1" si="76"/>
        <v/>
      </c>
      <c r="R64" s="150" t="str">
        <f t="shared" si="59"/>
        <v/>
      </c>
      <c r="S64" s="149" t="str">
        <f t="shared" ca="1" si="77"/>
        <v/>
      </c>
      <c r="T64" s="150" t="str">
        <f t="shared" si="60"/>
        <v/>
      </c>
      <c r="U64" s="149" t="str">
        <f t="shared" ca="1" si="78"/>
        <v/>
      </c>
      <c r="V64" s="150" t="str">
        <f t="shared" si="61"/>
        <v/>
      </c>
      <c r="W64" s="149" t="str">
        <f t="shared" ca="1" si="79"/>
        <v/>
      </c>
      <c r="X64" s="150" t="str">
        <f t="shared" si="62"/>
        <v/>
      </c>
      <c r="Y64" s="149" t="str">
        <f t="shared" ca="1" si="80"/>
        <v/>
      </c>
      <c r="Z64" s="150" t="str">
        <f t="shared" si="63"/>
        <v/>
      </c>
      <c r="AA64" s="149" t="str">
        <f t="shared" ca="1" si="81"/>
        <v/>
      </c>
      <c r="AB64" s="150" t="str">
        <f t="shared" si="64"/>
        <v/>
      </c>
      <c r="AC64" s="149" t="str">
        <f t="shared" ca="1" si="82"/>
        <v/>
      </c>
      <c r="AD64" s="150" t="str">
        <f t="shared" si="65"/>
        <v/>
      </c>
      <c r="AE64" s="146"/>
      <c r="AF64" s="146"/>
      <c r="AG64" s="146"/>
      <c r="AH64" s="146"/>
      <c r="AI64" s="146"/>
      <c r="AJ64" s="146"/>
      <c r="AL64" s="211" t="e">
        <f t="shared" ca="1" si="66"/>
        <v>#DIV/0!</v>
      </c>
      <c r="AM64" s="70" t="e">
        <f t="shared" ca="1" si="67"/>
        <v>#DIV/0!</v>
      </c>
      <c r="AN64" s="276" t="e">
        <f t="shared" ca="1" si="68"/>
        <v>#DIV/0!</v>
      </c>
      <c r="AO64" s="276" t="e">
        <f t="shared" ca="1" si="69"/>
        <v>#DIV/0!</v>
      </c>
    </row>
    <row r="65" spans="1:41" ht="21.75" hidden="1" customHeight="1">
      <c r="A65" s="147"/>
      <c r="B65" s="148" t="str">
        <f t="shared" si="51"/>
        <v/>
      </c>
      <c r="C65" s="149" t="str">
        <f t="shared" si="70"/>
        <v/>
      </c>
      <c r="D65" s="150" t="str">
        <f t="shared" si="52"/>
        <v/>
      </c>
      <c r="E65" s="149" t="str">
        <f t="shared" si="71"/>
        <v/>
      </c>
      <c r="F65" s="150" t="str">
        <f t="shared" si="53"/>
        <v/>
      </c>
      <c r="G65" s="149" t="str">
        <f t="shared" ca="1" si="72"/>
        <v/>
      </c>
      <c r="H65" s="150" t="str">
        <f t="shared" si="54"/>
        <v/>
      </c>
      <c r="I65" s="149" t="str">
        <f t="shared" ca="1" si="73"/>
        <v/>
      </c>
      <c r="J65" s="150" t="str">
        <f t="shared" si="55"/>
        <v/>
      </c>
      <c r="K65" s="149" t="str">
        <f t="shared" ca="1" si="74"/>
        <v/>
      </c>
      <c r="L65" s="150" t="str">
        <f t="shared" si="56"/>
        <v/>
      </c>
      <c r="M65" s="149" t="str">
        <f t="shared" ca="1" si="42"/>
        <v/>
      </c>
      <c r="N65" s="150" t="str">
        <f t="shared" si="57"/>
        <v/>
      </c>
      <c r="O65" s="149" t="str">
        <f t="shared" ca="1" si="75"/>
        <v/>
      </c>
      <c r="P65" s="150" t="str">
        <f t="shared" si="58"/>
        <v/>
      </c>
      <c r="Q65" s="149" t="str">
        <f t="shared" ca="1" si="76"/>
        <v/>
      </c>
      <c r="R65" s="150" t="str">
        <f t="shared" si="59"/>
        <v/>
      </c>
      <c r="S65" s="149" t="str">
        <f t="shared" ca="1" si="77"/>
        <v/>
      </c>
      <c r="T65" s="150" t="str">
        <f t="shared" si="60"/>
        <v/>
      </c>
      <c r="U65" s="149" t="str">
        <f t="shared" ca="1" si="78"/>
        <v/>
      </c>
      <c r="V65" s="150" t="str">
        <f t="shared" si="61"/>
        <v/>
      </c>
      <c r="W65" s="149" t="str">
        <f t="shared" ca="1" si="79"/>
        <v/>
      </c>
      <c r="X65" s="150" t="str">
        <f t="shared" si="62"/>
        <v/>
      </c>
      <c r="Y65" s="149" t="str">
        <f t="shared" ca="1" si="80"/>
        <v/>
      </c>
      <c r="Z65" s="150" t="str">
        <f t="shared" si="63"/>
        <v/>
      </c>
      <c r="AA65" s="149" t="str">
        <f t="shared" ca="1" si="81"/>
        <v/>
      </c>
      <c r="AB65" s="150" t="str">
        <f t="shared" si="64"/>
        <v/>
      </c>
      <c r="AC65" s="149" t="str">
        <f t="shared" ca="1" si="82"/>
        <v/>
      </c>
      <c r="AD65" s="150" t="str">
        <f t="shared" si="65"/>
        <v/>
      </c>
      <c r="AE65" s="146"/>
      <c r="AF65" s="146"/>
      <c r="AG65" s="146"/>
      <c r="AH65" s="146"/>
      <c r="AI65" s="146"/>
      <c r="AJ65" s="146"/>
      <c r="AL65" s="211" t="e">
        <f t="shared" ca="1" si="66"/>
        <v>#DIV/0!</v>
      </c>
      <c r="AM65" s="70" t="e">
        <f t="shared" ca="1" si="67"/>
        <v>#DIV/0!</v>
      </c>
      <c r="AN65" s="276" t="e">
        <f t="shared" ca="1" si="68"/>
        <v>#DIV/0!</v>
      </c>
      <c r="AO65" s="276" t="e">
        <f t="shared" ca="1" si="69"/>
        <v>#DIV/0!</v>
      </c>
    </row>
    <row r="66" spans="1:41" ht="21.75" hidden="1" customHeight="1">
      <c r="A66" s="147"/>
      <c r="B66" s="148" t="str">
        <f t="shared" si="51"/>
        <v/>
      </c>
      <c r="C66" s="149" t="str">
        <f t="shared" si="70"/>
        <v/>
      </c>
      <c r="D66" s="150" t="str">
        <f t="shared" si="52"/>
        <v/>
      </c>
      <c r="E66" s="149" t="str">
        <f t="shared" si="71"/>
        <v/>
      </c>
      <c r="F66" s="150" t="str">
        <f t="shared" si="53"/>
        <v/>
      </c>
      <c r="G66" s="149" t="str">
        <f t="shared" ca="1" si="72"/>
        <v/>
      </c>
      <c r="H66" s="150" t="str">
        <f t="shared" si="54"/>
        <v/>
      </c>
      <c r="I66" s="149" t="str">
        <f t="shared" ca="1" si="73"/>
        <v/>
      </c>
      <c r="J66" s="150" t="str">
        <f t="shared" si="55"/>
        <v/>
      </c>
      <c r="K66" s="149" t="str">
        <f t="shared" ca="1" si="74"/>
        <v/>
      </c>
      <c r="L66" s="150" t="str">
        <f t="shared" si="56"/>
        <v/>
      </c>
      <c r="M66" s="149" t="str">
        <f t="shared" ca="1" si="42"/>
        <v/>
      </c>
      <c r="N66" s="150" t="str">
        <f t="shared" si="57"/>
        <v/>
      </c>
      <c r="O66" s="149" t="str">
        <f t="shared" ca="1" si="75"/>
        <v/>
      </c>
      <c r="P66" s="150" t="str">
        <f t="shared" si="58"/>
        <v/>
      </c>
      <c r="Q66" s="149" t="str">
        <f t="shared" ca="1" si="76"/>
        <v/>
      </c>
      <c r="R66" s="150" t="str">
        <f t="shared" si="59"/>
        <v/>
      </c>
      <c r="S66" s="149" t="str">
        <f t="shared" ca="1" si="77"/>
        <v/>
      </c>
      <c r="T66" s="150" t="str">
        <f t="shared" si="60"/>
        <v/>
      </c>
      <c r="U66" s="149" t="str">
        <f t="shared" ca="1" si="78"/>
        <v/>
      </c>
      <c r="V66" s="150" t="str">
        <f t="shared" si="61"/>
        <v/>
      </c>
      <c r="W66" s="149" t="str">
        <f t="shared" ca="1" si="79"/>
        <v/>
      </c>
      <c r="X66" s="150" t="str">
        <f t="shared" si="62"/>
        <v/>
      </c>
      <c r="Y66" s="149" t="str">
        <f t="shared" ca="1" si="80"/>
        <v/>
      </c>
      <c r="Z66" s="150" t="str">
        <f t="shared" si="63"/>
        <v/>
      </c>
      <c r="AA66" s="149" t="str">
        <f t="shared" ca="1" si="81"/>
        <v/>
      </c>
      <c r="AB66" s="150" t="str">
        <f t="shared" si="64"/>
        <v/>
      </c>
      <c r="AC66" s="149" t="str">
        <f t="shared" ca="1" si="82"/>
        <v/>
      </c>
      <c r="AD66" s="150" t="str">
        <f t="shared" si="65"/>
        <v/>
      </c>
      <c r="AE66" s="146"/>
      <c r="AF66" s="146"/>
      <c r="AG66" s="146"/>
      <c r="AH66" s="146"/>
      <c r="AI66" s="146"/>
      <c r="AJ66" s="146"/>
      <c r="AL66" s="211" t="e">
        <f t="shared" ca="1" si="66"/>
        <v>#DIV/0!</v>
      </c>
      <c r="AM66" s="70" t="e">
        <f t="shared" ca="1" si="67"/>
        <v>#DIV/0!</v>
      </c>
      <c r="AN66" s="276" t="e">
        <f t="shared" ca="1" si="68"/>
        <v>#DIV/0!</v>
      </c>
      <c r="AO66" s="276" t="e">
        <f t="shared" ca="1" si="69"/>
        <v>#DIV/0!</v>
      </c>
    </row>
    <row r="67" spans="1:41" ht="21.75" hidden="1" customHeight="1">
      <c r="A67" s="147"/>
      <c r="B67" s="148" t="str">
        <f t="shared" si="51"/>
        <v/>
      </c>
      <c r="C67" s="149" t="str">
        <f t="shared" si="70"/>
        <v/>
      </c>
      <c r="D67" s="150" t="str">
        <f t="shared" si="52"/>
        <v/>
      </c>
      <c r="E67" s="149" t="str">
        <f t="shared" si="71"/>
        <v/>
      </c>
      <c r="F67" s="150" t="str">
        <f t="shared" si="53"/>
        <v/>
      </c>
      <c r="G67" s="149" t="str">
        <f t="shared" ca="1" si="72"/>
        <v/>
      </c>
      <c r="H67" s="150" t="str">
        <f t="shared" si="54"/>
        <v/>
      </c>
      <c r="I67" s="149" t="str">
        <f t="shared" ca="1" si="73"/>
        <v/>
      </c>
      <c r="J67" s="150" t="str">
        <f t="shared" si="55"/>
        <v/>
      </c>
      <c r="K67" s="149" t="str">
        <f t="shared" ca="1" si="74"/>
        <v/>
      </c>
      <c r="L67" s="150" t="str">
        <f t="shared" si="56"/>
        <v/>
      </c>
      <c r="M67" s="149" t="str">
        <f t="shared" ca="1" si="42"/>
        <v/>
      </c>
      <c r="N67" s="150" t="str">
        <f t="shared" si="57"/>
        <v/>
      </c>
      <c r="O67" s="149" t="str">
        <f t="shared" ca="1" si="75"/>
        <v/>
      </c>
      <c r="P67" s="150" t="str">
        <f t="shared" si="58"/>
        <v/>
      </c>
      <c r="Q67" s="149" t="str">
        <f t="shared" ca="1" si="76"/>
        <v/>
      </c>
      <c r="R67" s="150" t="str">
        <f t="shared" si="59"/>
        <v/>
      </c>
      <c r="S67" s="149" t="str">
        <f t="shared" ca="1" si="77"/>
        <v/>
      </c>
      <c r="T67" s="150" t="str">
        <f t="shared" si="60"/>
        <v/>
      </c>
      <c r="U67" s="149" t="str">
        <f t="shared" ca="1" si="78"/>
        <v/>
      </c>
      <c r="V67" s="150" t="str">
        <f t="shared" si="61"/>
        <v/>
      </c>
      <c r="W67" s="149" t="str">
        <f t="shared" ca="1" si="79"/>
        <v/>
      </c>
      <c r="X67" s="150" t="str">
        <f t="shared" si="62"/>
        <v/>
      </c>
      <c r="Y67" s="149" t="str">
        <f t="shared" ca="1" si="80"/>
        <v/>
      </c>
      <c r="Z67" s="150" t="str">
        <f t="shared" si="63"/>
        <v/>
      </c>
      <c r="AA67" s="149" t="str">
        <f t="shared" ca="1" si="81"/>
        <v/>
      </c>
      <c r="AB67" s="150" t="str">
        <f t="shared" si="64"/>
        <v/>
      </c>
      <c r="AC67" s="149" t="str">
        <f t="shared" ca="1" si="82"/>
        <v/>
      </c>
      <c r="AD67" s="150" t="str">
        <f t="shared" si="65"/>
        <v/>
      </c>
      <c r="AE67" s="146"/>
      <c r="AF67" s="146"/>
      <c r="AG67" s="146"/>
      <c r="AH67" s="146"/>
      <c r="AI67" s="146"/>
      <c r="AJ67" s="146"/>
      <c r="AL67" s="211" t="e">
        <f t="shared" ca="1" si="66"/>
        <v>#DIV/0!</v>
      </c>
      <c r="AM67" s="70" t="e">
        <f t="shared" ca="1" si="67"/>
        <v>#DIV/0!</v>
      </c>
      <c r="AN67" s="276" t="e">
        <f t="shared" ca="1" si="68"/>
        <v>#DIV/0!</v>
      </c>
      <c r="AO67" s="276" t="e">
        <f t="shared" ca="1" si="69"/>
        <v>#DIV/0!</v>
      </c>
    </row>
    <row r="68" spans="1:41" ht="21.75" hidden="1" customHeight="1">
      <c r="A68" s="147"/>
      <c r="B68" s="148" t="str">
        <f t="shared" si="51"/>
        <v/>
      </c>
      <c r="C68" s="149" t="str">
        <f t="shared" si="70"/>
        <v/>
      </c>
      <c r="D68" s="150" t="str">
        <f t="shared" si="52"/>
        <v/>
      </c>
      <c r="E68" s="149" t="str">
        <f t="shared" si="71"/>
        <v/>
      </c>
      <c r="F68" s="150" t="str">
        <f t="shared" si="53"/>
        <v/>
      </c>
      <c r="G68" s="149" t="str">
        <f t="shared" ca="1" si="72"/>
        <v/>
      </c>
      <c r="H68" s="150" t="str">
        <f t="shared" si="54"/>
        <v/>
      </c>
      <c r="I68" s="149" t="str">
        <f t="shared" ca="1" si="73"/>
        <v/>
      </c>
      <c r="J68" s="150" t="str">
        <f t="shared" si="55"/>
        <v/>
      </c>
      <c r="K68" s="149" t="str">
        <f t="shared" ca="1" si="74"/>
        <v/>
      </c>
      <c r="L68" s="150" t="str">
        <f t="shared" si="56"/>
        <v/>
      </c>
      <c r="M68" s="149" t="str">
        <f t="shared" ca="1" si="42"/>
        <v/>
      </c>
      <c r="N68" s="150" t="str">
        <f t="shared" si="57"/>
        <v/>
      </c>
      <c r="O68" s="149" t="str">
        <f t="shared" ca="1" si="75"/>
        <v/>
      </c>
      <c r="P68" s="150" t="str">
        <f t="shared" si="58"/>
        <v/>
      </c>
      <c r="Q68" s="149" t="str">
        <f t="shared" ca="1" si="76"/>
        <v/>
      </c>
      <c r="R68" s="150" t="str">
        <f t="shared" si="59"/>
        <v/>
      </c>
      <c r="S68" s="149" t="str">
        <f t="shared" ca="1" si="77"/>
        <v/>
      </c>
      <c r="T68" s="150" t="str">
        <f t="shared" si="60"/>
        <v/>
      </c>
      <c r="U68" s="149" t="str">
        <f t="shared" ca="1" si="78"/>
        <v/>
      </c>
      <c r="V68" s="150" t="str">
        <f t="shared" si="61"/>
        <v/>
      </c>
      <c r="W68" s="149" t="str">
        <f t="shared" ca="1" si="79"/>
        <v/>
      </c>
      <c r="X68" s="150" t="str">
        <f t="shared" si="62"/>
        <v/>
      </c>
      <c r="Y68" s="149" t="str">
        <f t="shared" ca="1" si="80"/>
        <v/>
      </c>
      <c r="Z68" s="150" t="str">
        <f t="shared" si="63"/>
        <v/>
      </c>
      <c r="AA68" s="149" t="str">
        <f t="shared" ca="1" si="81"/>
        <v/>
      </c>
      <c r="AB68" s="150" t="str">
        <f t="shared" si="64"/>
        <v/>
      </c>
      <c r="AC68" s="149" t="str">
        <f t="shared" ca="1" si="82"/>
        <v/>
      </c>
      <c r="AD68" s="150" t="str">
        <f t="shared" si="65"/>
        <v/>
      </c>
      <c r="AE68" s="146"/>
      <c r="AF68" s="146"/>
      <c r="AG68" s="146"/>
      <c r="AH68" s="146"/>
      <c r="AI68" s="146"/>
      <c r="AJ68" s="146"/>
      <c r="AL68" s="211" t="e">
        <f t="shared" ca="1" si="66"/>
        <v>#DIV/0!</v>
      </c>
      <c r="AM68" s="70" t="e">
        <f t="shared" ca="1" si="67"/>
        <v>#DIV/0!</v>
      </c>
      <c r="AN68" s="276" t="e">
        <f t="shared" ca="1" si="68"/>
        <v>#DIV/0!</v>
      </c>
      <c r="AO68" s="276" t="e">
        <f t="shared" ca="1" si="69"/>
        <v>#DIV/0!</v>
      </c>
    </row>
    <row r="69" spans="1:41" ht="21.75" hidden="1" customHeight="1">
      <c r="A69" s="147"/>
      <c r="B69" s="148" t="str">
        <f t="shared" ref="B69:B76" si="83">IF(A69="","",IF($K$4="Media aritmética",ROUND(AVERAGE(C69,E69,G69,I69,K69,M69,O69,Q69,S69,U69,W69,Y69,AA69,AC69,AE69,AG69,AI69),2),ROUND(_xlfn.STDEV.P(C69,E69,G69,I69,K69,M69,O69,Q69,S69,U69,W69,Y69,AA69,AC69,AE69,AG69,AI69),2)))</f>
        <v/>
      </c>
      <c r="C69" s="149" t="str">
        <f t="shared" si="70"/>
        <v/>
      </c>
      <c r="D69" s="150" t="str">
        <f t="shared" ref="D69:D76" si="84">IF($A69="","",IF(C69="","",IF($K$4="Media aritmética",(C69&lt;=$B69)*($E$5/$B$4)+(C69&gt;$B69)*0,IF(AND(ROUND(AVERAGE($C69,$E69,$G69,$I69,$K69,$M69,$O69,$Q69,$S69,$U69,$W69,$Y69,$AA69,$AC69,$AE69,$AG69,$AI69),2)-$B69/2&lt;=C69,(ROUND(AVERAGE($C69,$E69,$G69,$I69,$K69,$M69,$O69,$Q69,$S69,$U69,$W69,$Y69,$AA69,$AC69,$AE69,$AG69,$AI69),2)+$B69/2&gt;=C69)),($E$5/$B$4),0))))</f>
        <v/>
      </c>
      <c r="E69" s="149" t="str">
        <f t="shared" si="71"/>
        <v/>
      </c>
      <c r="F69" s="150" t="str">
        <f t="shared" ref="F69:F76" si="85">IF($A69="","",IF(E69="","",IF($K$4="Media aritmética",(E69&lt;=$B69)*($E$5/$B$4)+(E69&gt;$B69)*0,IF(AND(ROUND(AVERAGE($C69,$E69,$G69,$I69,$K69,$M69,$O69,$Q69,$S69,$U69,$W69,$Y69,$AA69,$AC69,$AE69,$AG69,$AI69),2)-$B69/2&lt;=E69,(ROUND(AVERAGE($C69,$E69,$G69,$I69,$K69,$M69,$O69,$Q69,$S69,$U69,$W69,$Y69,$AA69,$AC69,$AE69,$AG69,$AI69),2)+$B69/2&gt;=E69)),($E$5/$B$4),0))))</f>
        <v/>
      </c>
      <c r="G69" s="149" t="str">
        <f t="shared" ca="1" si="72"/>
        <v/>
      </c>
      <c r="H69" s="150" t="str">
        <f t="shared" ref="H69:H76" si="86">IF($A69="","",IF(G69="","",IF($K$4="Media aritmética",(G69&lt;=$B69)*($E$5/$B$4)+(G69&gt;$B69)*0,IF(AND(ROUND(AVERAGE($C69,$E69,$G69,$I69,$K69,$M69,$O69,$Q69,$S69,$U69,$W69,$Y69,$AA69,$AC69,$AE69,$AG69,$AI69),2)-$B69/2&lt;=G69,(ROUND(AVERAGE($C69,$E69,$G69,$I69,$K69,$M69,$O69,$Q69,$S69,$U69,$W69,$Y69,$AA69,$AC69,$AE69,$AG69,$AI69),2)+$B69/2&gt;=G69)),($E$5/$B$4),0))))</f>
        <v/>
      </c>
      <c r="I69" s="149" t="str">
        <f t="shared" ca="1" si="73"/>
        <v/>
      </c>
      <c r="J69" s="150" t="str">
        <f t="shared" ref="J69:J76" si="87">IF($A69="","",IF(I69="","",IF($K$4="Media aritmética",(I69&lt;=$B69)*($E$5/$B$4)+(I69&gt;$B69)*0,IF(AND(ROUND(AVERAGE($C69,$E69,$G69,$I69,$K69,$M69,$O69,$Q69,$S69,$U69,$W69,$Y69,$AA69,$AC69,$AE69,$AG69,$AI69),2)-$B69/2&lt;=I69,(ROUND(AVERAGE($C69,$E69,$G69,$I69,$K69,$M69,$O69,$Q69,$S69,$U69,$W69,$Y69,$AA69,$AC69,$AE69,$AG69,$AI69),2)+$B69/2&gt;=I69)),($E$5/$B$4),0))))</f>
        <v/>
      </c>
      <c r="K69" s="149" t="str">
        <f t="shared" ca="1" si="74"/>
        <v/>
      </c>
      <c r="L69" s="150" t="str">
        <f t="shared" ref="L69:L76" si="88">IF($A69="","",IF(K69="","",IF($K$4="Media aritmética",(K69&lt;=$B69)*($E$5/$B$4)+(K69&gt;$B69)*0,IF(AND(ROUND(AVERAGE($C69,$E69,$G69,$I69,$K69,$M69,$O69,$Q69,$S69,$U69,$W69,$Y69,$AA69,$AC69,$AE69,$AG69,$AI69),2)-$B69/2&lt;=K69,(ROUND(AVERAGE($C69,$E69,$G69,$I69,$K69,$M69,$O69,$Q69,$S69,$U69,$W69,$Y69,$AA69,$AC69,$AE69,$AG69,$AI69),2)+$B69/2&gt;=K69)),($E$5/$B$4),0))))</f>
        <v/>
      </c>
      <c r="M69" s="149" t="str">
        <f t="shared" ca="1" si="42"/>
        <v/>
      </c>
      <c r="N69" s="150" t="str">
        <f t="shared" ref="N69:N76" si="89">IF($A69="","",IF(M69="","",IF($K$4="Media aritmética",(M69&lt;=$B69)*($E$5/$B$4)+(M69&gt;$B69)*0,IF(AND(ROUND(AVERAGE($C69,$E69,$G69,$I69,$K69,$M69,$O69,$Q69,$S69,$U69,$W69,$Y69,$AA69,$AC69,$AE69,$AG69,$AI69),2)-$B69/2&lt;=M69,(ROUND(AVERAGE($C69,$E69,$G69,$I69,$K69,$M69,$O69,$Q69,$S69,$U69,$W69,$Y69,$AA69,$AC69,$AE69,$AG69,$AI69),2)+$B69/2&gt;=M69)),($E$5/$B$4),0))))</f>
        <v/>
      </c>
      <c r="O69" s="149" t="str">
        <f t="shared" ca="1" si="75"/>
        <v/>
      </c>
      <c r="P69" s="150" t="str">
        <f t="shared" ref="P69:P76" si="90">IF($A69="","",IF(O69="","",IF($K$4="Media aritmética",(O69&lt;=$B69)*($E$5/$B$4)+(O69&gt;$B69)*0,IF(AND(ROUND(AVERAGE($C69,$E69,$G69,$I69,$K69,$M69,$O69,$Q69,$S69,$U69,$W69,$Y69,$AA69,$AC69,$AE69,$AG69,$AI69),2)-$B69/2&lt;=O69,(ROUND(AVERAGE($C69,$E69,$G69,$I69,$K69,$M69,$O69,$Q69,$S69,$U69,$W69,$Y69,$AA69,$AC69,$AE69,$AG69,$AI69),2)+$B69/2&gt;=O69)),($E$5/$B$4),0))))</f>
        <v/>
      </c>
      <c r="Q69" s="149" t="str">
        <f t="shared" ca="1" si="76"/>
        <v/>
      </c>
      <c r="R69" s="150" t="str">
        <f t="shared" ref="R69:R76" si="91">IF($A69="","",IF(Q69="","",IF($K$4="Media aritmética",(Q69&lt;=$B69)*($E$5/$B$4)+(Q69&gt;$B69)*0,IF(AND(ROUND(AVERAGE($C69,$E69,$G69,$I69,$K69,$M69,$O69,$Q69,$S69,$U69,$W69,$Y69,$AA69,$AC69,$AE69,$AG69,$AI69),2)-$B69/2&lt;=Q69,(ROUND(AVERAGE($C69,$E69,$G69,$I69,$K69,$M69,$O69,$Q69,$S69,$U69,$W69,$Y69,$AA69,$AC69,$AE69,$AG69,$AI69),2)+$B69/2&gt;=Q69)),($E$5/$B$4),0))))</f>
        <v/>
      </c>
      <c r="S69" s="149" t="str">
        <f t="shared" ca="1" si="77"/>
        <v/>
      </c>
      <c r="T69" s="150" t="str">
        <f t="shared" ref="T69:T76" si="92">IF($A69="","",IF(S69="","",IF($K$4="Media aritmética",(S69&lt;=$B69)*($E$5/$B$4)+(S69&gt;$B69)*0,IF(AND(ROUND(AVERAGE($C69,$E69,$G69,$I69,$K69,$M69,$O69,$Q69,$S69,$U69,$W69,$Y69,$AA69,$AC69,$AE69,$AG69,$AI69),2)-$B69/2&lt;=S69,(ROUND(AVERAGE($C69,$E69,$G69,$I69,$K69,$M69,$O69,$Q69,$S69,$U69,$W69,$Y69,$AA69,$AC69,$AE69,$AG69,$AI69),2)+$B69/2&gt;=S69)),($E$5/$B$4),0))))</f>
        <v/>
      </c>
      <c r="U69" s="149" t="str">
        <f t="shared" ca="1" si="78"/>
        <v/>
      </c>
      <c r="V69" s="150" t="str">
        <f t="shared" ref="V69:V76" si="93">IF($A69="","",IF(U69="","",IF($K$4="Media aritmética",(U69&lt;=$B69)*($E$5/$B$4)+(U69&gt;$B69)*0,IF(AND(ROUND(AVERAGE($C69,$E69,$G69,$I69,$K69,$M69,$O69,$Q69,$S69,$U69,$W69,$Y69,$AA69,$AC69,$AE69,$AG69,$AI69),2)-$B69/2&lt;=U69,(ROUND(AVERAGE($C69,$E69,$G69,$I69,$K69,$M69,$O69,$Q69,$S69,$U69,$W69,$Y69,$AA69,$AC69,$AE69,$AG69,$AI69),2)+$B69/2&gt;=U69)),($E$5/$B$4),0))))</f>
        <v/>
      </c>
      <c r="W69" s="149" t="str">
        <f t="shared" ca="1" si="79"/>
        <v/>
      </c>
      <c r="X69" s="150" t="str">
        <f t="shared" si="62"/>
        <v/>
      </c>
      <c r="Y69" s="149" t="str">
        <f t="shared" ca="1" si="80"/>
        <v/>
      </c>
      <c r="Z69" s="150" t="str">
        <f t="shared" si="63"/>
        <v/>
      </c>
      <c r="AA69" s="149" t="str">
        <f t="shared" ca="1" si="81"/>
        <v/>
      </c>
      <c r="AB69" s="150" t="str">
        <f t="shared" si="64"/>
        <v/>
      </c>
      <c r="AC69" s="149" t="str">
        <f t="shared" ca="1" si="82"/>
        <v/>
      </c>
      <c r="AD69" s="150" t="str">
        <f t="shared" si="65"/>
        <v/>
      </c>
      <c r="AE69" s="146"/>
      <c r="AF69" s="146"/>
      <c r="AG69" s="146"/>
      <c r="AH69" s="146"/>
      <c r="AI69" s="146"/>
      <c r="AJ69" s="146"/>
      <c r="AL69" s="211" t="e">
        <f t="shared" ca="1" si="66"/>
        <v>#DIV/0!</v>
      </c>
      <c r="AM69" s="70" t="e">
        <f t="shared" ca="1" si="67"/>
        <v>#DIV/0!</v>
      </c>
      <c r="AN69" s="276" t="e">
        <f t="shared" ca="1" si="68"/>
        <v>#DIV/0!</v>
      </c>
      <c r="AO69" s="276" t="e">
        <f t="shared" ca="1" si="69"/>
        <v>#DIV/0!</v>
      </c>
    </row>
    <row r="70" spans="1:41" ht="21.75" hidden="1" customHeight="1">
      <c r="A70" s="147"/>
      <c r="B70" s="148" t="str">
        <f t="shared" si="83"/>
        <v/>
      </c>
      <c r="C70" s="149" t="str">
        <f t="shared" si="70"/>
        <v/>
      </c>
      <c r="D70" s="150" t="str">
        <f t="shared" si="84"/>
        <v/>
      </c>
      <c r="E70" s="149" t="str">
        <f t="shared" si="71"/>
        <v/>
      </c>
      <c r="F70" s="150" t="str">
        <f t="shared" si="85"/>
        <v/>
      </c>
      <c r="G70" s="149" t="str">
        <f t="shared" ca="1" si="72"/>
        <v/>
      </c>
      <c r="H70" s="150" t="str">
        <f t="shared" si="86"/>
        <v/>
      </c>
      <c r="I70" s="149" t="str">
        <f t="shared" ca="1" si="73"/>
        <v/>
      </c>
      <c r="J70" s="150" t="str">
        <f t="shared" si="87"/>
        <v/>
      </c>
      <c r="K70" s="149" t="str">
        <f t="shared" ca="1" si="74"/>
        <v/>
      </c>
      <c r="L70" s="150" t="str">
        <f t="shared" si="88"/>
        <v/>
      </c>
      <c r="M70" s="149" t="str">
        <f t="shared" ca="1" si="42"/>
        <v/>
      </c>
      <c r="N70" s="150" t="str">
        <f t="shared" si="89"/>
        <v/>
      </c>
      <c r="O70" s="149" t="str">
        <f t="shared" ca="1" si="75"/>
        <v/>
      </c>
      <c r="P70" s="150" t="str">
        <f t="shared" si="90"/>
        <v/>
      </c>
      <c r="Q70" s="149" t="str">
        <f t="shared" ca="1" si="76"/>
        <v/>
      </c>
      <c r="R70" s="150" t="str">
        <f t="shared" si="91"/>
        <v/>
      </c>
      <c r="S70" s="149" t="str">
        <f t="shared" ca="1" si="77"/>
        <v/>
      </c>
      <c r="T70" s="150" t="str">
        <f t="shared" si="92"/>
        <v/>
      </c>
      <c r="U70" s="149" t="str">
        <f t="shared" ca="1" si="78"/>
        <v/>
      </c>
      <c r="V70" s="150" t="str">
        <f t="shared" si="93"/>
        <v/>
      </c>
      <c r="W70" s="149" t="str">
        <f t="shared" ca="1" si="79"/>
        <v/>
      </c>
      <c r="X70" s="150" t="str">
        <f t="shared" si="62"/>
        <v/>
      </c>
      <c r="Y70" s="149" t="str">
        <f t="shared" ca="1" si="80"/>
        <v/>
      </c>
      <c r="Z70" s="150" t="str">
        <f t="shared" si="63"/>
        <v/>
      </c>
      <c r="AA70" s="149" t="str">
        <f t="shared" ca="1" si="81"/>
        <v/>
      </c>
      <c r="AB70" s="150" t="str">
        <f t="shared" si="64"/>
        <v/>
      </c>
      <c r="AC70" s="149" t="str">
        <f t="shared" ca="1" si="82"/>
        <v/>
      </c>
      <c r="AD70" s="150" t="str">
        <f t="shared" si="65"/>
        <v/>
      </c>
      <c r="AE70" s="146"/>
      <c r="AF70" s="146"/>
      <c r="AG70" s="146"/>
      <c r="AH70" s="146"/>
      <c r="AI70" s="146"/>
      <c r="AJ70" s="146"/>
      <c r="AL70" s="211" t="e">
        <f t="shared" ca="1" si="66"/>
        <v>#DIV/0!</v>
      </c>
      <c r="AM70" s="70" t="e">
        <f t="shared" ca="1" si="67"/>
        <v>#DIV/0!</v>
      </c>
      <c r="AN70" s="276" t="e">
        <f t="shared" ca="1" si="68"/>
        <v>#DIV/0!</v>
      </c>
      <c r="AO70" s="276" t="e">
        <f t="shared" ca="1" si="69"/>
        <v>#DIV/0!</v>
      </c>
    </row>
    <row r="71" spans="1:41" ht="21.75" hidden="1" customHeight="1">
      <c r="A71" s="147"/>
      <c r="B71" s="148" t="str">
        <f t="shared" si="83"/>
        <v/>
      </c>
      <c r="C71" s="149" t="str">
        <f t="shared" si="70"/>
        <v/>
      </c>
      <c r="D71" s="150" t="str">
        <f t="shared" si="84"/>
        <v/>
      </c>
      <c r="E71" s="149" t="str">
        <f t="shared" si="71"/>
        <v/>
      </c>
      <c r="F71" s="150" t="str">
        <f t="shared" si="85"/>
        <v/>
      </c>
      <c r="G71" s="149" t="str">
        <f t="shared" ca="1" si="72"/>
        <v/>
      </c>
      <c r="H71" s="150" t="str">
        <f t="shared" si="86"/>
        <v/>
      </c>
      <c r="I71" s="149" t="str">
        <f t="shared" ca="1" si="73"/>
        <v/>
      </c>
      <c r="J71" s="150" t="str">
        <f t="shared" si="87"/>
        <v/>
      </c>
      <c r="K71" s="149" t="str">
        <f t="shared" ca="1" si="74"/>
        <v/>
      </c>
      <c r="L71" s="150" t="str">
        <f t="shared" si="88"/>
        <v/>
      </c>
      <c r="M71" s="149" t="str">
        <f t="shared" ca="1" si="42"/>
        <v/>
      </c>
      <c r="N71" s="150" t="str">
        <f t="shared" si="89"/>
        <v/>
      </c>
      <c r="O71" s="149" t="str">
        <f t="shared" ca="1" si="75"/>
        <v/>
      </c>
      <c r="P71" s="150" t="str">
        <f t="shared" si="90"/>
        <v/>
      </c>
      <c r="Q71" s="149" t="str">
        <f t="shared" ca="1" si="76"/>
        <v/>
      </c>
      <c r="R71" s="150" t="str">
        <f t="shared" si="91"/>
        <v/>
      </c>
      <c r="S71" s="149" t="str">
        <f t="shared" ca="1" si="77"/>
        <v/>
      </c>
      <c r="T71" s="150" t="str">
        <f t="shared" si="92"/>
        <v/>
      </c>
      <c r="U71" s="149" t="str">
        <f t="shared" ca="1" si="78"/>
        <v/>
      </c>
      <c r="V71" s="150" t="str">
        <f t="shared" si="93"/>
        <v/>
      </c>
      <c r="W71" s="149" t="str">
        <f t="shared" ca="1" si="79"/>
        <v/>
      </c>
      <c r="X71" s="150" t="str">
        <f t="shared" si="62"/>
        <v/>
      </c>
      <c r="Y71" s="149" t="str">
        <f t="shared" ca="1" si="80"/>
        <v/>
      </c>
      <c r="Z71" s="150" t="str">
        <f t="shared" si="63"/>
        <v/>
      </c>
      <c r="AA71" s="149" t="str">
        <f t="shared" ca="1" si="81"/>
        <v/>
      </c>
      <c r="AB71" s="150" t="str">
        <f t="shared" si="64"/>
        <v/>
      </c>
      <c r="AC71" s="149" t="str">
        <f t="shared" ca="1" si="82"/>
        <v/>
      </c>
      <c r="AD71" s="150" t="str">
        <f t="shared" si="65"/>
        <v/>
      </c>
      <c r="AE71" s="146"/>
      <c r="AF71" s="146"/>
      <c r="AG71" s="146"/>
      <c r="AH71" s="146"/>
      <c r="AI71" s="146"/>
      <c r="AJ71" s="146"/>
      <c r="AL71" s="211" t="e">
        <f t="shared" ca="1" si="66"/>
        <v>#DIV/0!</v>
      </c>
      <c r="AM71" s="70" t="e">
        <f t="shared" ca="1" si="67"/>
        <v>#DIV/0!</v>
      </c>
      <c r="AN71" s="276" t="e">
        <f t="shared" ca="1" si="68"/>
        <v>#DIV/0!</v>
      </c>
      <c r="AO71" s="276" t="e">
        <f t="shared" ca="1" si="69"/>
        <v>#DIV/0!</v>
      </c>
    </row>
    <row r="72" spans="1:41" ht="21.75" hidden="1" customHeight="1">
      <c r="A72" s="147"/>
      <c r="B72" s="148" t="str">
        <f t="shared" si="83"/>
        <v/>
      </c>
      <c r="C72" s="149" t="str">
        <f t="shared" si="70"/>
        <v/>
      </c>
      <c r="D72" s="150" t="str">
        <f t="shared" si="84"/>
        <v/>
      </c>
      <c r="E72" s="149" t="str">
        <f t="shared" si="71"/>
        <v/>
      </c>
      <c r="F72" s="150" t="str">
        <f t="shared" si="85"/>
        <v/>
      </c>
      <c r="G72" s="149" t="str">
        <f t="shared" ca="1" si="72"/>
        <v/>
      </c>
      <c r="H72" s="150" t="str">
        <f t="shared" si="86"/>
        <v/>
      </c>
      <c r="I72" s="149" t="str">
        <f t="shared" ca="1" si="73"/>
        <v/>
      </c>
      <c r="J72" s="150" t="str">
        <f t="shared" si="87"/>
        <v/>
      </c>
      <c r="K72" s="149" t="str">
        <f t="shared" ca="1" si="74"/>
        <v/>
      </c>
      <c r="L72" s="150" t="str">
        <f t="shared" si="88"/>
        <v/>
      </c>
      <c r="M72" s="149" t="str">
        <f t="shared" ca="1" si="42"/>
        <v/>
      </c>
      <c r="N72" s="150" t="str">
        <f t="shared" si="89"/>
        <v/>
      </c>
      <c r="O72" s="149" t="str">
        <f t="shared" ca="1" si="75"/>
        <v/>
      </c>
      <c r="P72" s="150" t="str">
        <f t="shared" si="90"/>
        <v/>
      </c>
      <c r="Q72" s="149" t="str">
        <f t="shared" ca="1" si="76"/>
        <v/>
      </c>
      <c r="R72" s="150" t="str">
        <f t="shared" si="91"/>
        <v/>
      </c>
      <c r="S72" s="149" t="str">
        <f t="shared" ca="1" si="77"/>
        <v/>
      </c>
      <c r="T72" s="150" t="str">
        <f t="shared" si="92"/>
        <v/>
      </c>
      <c r="U72" s="149" t="str">
        <f t="shared" ca="1" si="78"/>
        <v/>
      </c>
      <c r="V72" s="150" t="str">
        <f t="shared" si="93"/>
        <v/>
      </c>
      <c r="W72" s="149" t="str">
        <f t="shared" ca="1" si="79"/>
        <v/>
      </c>
      <c r="X72" s="150" t="str">
        <f t="shared" si="62"/>
        <v/>
      </c>
      <c r="Y72" s="149" t="str">
        <f t="shared" ca="1" si="80"/>
        <v/>
      </c>
      <c r="Z72" s="150" t="str">
        <f t="shared" si="63"/>
        <v/>
      </c>
      <c r="AA72" s="149" t="str">
        <f t="shared" ca="1" si="81"/>
        <v/>
      </c>
      <c r="AB72" s="150" t="str">
        <f t="shared" si="64"/>
        <v/>
      </c>
      <c r="AC72" s="149" t="str">
        <f t="shared" ca="1" si="82"/>
        <v/>
      </c>
      <c r="AD72" s="150" t="str">
        <f t="shared" si="65"/>
        <v/>
      </c>
      <c r="AE72" s="146"/>
      <c r="AF72" s="146"/>
      <c r="AG72" s="146"/>
      <c r="AH72" s="146"/>
      <c r="AI72" s="146"/>
      <c r="AJ72" s="146"/>
      <c r="AL72" s="211" t="e">
        <f t="shared" ca="1" si="66"/>
        <v>#DIV/0!</v>
      </c>
      <c r="AM72" s="70" t="e">
        <f t="shared" ca="1" si="67"/>
        <v>#DIV/0!</v>
      </c>
      <c r="AN72" s="276" t="e">
        <f t="shared" ca="1" si="68"/>
        <v>#DIV/0!</v>
      </c>
      <c r="AO72" s="276" t="e">
        <f t="shared" ca="1" si="69"/>
        <v>#DIV/0!</v>
      </c>
    </row>
    <row r="73" spans="1:41" ht="21.75" hidden="1" customHeight="1">
      <c r="A73" s="147"/>
      <c r="B73" s="148" t="str">
        <f t="shared" si="83"/>
        <v/>
      </c>
      <c r="C73" s="149" t="str">
        <f t="shared" si="70"/>
        <v/>
      </c>
      <c r="D73" s="150" t="str">
        <f t="shared" si="84"/>
        <v/>
      </c>
      <c r="E73" s="149" t="str">
        <f t="shared" si="71"/>
        <v/>
      </c>
      <c r="F73" s="150" t="str">
        <f t="shared" si="85"/>
        <v/>
      </c>
      <c r="G73" s="149" t="str">
        <f t="shared" ca="1" si="72"/>
        <v/>
      </c>
      <c r="H73" s="150" t="str">
        <f t="shared" si="86"/>
        <v/>
      </c>
      <c r="I73" s="149" t="str">
        <f t="shared" ca="1" si="73"/>
        <v/>
      </c>
      <c r="J73" s="150" t="str">
        <f t="shared" si="87"/>
        <v/>
      </c>
      <c r="K73" s="149" t="str">
        <f t="shared" ca="1" si="74"/>
        <v/>
      </c>
      <c r="L73" s="150" t="str">
        <f t="shared" si="88"/>
        <v/>
      </c>
      <c r="M73" s="149" t="str">
        <f t="shared" ca="1" si="42"/>
        <v/>
      </c>
      <c r="N73" s="150" t="str">
        <f t="shared" si="89"/>
        <v/>
      </c>
      <c r="O73" s="149" t="str">
        <f t="shared" ca="1" si="75"/>
        <v/>
      </c>
      <c r="P73" s="150" t="str">
        <f t="shared" si="90"/>
        <v/>
      </c>
      <c r="Q73" s="149" t="str">
        <f t="shared" ca="1" si="76"/>
        <v/>
      </c>
      <c r="R73" s="150" t="str">
        <f t="shared" si="91"/>
        <v/>
      </c>
      <c r="S73" s="149" t="str">
        <f t="shared" ca="1" si="77"/>
        <v/>
      </c>
      <c r="T73" s="150" t="str">
        <f t="shared" si="92"/>
        <v/>
      </c>
      <c r="U73" s="149" t="str">
        <f t="shared" ca="1" si="78"/>
        <v/>
      </c>
      <c r="V73" s="150" t="str">
        <f t="shared" si="93"/>
        <v/>
      </c>
      <c r="W73" s="149" t="str">
        <f t="shared" ca="1" si="79"/>
        <v/>
      </c>
      <c r="X73" s="150" t="str">
        <f t="shared" si="62"/>
        <v/>
      </c>
      <c r="Y73" s="149" t="str">
        <f t="shared" ca="1" si="80"/>
        <v/>
      </c>
      <c r="Z73" s="150" t="str">
        <f t="shared" si="63"/>
        <v/>
      </c>
      <c r="AA73" s="149" t="str">
        <f t="shared" ca="1" si="81"/>
        <v/>
      </c>
      <c r="AB73" s="150" t="str">
        <f t="shared" si="64"/>
        <v/>
      </c>
      <c r="AC73" s="149" t="str">
        <f t="shared" ca="1" si="82"/>
        <v/>
      </c>
      <c r="AD73" s="150" t="str">
        <f t="shared" si="65"/>
        <v/>
      </c>
      <c r="AE73" s="146"/>
      <c r="AF73" s="146"/>
      <c r="AG73" s="146"/>
      <c r="AH73" s="146"/>
      <c r="AI73" s="146"/>
      <c r="AJ73" s="146"/>
      <c r="AL73" s="211" t="e">
        <f t="shared" ca="1" si="66"/>
        <v>#DIV/0!</v>
      </c>
      <c r="AM73" s="70" t="e">
        <f t="shared" ca="1" si="67"/>
        <v>#DIV/0!</v>
      </c>
      <c r="AN73" s="276" t="e">
        <f t="shared" ca="1" si="68"/>
        <v>#DIV/0!</v>
      </c>
      <c r="AO73" s="276" t="e">
        <f t="shared" ca="1" si="69"/>
        <v>#DIV/0!</v>
      </c>
    </row>
    <row r="74" spans="1:41" ht="21.75" hidden="1" customHeight="1">
      <c r="A74" s="147"/>
      <c r="B74" s="148" t="str">
        <f t="shared" si="83"/>
        <v/>
      </c>
      <c r="C74" s="149" t="str">
        <f t="shared" si="70"/>
        <v/>
      </c>
      <c r="D74" s="150" t="str">
        <f t="shared" si="84"/>
        <v/>
      </c>
      <c r="E74" s="149" t="str">
        <f t="shared" si="71"/>
        <v/>
      </c>
      <c r="F74" s="150" t="str">
        <f t="shared" si="85"/>
        <v/>
      </c>
      <c r="G74" s="149" t="str">
        <f t="shared" ca="1" si="72"/>
        <v/>
      </c>
      <c r="H74" s="150" t="str">
        <f t="shared" si="86"/>
        <v/>
      </c>
      <c r="I74" s="149" t="str">
        <f t="shared" ca="1" si="73"/>
        <v/>
      </c>
      <c r="J74" s="150" t="str">
        <f t="shared" si="87"/>
        <v/>
      </c>
      <c r="K74" s="149" t="str">
        <f t="shared" ca="1" si="74"/>
        <v/>
      </c>
      <c r="L74" s="150" t="str">
        <f t="shared" si="88"/>
        <v/>
      </c>
      <c r="M74" s="149" t="str">
        <f t="shared" ca="1" si="42"/>
        <v/>
      </c>
      <c r="N74" s="150" t="str">
        <f t="shared" si="89"/>
        <v/>
      </c>
      <c r="O74" s="149" t="str">
        <f t="shared" ca="1" si="75"/>
        <v/>
      </c>
      <c r="P74" s="150" t="str">
        <f t="shared" si="90"/>
        <v/>
      </c>
      <c r="Q74" s="149" t="str">
        <f t="shared" ca="1" si="76"/>
        <v/>
      </c>
      <c r="R74" s="150" t="str">
        <f t="shared" si="91"/>
        <v/>
      </c>
      <c r="S74" s="149" t="str">
        <f t="shared" ca="1" si="77"/>
        <v/>
      </c>
      <c r="T74" s="150" t="str">
        <f t="shared" si="92"/>
        <v/>
      </c>
      <c r="U74" s="149" t="str">
        <f t="shared" ca="1" si="78"/>
        <v/>
      </c>
      <c r="V74" s="150" t="str">
        <f t="shared" si="93"/>
        <v/>
      </c>
      <c r="W74" s="149" t="str">
        <f t="shared" ca="1" si="79"/>
        <v/>
      </c>
      <c r="X74" s="150" t="str">
        <f t="shared" si="62"/>
        <v/>
      </c>
      <c r="Y74" s="149" t="str">
        <f t="shared" ca="1" si="80"/>
        <v/>
      </c>
      <c r="Z74" s="150" t="str">
        <f t="shared" si="63"/>
        <v/>
      </c>
      <c r="AA74" s="149" t="str">
        <f t="shared" ca="1" si="81"/>
        <v/>
      </c>
      <c r="AB74" s="150" t="str">
        <f t="shared" si="64"/>
        <v/>
      </c>
      <c r="AC74" s="149" t="str">
        <f t="shared" ca="1" si="82"/>
        <v/>
      </c>
      <c r="AD74" s="150" t="str">
        <f t="shared" si="65"/>
        <v/>
      </c>
      <c r="AE74" s="146"/>
      <c r="AF74" s="146"/>
      <c r="AG74" s="146"/>
      <c r="AH74" s="146"/>
      <c r="AI74" s="146"/>
      <c r="AJ74" s="146"/>
      <c r="AL74" s="211" t="e">
        <f t="shared" ca="1" si="66"/>
        <v>#DIV/0!</v>
      </c>
      <c r="AM74" s="70" t="e">
        <f t="shared" ca="1" si="67"/>
        <v>#DIV/0!</v>
      </c>
      <c r="AN74" s="276" t="e">
        <f t="shared" ca="1" si="68"/>
        <v>#DIV/0!</v>
      </c>
      <c r="AO74" s="276" t="e">
        <f t="shared" ca="1" si="69"/>
        <v>#DIV/0!</v>
      </c>
    </row>
    <row r="75" spans="1:41" ht="21.75" hidden="1" customHeight="1">
      <c r="A75" s="147"/>
      <c r="B75" s="148" t="str">
        <f t="shared" si="83"/>
        <v/>
      </c>
      <c r="C75" s="149" t="str">
        <f t="shared" si="70"/>
        <v/>
      </c>
      <c r="D75" s="150" t="str">
        <f t="shared" si="84"/>
        <v/>
      </c>
      <c r="E75" s="149" t="str">
        <f t="shared" si="71"/>
        <v/>
      </c>
      <c r="F75" s="150" t="str">
        <f t="shared" si="85"/>
        <v/>
      </c>
      <c r="G75" s="149" t="str">
        <f t="shared" ca="1" si="72"/>
        <v/>
      </c>
      <c r="H75" s="150" t="str">
        <f t="shared" si="86"/>
        <v/>
      </c>
      <c r="I75" s="149" t="str">
        <f t="shared" ca="1" si="73"/>
        <v/>
      </c>
      <c r="J75" s="150" t="str">
        <f t="shared" si="87"/>
        <v/>
      </c>
      <c r="K75" s="149" t="str">
        <f t="shared" ca="1" si="74"/>
        <v/>
      </c>
      <c r="L75" s="150" t="str">
        <f t="shared" si="88"/>
        <v/>
      </c>
      <c r="M75" s="149" t="str">
        <f t="shared" ca="1" si="42"/>
        <v/>
      </c>
      <c r="N75" s="150" t="str">
        <f t="shared" si="89"/>
        <v/>
      </c>
      <c r="O75" s="149" t="str">
        <f t="shared" ca="1" si="75"/>
        <v/>
      </c>
      <c r="P75" s="150" t="str">
        <f t="shared" si="90"/>
        <v/>
      </c>
      <c r="Q75" s="149" t="str">
        <f t="shared" ca="1" si="76"/>
        <v/>
      </c>
      <c r="R75" s="150" t="str">
        <f t="shared" si="91"/>
        <v/>
      </c>
      <c r="S75" s="149" t="str">
        <f t="shared" ca="1" si="77"/>
        <v/>
      </c>
      <c r="T75" s="150" t="str">
        <f t="shared" si="92"/>
        <v/>
      </c>
      <c r="U75" s="149" t="str">
        <f t="shared" ca="1" si="78"/>
        <v/>
      </c>
      <c r="V75" s="150" t="str">
        <f t="shared" si="93"/>
        <v/>
      </c>
      <c r="W75" s="149" t="str">
        <f t="shared" ca="1" si="79"/>
        <v/>
      </c>
      <c r="X75" s="150" t="str">
        <f t="shared" si="62"/>
        <v/>
      </c>
      <c r="Y75" s="149" t="str">
        <f t="shared" ca="1" si="80"/>
        <v/>
      </c>
      <c r="Z75" s="150" t="str">
        <f t="shared" si="63"/>
        <v/>
      </c>
      <c r="AA75" s="149" t="str">
        <f t="shared" ca="1" si="81"/>
        <v/>
      </c>
      <c r="AB75" s="150" t="str">
        <f t="shared" si="64"/>
        <v/>
      </c>
      <c r="AC75" s="149" t="str">
        <f t="shared" ca="1" si="82"/>
        <v/>
      </c>
      <c r="AD75" s="150" t="str">
        <f t="shared" si="65"/>
        <v/>
      </c>
      <c r="AE75" s="146"/>
      <c r="AF75" s="146"/>
      <c r="AG75" s="146"/>
      <c r="AH75" s="146"/>
      <c r="AI75" s="146"/>
      <c r="AJ75" s="146"/>
      <c r="AL75" s="211" t="e">
        <f t="shared" ca="1" si="66"/>
        <v>#DIV/0!</v>
      </c>
      <c r="AM75" s="70" t="e">
        <f t="shared" ca="1" si="67"/>
        <v>#DIV/0!</v>
      </c>
      <c r="AN75" s="276" t="e">
        <f t="shared" ca="1" si="68"/>
        <v>#DIV/0!</v>
      </c>
      <c r="AO75" s="276" t="e">
        <f t="shared" ca="1" si="69"/>
        <v>#DIV/0!</v>
      </c>
    </row>
    <row r="76" spans="1:41" ht="21.75" hidden="1" customHeight="1">
      <c r="A76" s="147"/>
      <c r="B76" s="148" t="str">
        <f t="shared" si="83"/>
        <v/>
      </c>
      <c r="C76" s="149" t="str">
        <f t="shared" si="70"/>
        <v/>
      </c>
      <c r="D76" s="150" t="str">
        <f t="shared" si="84"/>
        <v/>
      </c>
      <c r="E76" s="149" t="str">
        <f t="shared" si="71"/>
        <v/>
      </c>
      <c r="F76" s="150" t="str">
        <f t="shared" si="85"/>
        <v/>
      </c>
      <c r="G76" s="149" t="str">
        <f t="shared" ca="1" si="72"/>
        <v/>
      </c>
      <c r="H76" s="150" t="str">
        <f t="shared" si="86"/>
        <v/>
      </c>
      <c r="I76" s="149" t="str">
        <f t="shared" ca="1" si="73"/>
        <v/>
      </c>
      <c r="J76" s="150" t="str">
        <f t="shared" si="87"/>
        <v/>
      </c>
      <c r="K76" s="149" t="str">
        <f t="shared" ca="1" si="74"/>
        <v/>
      </c>
      <c r="L76" s="150" t="str">
        <f t="shared" si="88"/>
        <v/>
      </c>
      <c r="M76" s="149" t="str">
        <f t="shared" ca="1" si="42"/>
        <v/>
      </c>
      <c r="N76" s="150" t="str">
        <f t="shared" si="89"/>
        <v/>
      </c>
      <c r="O76" s="149" t="str">
        <f t="shared" ca="1" si="75"/>
        <v/>
      </c>
      <c r="P76" s="150" t="str">
        <f t="shared" si="90"/>
        <v/>
      </c>
      <c r="Q76" s="149" t="str">
        <f t="shared" ca="1" si="76"/>
        <v/>
      </c>
      <c r="R76" s="150" t="str">
        <f t="shared" si="91"/>
        <v/>
      </c>
      <c r="S76" s="149" t="str">
        <f t="shared" ca="1" si="77"/>
        <v/>
      </c>
      <c r="T76" s="150" t="str">
        <f t="shared" si="92"/>
        <v/>
      </c>
      <c r="U76" s="149" t="str">
        <f t="shared" ca="1" si="78"/>
        <v/>
      </c>
      <c r="V76" s="150" t="str">
        <f t="shared" si="93"/>
        <v/>
      </c>
      <c r="W76" s="149" t="str">
        <f t="shared" ca="1" si="79"/>
        <v/>
      </c>
      <c r="X76" s="150" t="str">
        <f t="shared" si="62"/>
        <v/>
      </c>
      <c r="Y76" s="149" t="str">
        <f t="shared" ca="1" si="80"/>
        <v/>
      </c>
      <c r="Z76" s="150" t="str">
        <f t="shared" si="63"/>
        <v/>
      </c>
      <c r="AA76" s="149" t="str">
        <f t="shared" ca="1" si="81"/>
        <v/>
      </c>
      <c r="AB76" s="150" t="str">
        <f t="shared" si="64"/>
        <v/>
      </c>
      <c r="AC76" s="149" t="str">
        <f t="shared" ca="1" si="82"/>
        <v/>
      </c>
      <c r="AD76" s="150" t="str">
        <f t="shared" si="65"/>
        <v/>
      </c>
      <c r="AE76" s="146"/>
      <c r="AF76" s="146"/>
      <c r="AG76" s="146"/>
      <c r="AH76" s="146"/>
      <c r="AI76" s="146"/>
      <c r="AJ76" s="146"/>
      <c r="AL76" s="211" t="e">
        <f t="shared" ca="1" si="66"/>
        <v>#DIV/0!</v>
      </c>
      <c r="AM76" s="70" t="e">
        <f t="shared" ca="1" si="67"/>
        <v>#DIV/0!</v>
      </c>
      <c r="AN76" s="276" t="e">
        <f t="shared" ca="1" si="68"/>
        <v>#DIV/0!</v>
      </c>
      <c r="AO76" s="276" t="e">
        <f t="shared" ca="1" si="69"/>
        <v>#DIV/0!</v>
      </c>
    </row>
    <row r="77" spans="1:41" s="142" customFormat="1" ht="21" hidden="1" customHeight="1">
      <c r="A77" s="147"/>
      <c r="B77" s="148" t="str">
        <f>IF(A77="","",IF($K$4="Media aritmética",ROUND(AVERAGE(C77,E77,G77,I77,K77,M77,O77,Q77,S77,U77,W77,Y77,AA77,AC77,AE77,AG77,AI77),2),ROUND(_xlfn.STDEV.P(C77,E77,G77,I77,K77,M77,O77,Q77,S77,U77,W77,Y77,AA77,AC77,AE77,AG77,AI77),2)))</f>
        <v/>
      </c>
      <c r="C77" s="149" t="str">
        <f t="shared" si="70"/>
        <v/>
      </c>
      <c r="D77" s="150" t="str">
        <f>IF($A77="","",IF(C77="","",IF($K$4="Media aritmética",(C77&lt;=$B77)*($E$5/$B$4)+(C77&gt;$B77)*0,IF(AND(ROUND(AVERAGE($C77,$E77,$G77,$I77,$K77,$M77,$O77,$Q77,$S77,$U77,$W77,$Y77,$AA77,$AC77,$AE77,$AG77,$AI77),2)-$B77/2&lt;=C77,(ROUND(AVERAGE($C77,$E77,$G77,$I77,$K77,$M77,$O77,$Q77,$S77,$U77,$W77,$Y77,$AA77,$AC77,$AE77,$AG77,$AI77),2)+$B77/2&gt;=C77)),($E$5/$B$4),0))))</f>
        <v/>
      </c>
      <c r="E77" s="149" t="str">
        <f t="shared" si="71"/>
        <v/>
      </c>
      <c r="F77" s="150" t="str">
        <f>IF($A77="","",IF(E77="","",IF($K$4="Media aritmética",(E77&lt;=$B77)*($E$5/$B$4)+(E77&gt;$B77)*0,IF(AND(ROUND(AVERAGE($C77,$E77,$G77,$I77,$K77,$M77,$O77,$Q77,$S77,$U77,$W77,$Y77,$AA77,$AC77,$AE77,$AG77,$AI77),2)-$B77/2&lt;=E77,(ROUND(AVERAGE($C77,$E77,$G77,$I77,$K77,$M77,$O77,$Q77,$S77,$U77,$W77,$Y77,$AA77,$AC77,$AE77,$AG77,$AI77),2)+$B77/2&gt;=E77)),($E$5/$B$4),0))))</f>
        <v/>
      </c>
      <c r="G77" s="149" t="str">
        <f t="shared" ca="1" si="72"/>
        <v/>
      </c>
      <c r="H77" s="150" t="str">
        <f>IF($A77="","",IF(G77="","",IF($K$4="Media aritmética",(G77&lt;=$B77)*($E$5/$B$4)+(G77&gt;$B77)*0,IF(AND(ROUND(AVERAGE($C77,$E77,$G77,$I77,$K77,$M77,$O77,$Q77,$S77,$U77,$W77,$Y77,$AA77,$AC77,$AE77,$AG77,$AI77),2)-$B77/2&lt;=G77,(ROUND(AVERAGE($C77,$E77,$G77,$I77,$K77,$M77,$O77,$Q77,$S77,$U77,$W77,$Y77,$AA77,$AC77,$AE77,$AG77,$AI77),2)+$B77/2&gt;=G77)),($E$5/$B$4),0))))</f>
        <v/>
      </c>
      <c r="I77" s="149" t="str">
        <f t="shared" ca="1" si="73"/>
        <v/>
      </c>
      <c r="J77" s="150" t="str">
        <f>IF($A77="","",IF(I77="","",IF($K$4="Media aritmética",(I77&lt;=$B77)*($E$5/$B$4)+(I77&gt;$B77)*0,IF(AND(ROUND(AVERAGE($C77,$E77,$G77,$I77,$K77,$M77,$O77,$Q77,$S77,$U77,$W77,$Y77,$AA77,$AC77,$AE77,$AG77,$AI77),2)-$B77/2&lt;=I77,(ROUND(AVERAGE($C77,$E77,$G77,$I77,$K77,$M77,$O77,$Q77,$S77,$U77,$W77,$Y77,$AA77,$AC77,$AE77,$AG77,$AI77),2)+$B77/2&gt;=I77)),($E$5/$B$4),0))))</f>
        <v/>
      </c>
      <c r="K77" s="149" t="str">
        <f t="shared" ca="1" si="74"/>
        <v/>
      </c>
      <c r="L77" s="150" t="str">
        <f>IF($A77="","",IF(K77="","",IF($K$4="Media aritmética",(K77&lt;=$B77)*($E$5/$B$4)+(K77&gt;$B77)*0,IF(AND(ROUND(AVERAGE($C77,$E77,$G77,$I77,$K77,$M77,$O77,$Q77,$S77,$U77,$W77,$Y77,$AA77,$AC77,$AE77,$AG77,$AI77),2)-$B77/2&lt;=K77,(ROUND(AVERAGE($C77,$E77,$G77,$I77,$K77,$M77,$O77,$Q77,$S77,$U77,$W77,$Y77,$AA77,$AC77,$AE77,$AG77,$AI77),2)+$B77/2&gt;=K77)),($E$5/$B$4),0))))</f>
        <v/>
      </c>
      <c r="M77" s="149" t="str">
        <f t="shared" ca="1" si="42"/>
        <v/>
      </c>
      <c r="N77" s="150" t="str">
        <f>IF($A77="","",IF(M77="","",IF($K$4="Media aritmética",(M77&lt;=$B77)*($E$5/$B$4)+(M77&gt;$B77)*0,IF(AND(ROUND(AVERAGE($C77,$E77,$G77,$I77,$K77,$M77,$O77,$Q77,$S77,$U77,$W77,$Y77,$AA77,$AC77,$AE77,$AG77,$AI77),2)-$B77/2&lt;=M77,(ROUND(AVERAGE($C77,$E77,$G77,$I77,$K77,$M77,$O77,$Q77,$S77,$U77,$W77,$Y77,$AA77,$AC77,$AE77,$AG77,$AI77),2)+$B77/2&gt;=M77)),($E$5/$B$4),0))))</f>
        <v/>
      </c>
      <c r="O77" s="149" t="str">
        <f t="shared" ca="1" si="75"/>
        <v/>
      </c>
      <c r="P77" s="150" t="str">
        <f>IF($A77="","",IF(O77="","",IF($K$4="Media aritmética",(O77&lt;=$B77)*($E$5/$B$4)+(O77&gt;$B77)*0,IF(AND(ROUND(AVERAGE($C77,$E77,$G77,$I77,$K77,$M77,$O77,$Q77,$S77,$U77,$W77,$Y77,$AA77,$AC77,$AE77,$AG77,$AI77),2)-$B77/2&lt;=O77,(ROUND(AVERAGE($C77,$E77,$G77,$I77,$K77,$M77,$O77,$Q77,$S77,$U77,$W77,$Y77,$AA77,$AC77,$AE77,$AG77,$AI77),2)+$B77/2&gt;=O77)),($E$5/$B$4),0))))</f>
        <v/>
      </c>
      <c r="Q77" s="149" t="str">
        <f t="shared" ca="1" si="76"/>
        <v/>
      </c>
      <c r="R77" s="150" t="str">
        <f>IF($A77="","",IF(Q77="","",IF($K$4="Media aritmética",(Q77&lt;=$B77)*($E$5/$B$4)+(Q77&gt;$B77)*0,IF(AND(ROUND(AVERAGE($C77,$E77,$G77,$I77,$K77,$M77,$O77,$Q77,$S77,$U77,$W77,$Y77,$AA77,$AC77,$AE77,$AG77,$AI77),2)-$B77/2&lt;=Q77,(ROUND(AVERAGE($C77,$E77,$G77,$I77,$K77,$M77,$O77,$Q77,$S77,$U77,$W77,$Y77,$AA77,$AC77,$AE77,$AG77,$AI77),2)+$B77/2&gt;=Q77)),($E$5/$B$4),0))))</f>
        <v/>
      </c>
      <c r="S77" s="149" t="str">
        <f t="shared" ca="1" si="77"/>
        <v/>
      </c>
      <c r="T77" s="150" t="str">
        <f>IF($A77="","",IF(S77="","",IF($K$4="Media aritmética",(S77&lt;=$B77)*($E$5/$B$4)+(S77&gt;$B77)*0,IF(AND(ROUND(AVERAGE($C77,$E77,$G77,$I77,$K77,$M77,$O77,$Q77,$S77,$U77,$W77,$Y77,$AA77,$AC77,$AE77,$AG77,$AI77),2)-$B77/2&lt;=S77,(ROUND(AVERAGE($C77,$E77,$G77,$I77,$K77,$M77,$O77,$Q77,$S77,$U77,$W77,$Y77,$AA77,$AC77,$AE77,$AG77,$AI77),2)+$B77/2&gt;=S77)),($E$5/$B$4),0))))</f>
        <v/>
      </c>
      <c r="U77" s="149" t="str">
        <f t="shared" ca="1" si="78"/>
        <v/>
      </c>
      <c r="V77" s="150" t="str">
        <f>IF($A77="","",IF(U77="","",IF($K$4="Media aritmética",(U77&lt;=$B77)*($E$5/$B$4)+(U77&gt;$B77)*0,IF(AND(ROUND(AVERAGE($C77,$E77,$G77,$I77,$K77,$M77,$O77,$Q77,$S77,$U77,$W77,$Y77,$AA77,$AC77,$AE77,$AG77,$AI77),2)-$B77/2&lt;=U77,(ROUND(AVERAGE($C77,$E77,$G77,$I77,$K77,$M77,$O77,$Q77,$S77,$U77,$W77,$Y77,$AA77,$AC77,$AE77,$AG77,$AI77),2)+$B77/2&gt;=U77)),($E$5/$B$4),0))))</f>
        <v/>
      </c>
      <c r="W77" s="149" t="str">
        <f t="shared" ca="1" si="79"/>
        <v/>
      </c>
      <c r="X77" s="150" t="str">
        <f>IF($A77="","",IF(W77="","",IF($K$4="Media aritmética",(W77&lt;=$B77)*($E$5/$B$4)+(W77&gt;$B77)*0,IF(AND(ROUND(AVERAGE($C77,$E77,$G77,$I77,$K77,$M77,$O77,$Q77,$S77,$U77,$W77,$Y77,$AA77,$AC77,$AE77,$AG77,$AI77),2)-$B77/2&lt;=W77,(ROUND(AVERAGE($C77,$E77,$G77,$I77,$K77,$M77,$O77,$Q77,$S77,$U77,$W77,$Y77,$AA77,$AC77,$AE77,$AG77,$AI77),2)+$B77/2&gt;=W77)),($E$5/$B$4),0))))</f>
        <v/>
      </c>
      <c r="Y77" s="149" t="str">
        <f t="shared" ca="1" si="80"/>
        <v/>
      </c>
      <c r="Z77" s="150" t="str">
        <f>IF($A77="","",IF(Y77="","",IF($K$4="Media aritmética",(Y77&lt;=$B77)*($E$5/$B$4)+(Y77&gt;$B77)*0,IF(AND(ROUND(AVERAGE($C77,$E77,$G77,$I77,$K77,$M77,$O77,$Q77,$S77,$U77,$W77,$Y77,$AA77,$AC77,$AE77,$AG77,$AI77),2)-$B77/2&lt;=Y77,(ROUND(AVERAGE($C77,$E77,$G77,$I77,$K77,$M77,$O77,$Q77,$S77,$U77,$W77,$Y77,$AA77,$AC77,$AE77,$AG77,$AI77),2)+$B77/2&gt;=Y77)),($E$5/$B$4),0))))</f>
        <v/>
      </c>
      <c r="AA77" s="149" t="str">
        <f t="shared" ca="1" si="81"/>
        <v/>
      </c>
      <c r="AB77" s="150" t="str">
        <f>IF($A77="","",IF(AA77="","",IF($K$4="Media aritmética",(AA77&lt;=$B77)*($E$5/$B$4)+(AA77&gt;$B77)*0,IF(AND(ROUND(AVERAGE($C77,$E77,$G77,$I77,$K77,$M77,$O77,$Q77,$S77,$U77,$W77,$Y77,$AA77,$AC77,$AE77,$AG77,$AI77),2)-$B77/2&lt;=AA77,(ROUND(AVERAGE($C77,$E77,$G77,$I77,$K77,$M77,$O77,$Q77,$S77,$U77,$W77,$Y77,$AA77,$AC77,$AE77,$AG77,$AI77),2)+$B77/2&gt;=AA77)),($E$5/$B$4),0))))</f>
        <v/>
      </c>
      <c r="AC77" s="149" t="str">
        <f t="shared" ca="1" si="82"/>
        <v/>
      </c>
      <c r="AD77" s="150" t="str">
        <f>IF($A77="","",IF(AC77="","",IF($K$4="Media aritmética",(AC77&lt;=$B77)*($E$5/$B$4)+(AC77&gt;$B77)*0,IF(AND(ROUND(AVERAGE($C77,$E77,$G77,$I77,$K77,$M77,$O77,$Q77,$S77,$U77,$W77,$Y77,$AA77,$AC77,$AE77,$AG77,$AI77),2)-$B77/2&lt;=AC77,(ROUND(AVERAGE($C77,$E77,$G77,$I77,$K77,$M77,$O77,$Q77,$S77,$U77,$W77,$Y77,$AA77,$AC77,$AE77,$AG77,$AI77),2)+$B77/2&gt;=AC77)),($E$5/$B$4),0))))</f>
        <v/>
      </c>
      <c r="AE77" s="149" t="str">
        <f t="shared" ref="AE77:AE101" si="94">IF($AE$8="Habilitado",IF($A77="","",ROUND(VLOOKUP($A77,OFERENTE_15,14,FALSE),2)),"")</f>
        <v/>
      </c>
      <c r="AF77" s="150" t="str">
        <f>IF($A77="","",IF(AE77="","",IF($K$4="Media aritmética",(AE77&lt;=$B77)*($E$5/$B$4)+(AE77&gt;$B77)*0,IF(AND(ROUND(AVERAGE($C77,$E77,$G77,$I77,$K77,$M77,$O77,$Q77,$S77,$U77,$W77,$Y77,$AA77,$AC77,$AE77,$AG77,$AI77),2)-$B77/2&lt;=AE77,(ROUND(AVERAGE($C77,$E77,$G77,$I77,$K77,$M77,$O77,$Q77,$S77,$U77,$W77,$Y77,$AA77,$AC77,$AE77,$AG77,$AI77),2)+$B77/2&gt;=AE77)),($E$5/$B$4),0))))</f>
        <v/>
      </c>
      <c r="AG77" s="149" t="str">
        <f t="shared" ref="AG77:AG101" si="95">IF($AG$8="Habilitado",IF($A77="","",ROUND(VLOOKUP($A77,OFERENTE_16,14,FALSE),2)),"")</f>
        <v/>
      </c>
      <c r="AH77" s="150" t="str">
        <f>IF($A77="","",IF(AG77="","",IF($K$4="Media aritmética",(AG77&lt;=$B77)*($E$5/$B$4)+(AG77&gt;$B77)*0,IF(AND(ROUND(AVERAGE($C77,$E77,$G77,$I77,$K77,$M77,$O77,$Q77,$S77,$U77,$W77,$Y77,$AA77,$AC77,$AE77,$AG77,$AI77),2)-$B77/2&lt;=AG77,(ROUND(AVERAGE($C77,$E77,$G77,$I77,$K77,$M77,$O77,$Q77,$S77,$U77,$W77,$Y77,$AA77,$AC77,$AE77,$AG77,$AI77),2)+$B77/2&gt;=AG77)),($E$5/$B$4),0))))</f>
        <v/>
      </c>
      <c r="AI77" s="149" t="str">
        <f t="shared" ref="AI77:AI101" si="96">IF($AI$8="Habilitado",IF($A77="","",ROUND(VLOOKUP($A77,OFERENTE_17,14,FALSE),2)),"")</f>
        <v/>
      </c>
      <c r="AJ77" s="150" t="str">
        <f>IF($A77="","",IF(AI77="","",IF($K$4="Media aritmética",(AI77&lt;=$B77)*($E$5/$B$4)+(AI77&gt;$B77)*0,IF(AND(ROUND(AVERAGE($C77,$E77,$G77,$I77,$K77,$M77,$O77,$Q77,$S77,$U77,$W77,$Y77,$AA77,$AC77,$AE77,$AG77,$AI77),2)-$B77/2&lt;=AI77,(ROUND(AVERAGE($C77,$E77,$G77,$I77,$K77,$M77,$O77,$Q77,$S77,$U77,$W77,$Y77,$AA77,$AC77,$AE77,$AG77,$AI77),2)+$B77/2&gt;=AI77)),($E$5/$B$4),0))))</f>
        <v/>
      </c>
      <c r="AL77" s="211" t="e">
        <f t="shared" ca="1" si="66"/>
        <v>#DIV/0!</v>
      </c>
      <c r="AM77" s="70" t="e">
        <f t="shared" ca="1" si="67"/>
        <v>#DIV/0!</v>
      </c>
      <c r="AN77" s="276" t="e">
        <f t="shared" ca="1" si="68"/>
        <v>#DIV/0!</v>
      </c>
      <c r="AO77" s="276" t="e">
        <f t="shared" ca="1" si="69"/>
        <v>#DIV/0!</v>
      </c>
    </row>
    <row r="78" spans="1:41" s="142" customFormat="1" ht="21" hidden="1" customHeight="1">
      <c r="A78" s="147"/>
      <c r="B78" s="148" t="str">
        <f t="shared" ref="B78:B101" si="97">IF(A78="","",IF($K$4="Media aritmética",ROUND(AVERAGE(C78,E78,G78,I78,K78,M78,O78,Q78,S78,U78,W78,Y78,AA78,AC78,AE78,AG78,AI78),2),ROUND(_xlfn.STDEV.P(C78,E78,G78,I78,K78,M78,O78,Q78,S78,U78,W78,Y78,AA78,AC78,AE78,AG78,AI78),2)))</f>
        <v/>
      </c>
      <c r="C78" s="149" t="str">
        <f t="shared" si="70"/>
        <v/>
      </c>
      <c r="D78" s="150" t="str">
        <f t="shared" ref="D78:D101" si="98">IF($A78="","",IF(C78="","",IF($K$4="Media aritmética",(C78&lt;=$B78)*($E$5/$B$4)+(C78&gt;$B78)*0,IF(AND(ROUND(AVERAGE($C78,$E78,$G78,$I78,$K78,$M78,$O78,$Q78,$S78,$U78,$W78,$Y78,$AA78,$AC78,$AE78,$AG78,$AI78),2)-$B78/2&lt;=C78,(ROUND(AVERAGE($C78,$E78,$G78,$I78,$K78,$M78,$O78,$Q78,$S78,$U78,$W78,$Y78,$AA78,$AC78,$AE78,$AG78,$AI78),2)+$B78/2&gt;=C78)),($E$5/$B$4),0))))</f>
        <v/>
      </c>
      <c r="E78" s="149" t="str">
        <f t="shared" si="71"/>
        <v/>
      </c>
      <c r="F78" s="150" t="str">
        <f t="shared" ref="F78:F82" si="99">IF($A78="","",IF(E78="","",IF($K$4="Media aritmética",(E78&lt;=$B78)*($E$5/$B$4)+(E78&gt;$B78)*0,IF(AND(ROUND(AVERAGE($C78,$E78,$G78,$I78,$K78,$M78,$O78,$Q78,$S78,$U78,$W78,$Y78,$AA78,$AC78,$AE78,$AG78,$AI78),2)-$B78/2&lt;=E78,(ROUND(AVERAGE($C78,$E78,$G78,$I78,$K78,$M78,$O78,$Q78,$S78,$U78,$W78,$Y78,$AA78,$AC78,$AE78,$AG78,$AI78),2)+$B78/2&gt;=E78)),($E$5/$B$4),0))))</f>
        <v/>
      </c>
      <c r="G78" s="149" t="str">
        <f t="shared" ca="1" si="72"/>
        <v/>
      </c>
      <c r="H78" s="150" t="str">
        <f t="shared" ref="H78:H101" si="100">IF($A78="","",IF(G78="","",IF($K$4="Media aritmética",(G78&lt;=$B78)*($E$5/$B$4)+(G78&gt;$B78)*0,IF(AND(ROUND(AVERAGE($C78,$E78,$G78,$I78,$K78,$M78,$O78,$Q78,$S78,$U78,$W78,$Y78,$AA78,$AC78,$AE78,$AG78,$AI78),2)-$B78/2&lt;=G78,(ROUND(AVERAGE($C78,$E78,$G78,$I78,$K78,$M78,$O78,$Q78,$S78,$U78,$W78,$Y78,$AA78,$AC78,$AE78,$AG78,$AI78),2)+$B78/2&gt;=G78)),($E$5/$B$4),0))))</f>
        <v/>
      </c>
      <c r="I78" s="149" t="str">
        <f t="shared" ca="1" si="73"/>
        <v/>
      </c>
      <c r="J78" s="150" t="str">
        <f t="shared" ref="J78:J101" si="101">IF($A78="","",IF(I78="","",IF($K$4="Media aritmética",(I78&lt;=$B78)*($E$5/$B$4)+(I78&gt;$B78)*0,IF(AND(ROUND(AVERAGE($C78,$E78,$G78,$I78,$K78,$M78,$O78,$Q78,$S78,$U78,$W78,$Y78,$AA78,$AC78,$AE78,$AG78,$AI78),2)-$B78/2&lt;=I78,(ROUND(AVERAGE($C78,$E78,$G78,$I78,$K78,$M78,$O78,$Q78,$S78,$U78,$W78,$Y78,$AA78,$AC78,$AE78,$AG78,$AI78),2)+$B78/2&gt;=I78)),($E$5/$B$4),0))))</f>
        <v/>
      </c>
      <c r="K78" s="149" t="str">
        <f t="shared" ca="1" si="74"/>
        <v/>
      </c>
      <c r="L78" s="150" t="str">
        <f t="shared" ref="L78:L101" si="102">IF($A78="","",IF(K78="","",IF($K$4="Media aritmética",(K78&lt;=$B78)*($E$5/$B$4)+(K78&gt;$B78)*0,IF(AND(ROUND(AVERAGE($C78,$E78,$G78,$I78,$K78,$M78,$O78,$Q78,$S78,$U78,$W78,$Y78,$AA78,$AC78,$AE78,$AG78,$AI78),2)-$B78/2&lt;=K78,(ROUND(AVERAGE($C78,$E78,$G78,$I78,$K78,$M78,$O78,$Q78,$S78,$U78,$W78,$Y78,$AA78,$AC78,$AE78,$AG78,$AI78),2)+$B78/2&gt;=K78)),($E$5/$B$4),0))))</f>
        <v/>
      </c>
      <c r="M78" s="149" t="str">
        <f t="shared" ref="M78:M92" ca="1" si="103">IF($M$8="Habilitado",IF($A78="","",ROUND(VLOOKUP($A78,OFERENTE_6,15,FALSE),2)),"")</f>
        <v/>
      </c>
      <c r="N78" s="150" t="str">
        <f t="shared" ref="N78:N101" si="104">IF($A78="","",IF(M78="","",IF($K$4="Media aritmética",(M78&lt;=$B78)*($E$5/$B$4)+(M78&gt;$B78)*0,IF(AND(ROUND(AVERAGE($C78,$E78,$G78,$I78,$K78,$M78,$O78,$Q78,$S78,$U78,$W78,$Y78,$AA78,$AC78,$AE78,$AG78,$AI78),2)-$B78/2&lt;=M78,(ROUND(AVERAGE($C78,$E78,$G78,$I78,$K78,$M78,$O78,$Q78,$S78,$U78,$W78,$Y78,$AA78,$AC78,$AE78,$AG78,$AI78),2)+$B78/2&gt;=M78)),($E$5/$B$4),0))))</f>
        <v/>
      </c>
      <c r="O78" s="149" t="str">
        <f t="shared" ca="1" si="75"/>
        <v/>
      </c>
      <c r="P78" s="150" t="str">
        <f t="shared" ref="P78:P101" si="105">IF($A78="","",IF(O78="","",IF($K$4="Media aritmética",(O78&lt;=$B78)*($E$5/$B$4)+(O78&gt;$B78)*0,IF(AND(ROUND(AVERAGE($C78,$E78,$G78,$I78,$K78,$M78,$O78,$Q78,$S78,$U78,$W78,$Y78,$AA78,$AC78,$AE78,$AG78,$AI78),2)-$B78/2&lt;=O78,(ROUND(AVERAGE($C78,$E78,$G78,$I78,$K78,$M78,$O78,$Q78,$S78,$U78,$W78,$Y78,$AA78,$AC78,$AE78,$AG78,$AI78),2)+$B78/2&gt;=O78)),($E$5/$B$4),0))))</f>
        <v/>
      </c>
      <c r="Q78" s="149" t="str">
        <f t="shared" ref="Q78:Q92" ca="1" si="106">IF($Q$8="Habilitado",IF($A78="","",ROUND(VLOOKUP($A78,OFERENTE_8,15,FALSE),2)),"")</f>
        <v/>
      </c>
      <c r="R78" s="150" t="str">
        <f t="shared" ref="R78:R101" si="107">IF($A78="","",IF(Q78="","",IF($K$4="Media aritmética",(Q78&lt;=$B78)*($E$5/$B$4)+(Q78&gt;$B78)*0,IF(AND(ROUND(AVERAGE($C78,$E78,$G78,$I78,$K78,$M78,$O78,$Q78,$S78,$U78,$W78,$Y78,$AA78,$AC78,$AE78,$AG78,$AI78),2)-$B78/2&lt;=Q78,(ROUND(AVERAGE($C78,$E78,$G78,$I78,$K78,$M78,$O78,$Q78,$S78,$U78,$W78,$Y78,$AA78,$AC78,$AE78,$AG78,$AI78),2)+$B78/2&gt;=Q78)),($E$5/$B$4),0))))</f>
        <v/>
      </c>
      <c r="S78" s="149" t="str">
        <f t="shared" ref="S78:S92" ca="1" si="108">IF($S$8="Habilitado",IF($A78="","",ROUND(VLOOKUP($A78,OFERENTE_9,15,FALSE),2)),"")</f>
        <v/>
      </c>
      <c r="T78" s="150" t="str">
        <f t="shared" ref="T78:T101" si="109">IF($A78="","",IF(S78="","",IF($K$4="Media aritmética",(S78&lt;=$B78)*($E$5/$B$4)+(S78&gt;$B78)*0,IF(AND(ROUND(AVERAGE($C78,$E78,$G78,$I78,$K78,$M78,$O78,$Q78,$S78,$U78,$W78,$Y78,$AA78,$AC78,$AE78,$AG78,$AI78),2)-$B78/2&lt;=S78,(ROUND(AVERAGE($C78,$E78,$G78,$I78,$K78,$M78,$O78,$Q78,$S78,$U78,$W78,$Y78,$AA78,$AC78,$AE78,$AG78,$AI78),2)+$B78/2&gt;=S78)),($E$5/$B$4),0))))</f>
        <v/>
      </c>
      <c r="U78" s="149" t="str">
        <f t="shared" ref="U78:U92" ca="1" si="110">IF($U$8="Habilitado",IF($A78="","",ROUND(VLOOKUP($A78,OFERENTE_10,15,FALSE),2)),"")</f>
        <v/>
      </c>
      <c r="V78" s="150" t="str">
        <f t="shared" ref="V78:V101" si="111">IF($A78="","",IF(U78="","",IF($K$4="Media aritmética",(U78&lt;=$B78)*($E$5/$B$4)+(U78&gt;$B78)*0,IF(AND(ROUND(AVERAGE($C78,$E78,$G78,$I78,$K78,$M78,$O78,$Q78,$S78,$U78,$W78,$Y78,$AA78,$AC78,$AE78,$AG78,$AI78),2)-$B78/2&lt;=U78,(ROUND(AVERAGE($C78,$E78,$G78,$I78,$K78,$M78,$O78,$Q78,$S78,$U78,$W78,$Y78,$AA78,$AC78,$AE78,$AG78,$AI78),2)+$B78/2&gt;=U78)),($E$5/$B$4),0))))</f>
        <v/>
      </c>
      <c r="W78" s="149" t="str">
        <f t="shared" ref="W78:W83" ca="1" si="112">IF($W$8="Habilitado",IF($A78="","",ROUND(VLOOKUP($A78,OFERENTE_11,15,FALSE),2)),"")</f>
        <v/>
      </c>
      <c r="X78" s="150" t="str">
        <f t="shared" ref="X78:X101" si="113">IF($A78="","",IF(W78="","",IF($K$4="Media aritmética",(W78&lt;=$B78)*($E$5/$B$4)+(W78&gt;$B78)*0,IF(AND(ROUND(AVERAGE($C78,$E78,$G78,$I78,$K78,$M78,$O78,$Q78,$S78,$U78,$W78,$Y78,$AA78,$AC78,$AE78,$AG78,$AI78),2)-$B78/2&lt;=W78,(ROUND(AVERAGE($C78,$E78,$G78,$I78,$K78,$M78,$O78,$Q78,$S78,$U78,$W78,$Y78,$AA78,$AC78,$AE78,$AG78,$AI78),2)+$B78/2&gt;=W78)),($E$5/$B$4),0))))</f>
        <v/>
      </c>
      <c r="Y78" s="149" t="str">
        <f t="shared" ref="Y78:Y83" ca="1" si="114">IF($Y$8="Habilitado",IF($A78="","",ROUND(VLOOKUP($A78,OFERENTE_12,15,FALSE),2)),"")</f>
        <v/>
      </c>
      <c r="Z78" s="150" t="str">
        <f t="shared" ref="Z78:Z101" si="115">IF($A78="","",IF(Y78="","",IF($K$4="Media aritmética",(Y78&lt;=$B78)*($E$5/$B$4)+(Y78&gt;$B78)*0,IF(AND(ROUND(AVERAGE($C78,$E78,$G78,$I78,$K78,$M78,$O78,$Q78,$S78,$U78,$W78,$Y78,$AA78,$AC78,$AE78,$AG78,$AI78),2)-$B78/2&lt;=Y78,(ROUND(AVERAGE($C78,$E78,$G78,$I78,$K78,$M78,$O78,$Q78,$S78,$U78,$W78,$Y78,$AA78,$AC78,$AE78,$AG78,$AI78),2)+$B78/2&gt;=Y78)),($E$5/$B$4),0))))</f>
        <v/>
      </c>
      <c r="AA78" s="149" t="str">
        <f t="shared" ref="AA78:AA83" ca="1" si="116">IF($AA$8="Habilitado",IF($A78="","",ROUND(VLOOKUP($A78,OFERENTE_13,15,FALSE),2)),"")</f>
        <v/>
      </c>
      <c r="AB78" s="150" t="str">
        <f t="shared" ref="AB78:AB101" si="117">IF($A78="","",IF(AA78="","",IF($K$4="Media aritmética",(AA78&lt;=$B78)*($E$5/$B$4)+(AA78&gt;$B78)*0,IF(AND(ROUND(AVERAGE($C78,$E78,$G78,$I78,$K78,$M78,$O78,$Q78,$S78,$U78,$W78,$Y78,$AA78,$AC78,$AE78,$AG78,$AI78),2)-$B78/2&lt;=AA78,(ROUND(AVERAGE($C78,$E78,$G78,$I78,$K78,$M78,$O78,$Q78,$S78,$U78,$W78,$Y78,$AA78,$AC78,$AE78,$AG78,$AI78),2)+$B78/2&gt;=AA78)),($E$5/$B$4),0))))</f>
        <v/>
      </c>
      <c r="AC78" s="149" t="str">
        <f t="shared" ref="AC78:AC83" ca="1" si="118">IF($AC$8="Habilitado",IF($A78="","",ROUND(VLOOKUP($A78,OFERENTE_14,15,FALSE),2)),"")</f>
        <v/>
      </c>
      <c r="AD78" s="150" t="str">
        <f t="shared" ref="AD78:AD101" si="119">IF($A78="","",IF(AC78="","",IF($K$4="Media aritmética",(AC78&lt;=$B78)*($E$5/$B$4)+(AC78&gt;$B78)*0,IF(AND(ROUND(AVERAGE($C78,$E78,$G78,$I78,$K78,$M78,$O78,$Q78,$S78,$U78,$W78,$Y78,$AA78,$AC78,$AE78,$AG78,$AI78),2)-$B78/2&lt;=AC78,(ROUND(AVERAGE($C78,$E78,$G78,$I78,$K78,$M78,$O78,$Q78,$S78,$U78,$W78,$Y78,$AA78,$AC78,$AE78,$AG78,$AI78),2)+$B78/2&gt;=AC78)),($E$5/$B$4),0))))</f>
        <v/>
      </c>
      <c r="AE78" s="149" t="str">
        <f t="shared" si="94"/>
        <v/>
      </c>
      <c r="AF78" s="150" t="str">
        <f t="shared" ref="AF78:AF101" si="120">IF($A78="","",IF(AE78="","",IF($K$4="Media aritmética",(AE78&lt;=$B78)*($E$5/$B$4)+(AE78&gt;$B78)*0,IF(AND(ROUND(AVERAGE($C78,$E78,$G78,$I78,$K78,$M78,$O78,$Q78,$S78,$U78,$W78,$Y78,$AA78,$AC78,$AE78,$AG78,$AI78),2)-$B78/2&lt;=AE78,(ROUND(AVERAGE($C78,$E78,$G78,$I78,$K78,$M78,$O78,$Q78,$S78,$U78,$W78,$Y78,$AA78,$AC78,$AE78,$AG78,$AI78),2)+$B78/2&gt;=AE78)),($E$5/$B$4),0))))</f>
        <v/>
      </c>
      <c r="AG78" s="149" t="str">
        <f t="shared" si="95"/>
        <v/>
      </c>
      <c r="AH78" s="150" t="str">
        <f t="shared" ref="AH78:AH101" si="121">IF($A78="","",IF(AG78="","",IF($K$4="Media aritmética",(AG78&lt;=$B78)*($E$5/$B$4)+(AG78&gt;$B78)*0,IF(AND(ROUND(AVERAGE($C78,$E78,$G78,$I78,$K78,$M78,$O78,$Q78,$S78,$U78,$W78,$Y78,$AA78,$AC78,$AE78,$AG78,$AI78),2)-$B78/2&lt;=AG78,(ROUND(AVERAGE($C78,$E78,$G78,$I78,$K78,$M78,$O78,$Q78,$S78,$U78,$W78,$Y78,$AA78,$AC78,$AE78,$AG78,$AI78),2)+$B78/2&gt;=AG78)),($E$5/$B$4),0))))</f>
        <v/>
      </c>
      <c r="AI78" s="149" t="str">
        <f t="shared" si="96"/>
        <v/>
      </c>
      <c r="AJ78" s="150" t="str">
        <f t="shared" ref="AJ78:AJ101" si="122">IF($A78="","",IF(AI78="","",IF($K$4="Media aritmética",(AI78&lt;=$B78)*($E$5/$B$4)+(AI78&gt;$B78)*0,IF(AND(ROUND(AVERAGE($C78,$E78,$G78,$I78,$K78,$M78,$O78,$Q78,$S78,$U78,$W78,$Y78,$AA78,$AC78,$AE78,$AG78,$AI78),2)-$B78/2&lt;=AI78,(ROUND(AVERAGE($C78,$E78,$G78,$I78,$K78,$M78,$O78,$Q78,$S78,$U78,$W78,$Y78,$AA78,$AC78,$AE78,$AG78,$AI78),2)+$B78/2&gt;=AI78)),($E$5/$B$4),0))))</f>
        <v/>
      </c>
      <c r="AL78" s="211" t="e">
        <f t="shared" ca="1" si="66"/>
        <v>#DIV/0!</v>
      </c>
      <c r="AM78" s="70" t="e">
        <f t="shared" ca="1" si="67"/>
        <v>#DIV/0!</v>
      </c>
      <c r="AN78" s="276" t="e">
        <f t="shared" ca="1" si="68"/>
        <v>#DIV/0!</v>
      </c>
      <c r="AO78" s="276" t="e">
        <f t="shared" ca="1" si="69"/>
        <v>#DIV/0!</v>
      </c>
    </row>
    <row r="79" spans="1:41" s="142" customFormat="1" ht="21" hidden="1" customHeight="1">
      <c r="A79" s="147"/>
      <c r="B79" s="148" t="str">
        <f t="shared" si="97"/>
        <v/>
      </c>
      <c r="C79" s="149" t="str">
        <f t="shared" si="70"/>
        <v/>
      </c>
      <c r="D79" s="150" t="str">
        <f t="shared" si="98"/>
        <v/>
      </c>
      <c r="E79" s="149" t="str">
        <f t="shared" si="71"/>
        <v/>
      </c>
      <c r="F79" s="150" t="str">
        <f t="shared" si="99"/>
        <v/>
      </c>
      <c r="G79" s="149" t="str">
        <f t="shared" ca="1" si="72"/>
        <v/>
      </c>
      <c r="H79" s="150" t="str">
        <f t="shared" si="100"/>
        <v/>
      </c>
      <c r="I79" s="149" t="str">
        <f t="shared" ca="1" si="73"/>
        <v/>
      </c>
      <c r="J79" s="150" t="str">
        <f t="shared" si="101"/>
        <v/>
      </c>
      <c r="K79" s="149" t="str">
        <f t="shared" ca="1" si="74"/>
        <v/>
      </c>
      <c r="L79" s="150" t="str">
        <f t="shared" si="102"/>
        <v/>
      </c>
      <c r="M79" s="149" t="str">
        <f t="shared" ca="1" si="103"/>
        <v/>
      </c>
      <c r="N79" s="150" t="str">
        <f t="shared" si="104"/>
        <v/>
      </c>
      <c r="O79" s="149" t="str">
        <f t="shared" ca="1" si="75"/>
        <v/>
      </c>
      <c r="P79" s="150" t="str">
        <f t="shared" si="105"/>
        <v/>
      </c>
      <c r="Q79" s="149" t="str">
        <f t="shared" ca="1" si="106"/>
        <v/>
      </c>
      <c r="R79" s="150" t="str">
        <f t="shared" si="107"/>
        <v/>
      </c>
      <c r="S79" s="149" t="str">
        <f t="shared" ca="1" si="108"/>
        <v/>
      </c>
      <c r="T79" s="150" t="str">
        <f t="shared" si="109"/>
        <v/>
      </c>
      <c r="U79" s="149" t="str">
        <f t="shared" ca="1" si="110"/>
        <v/>
      </c>
      <c r="V79" s="150" t="str">
        <f t="shared" si="111"/>
        <v/>
      </c>
      <c r="W79" s="149" t="str">
        <f t="shared" ca="1" si="112"/>
        <v/>
      </c>
      <c r="X79" s="150" t="str">
        <f t="shared" si="113"/>
        <v/>
      </c>
      <c r="Y79" s="149" t="str">
        <f t="shared" ca="1" si="114"/>
        <v/>
      </c>
      <c r="Z79" s="150" t="str">
        <f t="shared" si="115"/>
        <v/>
      </c>
      <c r="AA79" s="149" t="str">
        <f t="shared" ca="1" si="116"/>
        <v/>
      </c>
      <c r="AB79" s="150" t="str">
        <f t="shared" si="117"/>
        <v/>
      </c>
      <c r="AC79" s="149" t="str">
        <f t="shared" ca="1" si="118"/>
        <v/>
      </c>
      <c r="AD79" s="150" t="str">
        <f t="shared" si="119"/>
        <v/>
      </c>
      <c r="AE79" s="149" t="str">
        <f t="shared" si="94"/>
        <v/>
      </c>
      <c r="AF79" s="150" t="str">
        <f t="shared" si="120"/>
        <v/>
      </c>
      <c r="AG79" s="149" t="str">
        <f t="shared" si="95"/>
        <v/>
      </c>
      <c r="AH79" s="150" t="str">
        <f t="shared" si="121"/>
        <v/>
      </c>
      <c r="AI79" s="149" t="str">
        <f t="shared" si="96"/>
        <v/>
      </c>
      <c r="AJ79" s="150" t="str">
        <f t="shared" si="122"/>
        <v/>
      </c>
      <c r="AL79" s="211" t="e">
        <f t="shared" ref="AL79:AL101" ca="1" si="123">AVERAGE(C79,E79,G79,I79,K79,M79,O79,Q79,S79,U79,W79,Y79,AC79)</f>
        <v>#DIV/0!</v>
      </c>
      <c r="AM79" s="70" t="e">
        <f t="shared" ref="AM79:AM101" ca="1" si="124">_xlfn.STDEV.P(C79,E79,G79,I79,K79,M79,O79,Q79,S79,U79,W79,Y79,AC79)</f>
        <v>#DIV/0!</v>
      </c>
      <c r="AN79" s="276" t="e">
        <f t="shared" ref="AN79:AN101" ca="1" si="125">AL79+(AM79/2)</f>
        <v>#DIV/0!</v>
      </c>
      <c r="AO79" s="276" t="e">
        <f t="shared" ref="AO79:AO101" ca="1" si="126">AL79-(AM79/2)</f>
        <v>#DIV/0!</v>
      </c>
    </row>
    <row r="80" spans="1:41" s="142" customFormat="1" ht="21" hidden="1" customHeight="1">
      <c r="A80" s="147"/>
      <c r="B80" s="148" t="str">
        <f t="shared" si="97"/>
        <v/>
      </c>
      <c r="C80" s="149" t="str">
        <f t="shared" si="70"/>
        <v/>
      </c>
      <c r="D80" s="150" t="str">
        <f t="shared" si="98"/>
        <v/>
      </c>
      <c r="E80" s="149" t="str">
        <f t="shared" si="71"/>
        <v/>
      </c>
      <c r="F80" s="150" t="str">
        <f t="shared" si="99"/>
        <v/>
      </c>
      <c r="G80" s="149" t="str">
        <f t="shared" ca="1" si="72"/>
        <v/>
      </c>
      <c r="H80" s="150" t="str">
        <f t="shared" si="100"/>
        <v/>
      </c>
      <c r="I80" s="149" t="str">
        <f t="shared" ca="1" si="73"/>
        <v/>
      </c>
      <c r="J80" s="150" t="str">
        <f t="shared" si="101"/>
        <v/>
      </c>
      <c r="K80" s="149" t="str">
        <f t="shared" ca="1" si="74"/>
        <v/>
      </c>
      <c r="L80" s="150" t="str">
        <f t="shared" si="102"/>
        <v/>
      </c>
      <c r="M80" s="149" t="str">
        <f t="shared" ca="1" si="103"/>
        <v/>
      </c>
      <c r="N80" s="150" t="str">
        <f t="shared" si="104"/>
        <v/>
      </c>
      <c r="O80" s="149" t="str">
        <f t="shared" ca="1" si="75"/>
        <v/>
      </c>
      <c r="P80" s="150" t="str">
        <f t="shared" si="105"/>
        <v/>
      </c>
      <c r="Q80" s="149" t="str">
        <f t="shared" ca="1" si="106"/>
        <v/>
      </c>
      <c r="R80" s="150" t="str">
        <f t="shared" si="107"/>
        <v/>
      </c>
      <c r="S80" s="149" t="str">
        <f t="shared" ca="1" si="108"/>
        <v/>
      </c>
      <c r="T80" s="150" t="str">
        <f t="shared" si="109"/>
        <v/>
      </c>
      <c r="U80" s="149" t="str">
        <f t="shared" ca="1" si="110"/>
        <v/>
      </c>
      <c r="V80" s="150" t="str">
        <f t="shared" si="111"/>
        <v/>
      </c>
      <c r="W80" s="149" t="str">
        <f t="shared" ca="1" si="112"/>
        <v/>
      </c>
      <c r="X80" s="150" t="str">
        <f t="shared" si="113"/>
        <v/>
      </c>
      <c r="Y80" s="149" t="str">
        <f t="shared" ca="1" si="114"/>
        <v/>
      </c>
      <c r="Z80" s="150" t="str">
        <f t="shared" si="115"/>
        <v/>
      </c>
      <c r="AA80" s="149" t="str">
        <f t="shared" ca="1" si="116"/>
        <v/>
      </c>
      <c r="AB80" s="150" t="str">
        <f t="shared" si="117"/>
        <v/>
      </c>
      <c r="AC80" s="149" t="str">
        <f t="shared" ca="1" si="118"/>
        <v/>
      </c>
      <c r="AD80" s="150" t="str">
        <f t="shared" si="119"/>
        <v/>
      </c>
      <c r="AE80" s="149" t="str">
        <f t="shared" si="94"/>
        <v/>
      </c>
      <c r="AF80" s="150" t="str">
        <f t="shared" si="120"/>
        <v/>
      </c>
      <c r="AG80" s="149" t="str">
        <f t="shared" si="95"/>
        <v/>
      </c>
      <c r="AH80" s="150" t="str">
        <f t="shared" si="121"/>
        <v/>
      </c>
      <c r="AI80" s="149" t="str">
        <f t="shared" si="96"/>
        <v/>
      </c>
      <c r="AJ80" s="150" t="str">
        <f t="shared" si="122"/>
        <v/>
      </c>
      <c r="AL80" s="211" t="e">
        <f t="shared" ca="1" si="123"/>
        <v>#DIV/0!</v>
      </c>
      <c r="AM80" s="70" t="e">
        <f t="shared" ca="1" si="124"/>
        <v>#DIV/0!</v>
      </c>
      <c r="AN80" s="276" t="e">
        <f t="shared" ca="1" si="125"/>
        <v>#DIV/0!</v>
      </c>
      <c r="AO80" s="276" t="e">
        <f t="shared" ca="1" si="126"/>
        <v>#DIV/0!</v>
      </c>
    </row>
    <row r="81" spans="1:41" s="142" customFormat="1" ht="21" hidden="1" customHeight="1">
      <c r="A81" s="147"/>
      <c r="B81" s="148" t="str">
        <f t="shared" si="97"/>
        <v/>
      </c>
      <c r="C81" s="149" t="str">
        <f t="shared" si="70"/>
        <v/>
      </c>
      <c r="D81" s="150" t="str">
        <f t="shared" si="98"/>
        <v/>
      </c>
      <c r="E81" s="149" t="str">
        <f t="shared" si="71"/>
        <v/>
      </c>
      <c r="F81" s="150" t="str">
        <f t="shared" si="99"/>
        <v/>
      </c>
      <c r="G81" s="149" t="str">
        <f t="shared" ca="1" si="72"/>
        <v/>
      </c>
      <c r="H81" s="150" t="str">
        <f t="shared" si="100"/>
        <v/>
      </c>
      <c r="I81" s="149" t="str">
        <f t="shared" ca="1" si="73"/>
        <v/>
      </c>
      <c r="J81" s="150" t="str">
        <f t="shared" si="101"/>
        <v/>
      </c>
      <c r="K81" s="149" t="str">
        <f t="shared" ca="1" si="74"/>
        <v/>
      </c>
      <c r="L81" s="150" t="str">
        <f t="shared" si="102"/>
        <v/>
      </c>
      <c r="M81" s="149" t="str">
        <f t="shared" ca="1" si="103"/>
        <v/>
      </c>
      <c r="N81" s="150" t="str">
        <f t="shared" si="104"/>
        <v/>
      </c>
      <c r="O81" s="149" t="str">
        <f t="shared" ca="1" si="75"/>
        <v/>
      </c>
      <c r="P81" s="150" t="str">
        <f t="shared" si="105"/>
        <v/>
      </c>
      <c r="Q81" s="149" t="str">
        <f t="shared" ca="1" si="106"/>
        <v/>
      </c>
      <c r="R81" s="150" t="str">
        <f t="shared" si="107"/>
        <v/>
      </c>
      <c r="S81" s="149" t="str">
        <f t="shared" ca="1" si="108"/>
        <v/>
      </c>
      <c r="T81" s="150" t="str">
        <f t="shared" si="109"/>
        <v/>
      </c>
      <c r="U81" s="149" t="str">
        <f t="shared" ca="1" si="110"/>
        <v/>
      </c>
      <c r="V81" s="150" t="str">
        <f t="shared" si="111"/>
        <v/>
      </c>
      <c r="W81" s="149" t="str">
        <f t="shared" ca="1" si="112"/>
        <v/>
      </c>
      <c r="X81" s="150" t="str">
        <f t="shared" si="113"/>
        <v/>
      </c>
      <c r="Y81" s="149" t="str">
        <f t="shared" ca="1" si="114"/>
        <v/>
      </c>
      <c r="Z81" s="150" t="str">
        <f t="shared" si="115"/>
        <v/>
      </c>
      <c r="AA81" s="149" t="str">
        <f t="shared" ca="1" si="116"/>
        <v/>
      </c>
      <c r="AB81" s="150" t="str">
        <f t="shared" si="117"/>
        <v/>
      </c>
      <c r="AC81" s="149" t="str">
        <f t="shared" ca="1" si="118"/>
        <v/>
      </c>
      <c r="AD81" s="150" t="str">
        <f t="shared" si="119"/>
        <v/>
      </c>
      <c r="AE81" s="149" t="str">
        <f t="shared" si="94"/>
        <v/>
      </c>
      <c r="AF81" s="150" t="str">
        <f t="shared" si="120"/>
        <v/>
      </c>
      <c r="AG81" s="149" t="str">
        <f t="shared" si="95"/>
        <v/>
      </c>
      <c r="AH81" s="150" t="str">
        <f t="shared" si="121"/>
        <v/>
      </c>
      <c r="AI81" s="149" t="str">
        <f t="shared" si="96"/>
        <v/>
      </c>
      <c r="AJ81" s="150" t="str">
        <f t="shared" si="122"/>
        <v/>
      </c>
      <c r="AL81" s="211" t="e">
        <f t="shared" ca="1" si="123"/>
        <v>#DIV/0!</v>
      </c>
      <c r="AM81" s="70" t="e">
        <f t="shared" ca="1" si="124"/>
        <v>#DIV/0!</v>
      </c>
      <c r="AN81" s="276" t="e">
        <f t="shared" ca="1" si="125"/>
        <v>#DIV/0!</v>
      </c>
      <c r="AO81" s="276" t="e">
        <f t="shared" ca="1" si="126"/>
        <v>#DIV/0!</v>
      </c>
    </row>
    <row r="82" spans="1:41" s="142" customFormat="1" ht="21" hidden="1" customHeight="1">
      <c r="A82" s="147"/>
      <c r="B82" s="148" t="str">
        <f t="shared" si="97"/>
        <v/>
      </c>
      <c r="C82" s="149" t="str">
        <f t="shared" si="70"/>
        <v/>
      </c>
      <c r="D82" s="150" t="str">
        <f t="shared" si="98"/>
        <v/>
      </c>
      <c r="E82" s="149" t="str">
        <f t="shared" si="71"/>
        <v/>
      </c>
      <c r="F82" s="150" t="str">
        <f t="shared" si="99"/>
        <v/>
      </c>
      <c r="G82" s="149" t="str">
        <f t="shared" ca="1" si="72"/>
        <v/>
      </c>
      <c r="H82" s="150" t="str">
        <f t="shared" si="100"/>
        <v/>
      </c>
      <c r="I82" s="149" t="str">
        <f t="shared" ca="1" si="73"/>
        <v/>
      </c>
      <c r="J82" s="150" t="str">
        <f t="shared" si="101"/>
        <v/>
      </c>
      <c r="K82" s="149" t="str">
        <f t="shared" ca="1" si="74"/>
        <v/>
      </c>
      <c r="L82" s="150" t="str">
        <f t="shared" si="102"/>
        <v/>
      </c>
      <c r="M82" s="149" t="str">
        <f t="shared" ca="1" si="103"/>
        <v/>
      </c>
      <c r="N82" s="150" t="str">
        <f t="shared" si="104"/>
        <v/>
      </c>
      <c r="O82" s="149" t="str">
        <f t="shared" ca="1" si="75"/>
        <v/>
      </c>
      <c r="P82" s="150" t="str">
        <f t="shared" si="105"/>
        <v/>
      </c>
      <c r="Q82" s="149" t="str">
        <f t="shared" ca="1" si="106"/>
        <v/>
      </c>
      <c r="R82" s="150" t="str">
        <f t="shared" si="107"/>
        <v/>
      </c>
      <c r="S82" s="149" t="str">
        <f t="shared" ca="1" si="108"/>
        <v/>
      </c>
      <c r="T82" s="150" t="str">
        <f t="shared" si="109"/>
        <v/>
      </c>
      <c r="U82" s="149" t="str">
        <f t="shared" ca="1" si="110"/>
        <v/>
      </c>
      <c r="V82" s="150" t="str">
        <f t="shared" si="111"/>
        <v/>
      </c>
      <c r="W82" s="149" t="str">
        <f t="shared" ca="1" si="112"/>
        <v/>
      </c>
      <c r="X82" s="150" t="str">
        <f t="shared" si="113"/>
        <v/>
      </c>
      <c r="Y82" s="149" t="str">
        <f t="shared" ca="1" si="114"/>
        <v/>
      </c>
      <c r="Z82" s="150" t="str">
        <f t="shared" si="115"/>
        <v/>
      </c>
      <c r="AA82" s="149" t="str">
        <f t="shared" ca="1" si="116"/>
        <v/>
      </c>
      <c r="AB82" s="150" t="str">
        <f t="shared" si="117"/>
        <v/>
      </c>
      <c r="AC82" s="149" t="str">
        <f t="shared" ca="1" si="118"/>
        <v/>
      </c>
      <c r="AD82" s="150" t="str">
        <f t="shared" si="119"/>
        <v/>
      </c>
      <c r="AE82" s="149" t="str">
        <f t="shared" si="94"/>
        <v/>
      </c>
      <c r="AF82" s="150" t="str">
        <f t="shared" si="120"/>
        <v/>
      </c>
      <c r="AG82" s="149" t="str">
        <f t="shared" si="95"/>
        <v/>
      </c>
      <c r="AH82" s="150" t="str">
        <f t="shared" si="121"/>
        <v/>
      </c>
      <c r="AI82" s="149" t="str">
        <f t="shared" si="96"/>
        <v/>
      </c>
      <c r="AJ82" s="150" t="str">
        <f t="shared" si="122"/>
        <v/>
      </c>
      <c r="AL82" s="211" t="e">
        <f t="shared" ca="1" si="123"/>
        <v>#DIV/0!</v>
      </c>
      <c r="AM82" s="70" t="e">
        <f t="shared" ca="1" si="124"/>
        <v>#DIV/0!</v>
      </c>
      <c r="AN82" s="276" t="e">
        <f t="shared" ca="1" si="125"/>
        <v>#DIV/0!</v>
      </c>
      <c r="AO82" s="276" t="e">
        <f t="shared" ca="1" si="126"/>
        <v>#DIV/0!</v>
      </c>
    </row>
    <row r="83" spans="1:41" s="142" customFormat="1" ht="21" hidden="1" customHeight="1">
      <c r="A83" s="147"/>
      <c r="B83" s="148" t="str">
        <f t="shared" ref="B83:B92" si="127">IF(A83="","",IF($K$4="Media aritmética",ROUND(AVERAGE(C83,E83,G83,I83,K83,M83,O83,Q83,S83,U83,W83,Y83,AA83,AC83,AE83,AG83,AI83),2),ROUND(_xlfn.STDEV.P(C83,E83,G83,I83,K83,M83,O83,Q83,S83,U83,W83,Y83,AA83,AC83,AE83,AG83,AI83),2)))</f>
        <v/>
      </c>
      <c r="C83" s="149" t="str">
        <f t="shared" si="70"/>
        <v/>
      </c>
      <c r="D83" s="150" t="str">
        <f t="shared" ref="D83:D92" si="128">IF($A83="","",IF(C83="","",IF($K$4="Media aritmética",(C83&lt;=$B83)*($E$5/$B$4)+(C83&gt;$B83)*0,IF(AND(ROUND(AVERAGE($C83,$E83,$G83,$I83,$K83,$M83,$O83,$Q83,$S83,$U83,$W83,$Y83,$AA83,$AC83,$AE83,$AG83,$AI83),2)-$B83/2&lt;=C83,(ROUND(AVERAGE($C83,$E83,$G83,$I83,$K83,$M83,$O83,$Q83,$S83,$U83,$W83,$Y83,$AA83,$AC83,$AE83,$AG83,$AI83),2)+$B83/2&gt;=C83)),($E$5/$B$4),0))))</f>
        <v/>
      </c>
      <c r="E83" s="149" t="str">
        <f t="shared" si="71"/>
        <v/>
      </c>
      <c r="F83" s="150" t="str">
        <f t="shared" ref="F83:F92" si="129">IF($A83="","",IF(E83="","",IF($K$4="Media aritmética",(E83&lt;=$B83)*($E$5/$B$4)+(E83&gt;$B83)*0,IF(AND(ROUND(AVERAGE($C83,$E83,$G83,$I83,$K83,$M83,$O83,$Q83,$S83,$U83,$W83,$Y83,$AA83,$AC83,$AE83,$AG83,$AI83),2)-$B83/2&lt;=E83,(ROUND(AVERAGE($C83,$E83,$G83,$I83,$K83,$M83,$O83,$Q83,$S83,$U83,$W83,$Y83,$AA83,$AC83,$AE83,$AG83,$AI83),2)+$B83/2&gt;=E83)),($E$5/$B$4),0))))</f>
        <v/>
      </c>
      <c r="G83" s="149" t="str">
        <f t="shared" ca="1" si="72"/>
        <v/>
      </c>
      <c r="H83" s="150" t="str">
        <f t="shared" ref="H83:H92" si="130">IF($A83="","",IF(G83="","",IF($K$4="Media aritmética",(G83&lt;=$B83)*($E$5/$B$4)+(G83&gt;$B83)*0,IF(AND(ROUND(AVERAGE($C83,$E83,$G83,$I83,$K83,$M83,$O83,$Q83,$S83,$U83,$W83,$Y83,$AA83,$AC83,$AE83,$AG83,$AI83),2)-$B83/2&lt;=G83,(ROUND(AVERAGE($C83,$E83,$G83,$I83,$K83,$M83,$O83,$Q83,$S83,$U83,$W83,$Y83,$AA83,$AC83,$AE83,$AG83,$AI83),2)+$B83/2&gt;=G83)),($E$5/$B$4),0))))</f>
        <v/>
      </c>
      <c r="I83" s="149" t="str">
        <f t="shared" ca="1" si="73"/>
        <v/>
      </c>
      <c r="J83" s="150" t="str">
        <f t="shared" ref="J83:J92" si="131">IF($A83="","",IF(I83="","",IF($K$4="Media aritmética",(I83&lt;=$B83)*($E$5/$B$4)+(I83&gt;$B83)*0,IF(AND(ROUND(AVERAGE($C83,$E83,$G83,$I83,$K83,$M83,$O83,$Q83,$S83,$U83,$W83,$Y83,$AA83,$AC83,$AE83,$AG83,$AI83),2)-$B83/2&lt;=I83,(ROUND(AVERAGE($C83,$E83,$G83,$I83,$K83,$M83,$O83,$Q83,$S83,$U83,$W83,$Y83,$AA83,$AC83,$AE83,$AG83,$AI83),2)+$B83/2&gt;=I83)),($E$5/$B$4),0))))</f>
        <v/>
      </c>
      <c r="K83" s="149" t="str">
        <f t="shared" ca="1" si="74"/>
        <v/>
      </c>
      <c r="L83" s="150" t="str">
        <f t="shared" ref="L83:L92" si="132">IF($A83="","",IF(K83="","",IF($K$4="Media aritmética",(K83&lt;=$B83)*($E$5/$B$4)+(K83&gt;$B83)*0,IF(AND(ROUND(AVERAGE($C83,$E83,$G83,$I83,$K83,$M83,$O83,$Q83,$S83,$U83,$W83,$Y83,$AA83,$AC83,$AE83,$AG83,$AI83),2)-$B83/2&lt;=K83,(ROUND(AVERAGE($C83,$E83,$G83,$I83,$K83,$M83,$O83,$Q83,$S83,$U83,$W83,$Y83,$AA83,$AC83,$AE83,$AG83,$AI83),2)+$B83/2&gt;=K83)),($E$5/$B$4),0))))</f>
        <v/>
      </c>
      <c r="M83" s="149" t="str">
        <f t="shared" ca="1" si="103"/>
        <v/>
      </c>
      <c r="N83" s="150" t="str">
        <f t="shared" ref="N83:N92" si="133">IF($A83="","",IF(M83="","",IF($K$4="Media aritmética",(M83&lt;=$B83)*($E$5/$B$4)+(M83&gt;$B83)*0,IF(AND(ROUND(AVERAGE($C83,$E83,$G83,$I83,$K83,$M83,$O83,$Q83,$S83,$U83,$W83,$Y83,$AA83,$AC83,$AE83,$AG83,$AI83),2)-$B83/2&lt;=M83,(ROUND(AVERAGE($C83,$E83,$G83,$I83,$K83,$M83,$O83,$Q83,$S83,$U83,$W83,$Y83,$AA83,$AC83,$AE83,$AG83,$AI83),2)+$B83/2&gt;=M83)),($E$5/$B$4),0))))</f>
        <v/>
      </c>
      <c r="O83" s="149" t="str">
        <f t="shared" ca="1" si="75"/>
        <v/>
      </c>
      <c r="P83" s="150" t="str">
        <f t="shared" ref="P83:P92" si="134">IF($A83="","",IF(O83="","",IF($K$4="Media aritmética",(O83&lt;=$B83)*($E$5/$B$4)+(O83&gt;$B83)*0,IF(AND(ROUND(AVERAGE($C83,$E83,$G83,$I83,$K83,$M83,$O83,$Q83,$S83,$U83,$W83,$Y83,$AA83,$AC83,$AE83,$AG83,$AI83),2)-$B83/2&lt;=O83,(ROUND(AVERAGE($C83,$E83,$G83,$I83,$K83,$M83,$O83,$Q83,$S83,$U83,$W83,$Y83,$AA83,$AC83,$AE83,$AG83,$AI83),2)+$B83/2&gt;=O83)),($E$5/$B$4),0))))</f>
        <v/>
      </c>
      <c r="Q83" s="149" t="str">
        <f t="shared" ca="1" si="106"/>
        <v/>
      </c>
      <c r="R83" s="150" t="str">
        <f t="shared" ref="R83:R92" si="135">IF($A83="","",IF(Q83="","",IF($K$4="Media aritmética",(Q83&lt;=$B83)*($E$5/$B$4)+(Q83&gt;$B83)*0,IF(AND(ROUND(AVERAGE($C83,$E83,$G83,$I83,$K83,$M83,$O83,$Q83,$S83,$U83,$W83,$Y83,$AA83,$AC83,$AE83,$AG83,$AI83),2)-$B83/2&lt;=Q83,(ROUND(AVERAGE($C83,$E83,$G83,$I83,$K83,$M83,$O83,$Q83,$S83,$U83,$W83,$Y83,$AA83,$AC83,$AE83,$AG83,$AI83),2)+$B83/2&gt;=Q83)),($E$5/$B$4),0))))</f>
        <v/>
      </c>
      <c r="S83" s="149" t="str">
        <f t="shared" ca="1" si="108"/>
        <v/>
      </c>
      <c r="T83" s="150" t="str">
        <f t="shared" ref="T83:T92" si="136">IF($A83="","",IF(S83="","",IF($K$4="Media aritmética",(S83&lt;=$B83)*($E$5/$B$4)+(S83&gt;$B83)*0,IF(AND(ROUND(AVERAGE($C83,$E83,$G83,$I83,$K83,$M83,$O83,$Q83,$S83,$U83,$W83,$Y83,$AA83,$AC83,$AE83,$AG83,$AI83),2)-$B83/2&lt;=S83,(ROUND(AVERAGE($C83,$E83,$G83,$I83,$K83,$M83,$O83,$Q83,$S83,$U83,$W83,$Y83,$AA83,$AC83,$AE83,$AG83,$AI83),2)+$B83/2&gt;=S83)),($E$5/$B$4),0))))</f>
        <v/>
      </c>
      <c r="U83" s="149" t="str">
        <f t="shared" ca="1" si="110"/>
        <v/>
      </c>
      <c r="V83" s="150" t="str">
        <f t="shared" ref="V83:V92" si="137">IF($A83="","",IF(U83="","",IF($K$4="Media aritmética",(U83&lt;=$B83)*($E$5/$B$4)+(U83&gt;$B83)*0,IF(AND(ROUND(AVERAGE($C83,$E83,$G83,$I83,$K83,$M83,$O83,$Q83,$S83,$U83,$W83,$Y83,$AA83,$AC83,$AE83,$AG83,$AI83),2)-$B83/2&lt;=U83,(ROUND(AVERAGE($C83,$E83,$G83,$I83,$K83,$M83,$O83,$Q83,$S83,$U83,$W83,$Y83,$AA83,$AC83,$AE83,$AG83,$AI83),2)+$B83/2&gt;=U83)),($E$5/$B$4),0))))</f>
        <v/>
      </c>
      <c r="W83" s="149" t="str">
        <f t="shared" ca="1" si="112"/>
        <v/>
      </c>
      <c r="X83" s="150" t="str">
        <f t="shared" si="113"/>
        <v/>
      </c>
      <c r="Y83" s="149" t="str">
        <f t="shared" ca="1" si="114"/>
        <v/>
      </c>
      <c r="Z83" s="150" t="str">
        <f t="shared" si="115"/>
        <v/>
      </c>
      <c r="AA83" s="149" t="str">
        <f t="shared" ca="1" si="116"/>
        <v/>
      </c>
      <c r="AB83" s="150" t="str">
        <f t="shared" si="117"/>
        <v/>
      </c>
      <c r="AC83" s="149" t="str">
        <f t="shared" ca="1" si="118"/>
        <v/>
      </c>
      <c r="AD83" s="150" t="str">
        <f t="shared" si="119"/>
        <v/>
      </c>
      <c r="AE83" s="149" t="str">
        <f t="shared" si="94"/>
        <v/>
      </c>
      <c r="AF83" s="150" t="str">
        <f t="shared" si="120"/>
        <v/>
      </c>
      <c r="AG83" s="149" t="str">
        <f t="shared" si="95"/>
        <v/>
      </c>
      <c r="AH83" s="150" t="str">
        <f t="shared" si="121"/>
        <v/>
      </c>
      <c r="AI83" s="149" t="str">
        <f t="shared" si="96"/>
        <v/>
      </c>
      <c r="AJ83" s="150" t="str">
        <f t="shared" si="122"/>
        <v/>
      </c>
      <c r="AL83" s="211" t="e">
        <f t="shared" ca="1" si="123"/>
        <v>#DIV/0!</v>
      </c>
      <c r="AM83" s="70" t="e">
        <f t="shared" ca="1" si="124"/>
        <v>#DIV/0!</v>
      </c>
      <c r="AN83" s="276" t="e">
        <f t="shared" ca="1" si="125"/>
        <v>#DIV/0!</v>
      </c>
      <c r="AO83" s="276" t="e">
        <f t="shared" ca="1" si="126"/>
        <v>#DIV/0!</v>
      </c>
    </row>
    <row r="84" spans="1:41" s="142" customFormat="1" ht="21" hidden="1" customHeight="1">
      <c r="A84" s="147"/>
      <c r="B84" s="148" t="str">
        <f t="shared" si="127"/>
        <v/>
      </c>
      <c r="C84" s="149" t="str">
        <f t="shared" si="70"/>
        <v/>
      </c>
      <c r="D84" s="150" t="str">
        <f t="shared" si="128"/>
        <v/>
      </c>
      <c r="E84" s="149" t="str">
        <f t="shared" si="71"/>
        <v/>
      </c>
      <c r="F84" s="150" t="str">
        <f t="shared" si="129"/>
        <v/>
      </c>
      <c r="G84" s="149" t="str">
        <f t="shared" ca="1" si="72"/>
        <v/>
      </c>
      <c r="H84" s="150" t="str">
        <f t="shared" si="130"/>
        <v/>
      </c>
      <c r="I84" s="149" t="str">
        <f t="shared" ca="1" si="73"/>
        <v/>
      </c>
      <c r="J84" s="150" t="str">
        <f t="shared" si="131"/>
        <v/>
      </c>
      <c r="K84" s="149" t="str">
        <f t="shared" ca="1" si="74"/>
        <v/>
      </c>
      <c r="L84" s="150" t="str">
        <f t="shared" si="132"/>
        <v/>
      </c>
      <c r="M84" s="149" t="str">
        <f t="shared" ca="1" si="103"/>
        <v/>
      </c>
      <c r="N84" s="150" t="str">
        <f t="shared" si="133"/>
        <v/>
      </c>
      <c r="O84" s="149" t="str">
        <f t="shared" ca="1" si="75"/>
        <v/>
      </c>
      <c r="P84" s="150" t="str">
        <f t="shared" si="134"/>
        <v/>
      </c>
      <c r="Q84" s="149" t="str">
        <f t="shared" ca="1" si="106"/>
        <v/>
      </c>
      <c r="R84" s="150" t="str">
        <f t="shared" si="135"/>
        <v/>
      </c>
      <c r="S84" s="149" t="str">
        <f t="shared" ca="1" si="108"/>
        <v/>
      </c>
      <c r="T84" s="150" t="str">
        <f t="shared" si="136"/>
        <v/>
      </c>
      <c r="U84" s="149" t="str">
        <f t="shared" ca="1" si="110"/>
        <v/>
      </c>
      <c r="V84" s="150" t="str">
        <f t="shared" si="137"/>
        <v/>
      </c>
      <c r="W84" s="149"/>
      <c r="X84" s="150"/>
      <c r="Y84" s="149"/>
      <c r="Z84" s="150"/>
      <c r="AA84" s="149"/>
      <c r="AB84" s="150"/>
      <c r="AC84" s="149"/>
      <c r="AD84" s="150"/>
      <c r="AE84" s="149"/>
      <c r="AF84" s="150"/>
      <c r="AG84" s="149"/>
      <c r="AH84" s="150"/>
      <c r="AI84" s="149"/>
      <c r="AJ84" s="150"/>
      <c r="AL84" s="211" t="e">
        <f t="shared" ca="1" si="123"/>
        <v>#DIV/0!</v>
      </c>
      <c r="AM84" s="70" t="e">
        <f t="shared" ca="1" si="124"/>
        <v>#DIV/0!</v>
      </c>
      <c r="AN84" s="276" t="e">
        <f t="shared" ca="1" si="125"/>
        <v>#DIV/0!</v>
      </c>
      <c r="AO84" s="276" t="e">
        <f t="shared" ca="1" si="126"/>
        <v>#DIV/0!</v>
      </c>
    </row>
    <row r="85" spans="1:41" s="142" customFormat="1" ht="21" hidden="1" customHeight="1">
      <c r="A85" s="147"/>
      <c r="B85" s="148" t="str">
        <f t="shared" si="127"/>
        <v/>
      </c>
      <c r="C85" s="149" t="str">
        <f t="shared" si="70"/>
        <v/>
      </c>
      <c r="D85" s="150" t="str">
        <f t="shared" si="128"/>
        <v/>
      </c>
      <c r="E85" s="149" t="str">
        <f t="shared" si="71"/>
        <v/>
      </c>
      <c r="F85" s="150" t="str">
        <f t="shared" si="129"/>
        <v/>
      </c>
      <c r="G85" s="149" t="str">
        <f t="shared" ca="1" si="72"/>
        <v/>
      </c>
      <c r="H85" s="150" t="str">
        <f t="shared" si="130"/>
        <v/>
      </c>
      <c r="I85" s="149" t="str">
        <f t="shared" ca="1" si="73"/>
        <v/>
      </c>
      <c r="J85" s="150" t="str">
        <f t="shared" si="131"/>
        <v/>
      </c>
      <c r="K85" s="149" t="str">
        <f t="shared" ca="1" si="74"/>
        <v/>
      </c>
      <c r="L85" s="150" t="str">
        <f t="shared" si="132"/>
        <v/>
      </c>
      <c r="M85" s="149" t="str">
        <f t="shared" ca="1" si="103"/>
        <v/>
      </c>
      <c r="N85" s="150" t="str">
        <f t="shared" si="133"/>
        <v/>
      </c>
      <c r="O85" s="149" t="str">
        <f t="shared" ca="1" si="75"/>
        <v/>
      </c>
      <c r="P85" s="150" t="str">
        <f t="shared" si="134"/>
        <v/>
      </c>
      <c r="Q85" s="149" t="str">
        <f t="shared" ca="1" si="106"/>
        <v/>
      </c>
      <c r="R85" s="150" t="str">
        <f t="shared" si="135"/>
        <v/>
      </c>
      <c r="S85" s="149" t="str">
        <f t="shared" ca="1" si="108"/>
        <v/>
      </c>
      <c r="T85" s="150" t="str">
        <f t="shared" si="136"/>
        <v/>
      </c>
      <c r="U85" s="149" t="str">
        <f t="shared" ca="1" si="110"/>
        <v/>
      </c>
      <c r="V85" s="150" t="str">
        <f t="shared" si="137"/>
        <v/>
      </c>
      <c r="W85" s="149"/>
      <c r="X85" s="150"/>
      <c r="Y85" s="149"/>
      <c r="Z85" s="150"/>
      <c r="AA85" s="149"/>
      <c r="AB85" s="150"/>
      <c r="AC85" s="149"/>
      <c r="AD85" s="150"/>
      <c r="AE85" s="149"/>
      <c r="AF85" s="150"/>
      <c r="AG85" s="149"/>
      <c r="AH85" s="150"/>
      <c r="AI85" s="149"/>
      <c r="AJ85" s="150"/>
      <c r="AL85" s="211" t="e">
        <f t="shared" ca="1" si="123"/>
        <v>#DIV/0!</v>
      </c>
      <c r="AM85" s="70" t="e">
        <f t="shared" ca="1" si="124"/>
        <v>#DIV/0!</v>
      </c>
      <c r="AN85" s="276" t="e">
        <f t="shared" ca="1" si="125"/>
        <v>#DIV/0!</v>
      </c>
      <c r="AO85" s="276" t="e">
        <f t="shared" ca="1" si="126"/>
        <v>#DIV/0!</v>
      </c>
    </row>
    <row r="86" spans="1:41" s="142" customFormat="1" ht="21" hidden="1" customHeight="1">
      <c r="A86" s="147"/>
      <c r="B86" s="148" t="str">
        <f t="shared" si="127"/>
        <v/>
      </c>
      <c r="C86" s="149" t="str">
        <f t="shared" si="70"/>
        <v/>
      </c>
      <c r="D86" s="150" t="str">
        <f t="shared" si="128"/>
        <v/>
      </c>
      <c r="E86" s="149" t="str">
        <f t="shared" si="71"/>
        <v/>
      </c>
      <c r="F86" s="150" t="str">
        <f t="shared" si="129"/>
        <v/>
      </c>
      <c r="G86" s="149" t="str">
        <f t="shared" ca="1" si="72"/>
        <v/>
      </c>
      <c r="H86" s="150" t="str">
        <f t="shared" si="130"/>
        <v/>
      </c>
      <c r="I86" s="149" t="str">
        <f t="shared" ca="1" si="73"/>
        <v/>
      </c>
      <c r="J86" s="150" t="str">
        <f t="shared" si="131"/>
        <v/>
      </c>
      <c r="K86" s="149" t="str">
        <f t="shared" ca="1" si="74"/>
        <v/>
      </c>
      <c r="L86" s="150" t="str">
        <f t="shared" si="132"/>
        <v/>
      </c>
      <c r="M86" s="149" t="str">
        <f t="shared" ca="1" si="103"/>
        <v/>
      </c>
      <c r="N86" s="150" t="str">
        <f t="shared" si="133"/>
        <v/>
      </c>
      <c r="O86" s="149" t="str">
        <f t="shared" ca="1" si="75"/>
        <v/>
      </c>
      <c r="P86" s="150" t="str">
        <f t="shared" si="134"/>
        <v/>
      </c>
      <c r="Q86" s="149" t="str">
        <f t="shared" ca="1" si="106"/>
        <v/>
      </c>
      <c r="R86" s="150" t="str">
        <f t="shared" si="135"/>
        <v/>
      </c>
      <c r="S86" s="149" t="str">
        <f t="shared" ca="1" si="108"/>
        <v/>
      </c>
      <c r="T86" s="150" t="str">
        <f t="shared" si="136"/>
        <v/>
      </c>
      <c r="U86" s="149" t="str">
        <f t="shared" ca="1" si="110"/>
        <v/>
      </c>
      <c r="V86" s="150" t="str">
        <f t="shared" si="137"/>
        <v/>
      </c>
      <c r="W86" s="149"/>
      <c r="X86" s="150"/>
      <c r="Y86" s="149"/>
      <c r="Z86" s="150"/>
      <c r="AA86" s="149"/>
      <c r="AB86" s="150"/>
      <c r="AC86" s="149"/>
      <c r="AD86" s="150"/>
      <c r="AE86" s="149"/>
      <c r="AF86" s="150"/>
      <c r="AG86" s="149"/>
      <c r="AH86" s="150"/>
      <c r="AI86" s="149"/>
      <c r="AJ86" s="150"/>
      <c r="AL86" s="211" t="e">
        <f t="shared" ca="1" si="123"/>
        <v>#DIV/0!</v>
      </c>
      <c r="AM86" s="70" t="e">
        <f t="shared" ca="1" si="124"/>
        <v>#DIV/0!</v>
      </c>
      <c r="AN86" s="276" t="e">
        <f t="shared" ca="1" si="125"/>
        <v>#DIV/0!</v>
      </c>
      <c r="AO86" s="276" t="e">
        <f t="shared" ca="1" si="126"/>
        <v>#DIV/0!</v>
      </c>
    </row>
    <row r="87" spans="1:41" s="142" customFormat="1" ht="21" hidden="1" customHeight="1">
      <c r="A87" s="147"/>
      <c r="B87" s="148" t="str">
        <f t="shared" si="127"/>
        <v/>
      </c>
      <c r="C87" s="149" t="str">
        <f t="shared" si="70"/>
        <v/>
      </c>
      <c r="D87" s="150" t="str">
        <f t="shared" si="128"/>
        <v/>
      </c>
      <c r="E87" s="149" t="str">
        <f t="shared" si="71"/>
        <v/>
      </c>
      <c r="F87" s="150" t="str">
        <f t="shared" si="129"/>
        <v/>
      </c>
      <c r="G87" s="149" t="str">
        <f t="shared" ca="1" si="72"/>
        <v/>
      </c>
      <c r="H87" s="150" t="str">
        <f t="shared" si="130"/>
        <v/>
      </c>
      <c r="I87" s="149" t="str">
        <f t="shared" ca="1" si="73"/>
        <v/>
      </c>
      <c r="J87" s="150" t="str">
        <f t="shared" si="131"/>
        <v/>
      </c>
      <c r="K87" s="149" t="str">
        <f t="shared" ca="1" si="74"/>
        <v/>
      </c>
      <c r="L87" s="150" t="str">
        <f t="shared" si="132"/>
        <v/>
      </c>
      <c r="M87" s="149" t="str">
        <f t="shared" ca="1" si="103"/>
        <v/>
      </c>
      <c r="N87" s="150" t="str">
        <f t="shared" si="133"/>
        <v/>
      </c>
      <c r="O87" s="149" t="str">
        <f t="shared" ca="1" si="75"/>
        <v/>
      </c>
      <c r="P87" s="150" t="str">
        <f t="shared" si="134"/>
        <v/>
      </c>
      <c r="Q87" s="149" t="str">
        <f t="shared" ca="1" si="106"/>
        <v/>
      </c>
      <c r="R87" s="150" t="str">
        <f t="shared" si="135"/>
        <v/>
      </c>
      <c r="S87" s="149" t="str">
        <f t="shared" ca="1" si="108"/>
        <v/>
      </c>
      <c r="T87" s="150" t="str">
        <f t="shared" si="136"/>
        <v/>
      </c>
      <c r="U87" s="149" t="str">
        <f t="shared" ca="1" si="110"/>
        <v/>
      </c>
      <c r="V87" s="150" t="str">
        <f t="shared" si="137"/>
        <v/>
      </c>
      <c r="W87" s="149"/>
      <c r="X87" s="150"/>
      <c r="Y87" s="149"/>
      <c r="Z87" s="150"/>
      <c r="AA87" s="149"/>
      <c r="AB87" s="150"/>
      <c r="AC87" s="149"/>
      <c r="AD87" s="150"/>
      <c r="AE87" s="149"/>
      <c r="AF87" s="150"/>
      <c r="AG87" s="149"/>
      <c r="AH87" s="150"/>
      <c r="AI87" s="149"/>
      <c r="AJ87" s="150"/>
      <c r="AL87" s="211" t="e">
        <f t="shared" ca="1" si="123"/>
        <v>#DIV/0!</v>
      </c>
      <c r="AM87" s="70" t="e">
        <f t="shared" ca="1" si="124"/>
        <v>#DIV/0!</v>
      </c>
      <c r="AN87" s="276" t="e">
        <f t="shared" ca="1" si="125"/>
        <v>#DIV/0!</v>
      </c>
      <c r="AO87" s="276" t="e">
        <f t="shared" ca="1" si="126"/>
        <v>#DIV/0!</v>
      </c>
    </row>
    <row r="88" spans="1:41" s="142" customFormat="1" ht="21" hidden="1" customHeight="1">
      <c r="A88" s="147"/>
      <c r="B88" s="148" t="str">
        <f t="shared" si="127"/>
        <v/>
      </c>
      <c r="C88" s="149" t="str">
        <f t="shared" si="70"/>
        <v/>
      </c>
      <c r="D88" s="150" t="str">
        <f t="shared" si="128"/>
        <v/>
      </c>
      <c r="E88" s="149" t="str">
        <f t="shared" si="71"/>
        <v/>
      </c>
      <c r="F88" s="150" t="str">
        <f t="shared" si="129"/>
        <v/>
      </c>
      <c r="G88" s="149" t="str">
        <f t="shared" ca="1" si="72"/>
        <v/>
      </c>
      <c r="H88" s="150" t="str">
        <f t="shared" si="130"/>
        <v/>
      </c>
      <c r="I88" s="149" t="str">
        <f t="shared" ca="1" si="73"/>
        <v/>
      </c>
      <c r="J88" s="150" t="str">
        <f t="shared" si="131"/>
        <v/>
      </c>
      <c r="K88" s="149" t="str">
        <f t="shared" ca="1" si="74"/>
        <v/>
      </c>
      <c r="L88" s="150" t="str">
        <f t="shared" si="132"/>
        <v/>
      </c>
      <c r="M88" s="149" t="str">
        <f t="shared" ca="1" si="103"/>
        <v/>
      </c>
      <c r="N88" s="150" t="str">
        <f t="shared" si="133"/>
        <v/>
      </c>
      <c r="O88" s="149" t="str">
        <f t="shared" ca="1" si="75"/>
        <v/>
      </c>
      <c r="P88" s="150" t="str">
        <f t="shared" si="134"/>
        <v/>
      </c>
      <c r="Q88" s="149" t="str">
        <f t="shared" ca="1" si="106"/>
        <v/>
      </c>
      <c r="R88" s="150" t="str">
        <f t="shared" si="135"/>
        <v/>
      </c>
      <c r="S88" s="149" t="str">
        <f t="shared" ca="1" si="108"/>
        <v/>
      </c>
      <c r="T88" s="150" t="str">
        <f t="shared" si="136"/>
        <v/>
      </c>
      <c r="U88" s="149" t="str">
        <f t="shared" ca="1" si="110"/>
        <v/>
      </c>
      <c r="V88" s="150" t="str">
        <f t="shared" si="137"/>
        <v/>
      </c>
      <c r="W88" s="149"/>
      <c r="X88" s="150"/>
      <c r="Y88" s="149"/>
      <c r="Z88" s="150"/>
      <c r="AA88" s="149"/>
      <c r="AB88" s="150"/>
      <c r="AC88" s="149"/>
      <c r="AD88" s="150"/>
      <c r="AE88" s="149"/>
      <c r="AF88" s="150"/>
      <c r="AG88" s="149"/>
      <c r="AH88" s="150"/>
      <c r="AI88" s="149"/>
      <c r="AJ88" s="150"/>
      <c r="AL88" s="211" t="e">
        <f t="shared" ca="1" si="123"/>
        <v>#DIV/0!</v>
      </c>
      <c r="AM88" s="70" t="e">
        <f t="shared" ca="1" si="124"/>
        <v>#DIV/0!</v>
      </c>
      <c r="AN88" s="276" t="e">
        <f t="shared" ca="1" si="125"/>
        <v>#DIV/0!</v>
      </c>
      <c r="AO88" s="276" t="e">
        <f t="shared" ca="1" si="126"/>
        <v>#DIV/0!</v>
      </c>
    </row>
    <row r="89" spans="1:41" s="142" customFormat="1" ht="21" hidden="1" customHeight="1">
      <c r="A89" s="147"/>
      <c r="B89" s="148" t="str">
        <f t="shared" si="127"/>
        <v/>
      </c>
      <c r="C89" s="149" t="str">
        <f t="shared" si="70"/>
        <v/>
      </c>
      <c r="D89" s="150" t="str">
        <f t="shared" si="128"/>
        <v/>
      </c>
      <c r="E89" s="149" t="str">
        <f t="shared" si="71"/>
        <v/>
      </c>
      <c r="F89" s="150" t="str">
        <f t="shared" si="129"/>
        <v/>
      </c>
      <c r="G89" s="149" t="str">
        <f t="shared" ca="1" si="72"/>
        <v/>
      </c>
      <c r="H89" s="150" t="str">
        <f t="shared" si="130"/>
        <v/>
      </c>
      <c r="I89" s="149" t="str">
        <f t="shared" ca="1" si="73"/>
        <v/>
      </c>
      <c r="J89" s="150" t="str">
        <f t="shared" si="131"/>
        <v/>
      </c>
      <c r="K89" s="149" t="str">
        <f t="shared" ca="1" si="74"/>
        <v/>
      </c>
      <c r="L89" s="150" t="str">
        <f t="shared" si="132"/>
        <v/>
      </c>
      <c r="M89" s="149" t="str">
        <f t="shared" ca="1" si="103"/>
        <v/>
      </c>
      <c r="N89" s="150" t="str">
        <f t="shared" si="133"/>
        <v/>
      </c>
      <c r="O89" s="149" t="str">
        <f t="shared" ca="1" si="75"/>
        <v/>
      </c>
      <c r="P89" s="150" t="str">
        <f t="shared" si="134"/>
        <v/>
      </c>
      <c r="Q89" s="149" t="str">
        <f t="shared" ca="1" si="106"/>
        <v/>
      </c>
      <c r="R89" s="150" t="str">
        <f t="shared" si="135"/>
        <v/>
      </c>
      <c r="S89" s="149" t="str">
        <f t="shared" ca="1" si="108"/>
        <v/>
      </c>
      <c r="T89" s="150" t="str">
        <f t="shared" si="136"/>
        <v/>
      </c>
      <c r="U89" s="149" t="str">
        <f t="shared" ca="1" si="110"/>
        <v/>
      </c>
      <c r="V89" s="150" t="str">
        <f t="shared" si="137"/>
        <v/>
      </c>
      <c r="W89" s="149"/>
      <c r="X89" s="150"/>
      <c r="Y89" s="149"/>
      <c r="Z89" s="150"/>
      <c r="AA89" s="149"/>
      <c r="AB89" s="150"/>
      <c r="AC89" s="149"/>
      <c r="AD89" s="150"/>
      <c r="AE89" s="149"/>
      <c r="AF89" s="150"/>
      <c r="AG89" s="149"/>
      <c r="AH89" s="150"/>
      <c r="AI89" s="149"/>
      <c r="AJ89" s="150"/>
      <c r="AL89" s="211" t="e">
        <f t="shared" ca="1" si="123"/>
        <v>#DIV/0!</v>
      </c>
      <c r="AM89" s="70" t="e">
        <f t="shared" ca="1" si="124"/>
        <v>#DIV/0!</v>
      </c>
      <c r="AN89" s="276" t="e">
        <f t="shared" ca="1" si="125"/>
        <v>#DIV/0!</v>
      </c>
      <c r="AO89" s="276" t="e">
        <f t="shared" ca="1" si="126"/>
        <v>#DIV/0!</v>
      </c>
    </row>
    <row r="90" spans="1:41" s="142" customFormat="1" ht="21" hidden="1" customHeight="1">
      <c r="A90" s="147"/>
      <c r="B90" s="148" t="str">
        <f t="shared" si="127"/>
        <v/>
      </c>
      <c r="C90" s="149" t="str">
        <f t="shared" si="70"/>
        <v/>
      </c>
      <c r="D90" s="150" t="str">
        <f t="shared" si="128"/>
        <v/>
      </c>
      <c r="E90" s="149" t="str">
        <f t="shared" si="71"/>
        <v/>
      </c>
      <c r="F90" s="150" t="str">
        <f t="shared" si="129"/>
        <v/>
      </c>
      <c r="G90" s="149" t="str">
        <f t="shared" ca="1" si="72"/>
        <v/>
      </c>
      <c r="H90" s="150" t="str">
        <f t="shared" si="130"/>
        <v/>
      </c>
      <c r="I90" s="149" t="str">
        <f t="shared" ca="1" si="73"/>
        <v/>
      </c>
      <c r="J90" s="150" t="str">
        <f t="shared" si="131"/>
        <v/>
      </c>
      <c r="K90" s="149" t="str">
        <f t="shared" ca="1" si="74"/>
        <v/>
      </c>
      <c r="L90" s="150" t="str">
        <f t="shared" si="132"/>
        <v/>
      </c>
      <c r="M90" s="149" t="str">
        <f t="shared" ca="1" si="103"/>
        <v/>
      </c>
      <c r="N90" s="150" t="str">
        <f t="shared" si="133"/>
        <v/>
      </c>
      <c r="O90" s="149" t="str">
        <f t="shared" ca="1" si="75"/>
        <v/>
      </c>
      <c r="P90" s="150" t="str">
        <f t="shared" si="134"/>
        <v/>
      </c>
      <c r="Q90" s="149" t="str">
        <f t="shared" ca="1" si="106"/>
        <v/>
      </c>
      <c r="R90" s="150" t="str">
        <f t="shared" si="135"/>
        <v/>
      </c>
      <c r="S90" s="149" t="str">
        <f t="shared" ca="1" si="108"/>
        <v/>
      </c>
      <c r="T90" s="150" t="str">
        <f t="shared" si="136"/>
        <v/>
      </c>
      <c r="U90" s="149" t="str">
        <f t="shared" ca="1" si="110"/>
        <v/>
      </c>
      <c r="V90" s="150" t="str">
        <f t="shared" si="137"/>
        <v/>
      </c>
      <c r="W90" s="149"/>
      <c r="X90" s="150"/>
      <c r="Y90" s="149"/>
      <c r="Z90" s="150"/>
      <c r="AA90" s="149"/>
      <c r="AB90" s="150"/>
      <c r="AC90" s="149"/>
      <c r="AD90" s="150"/>
      <c r="AE90" s="149"/>
      <c r="AF90" s="150"/>
      <c r="AG90" s="149"/>
      <c r="AH90" s="150"/>
      <c r="AI90" s="149"/>
      <c r="AJ90" s="150"/>
      <c r="AL90" s="211" t="e">
        <f t="shared" ca="1" si="123"/>
        <v>#DIV/0!</v>
      </c>
      <c r="AM90" s="70" t="e">
        <f t="shared" ca="1" si="124"/>
        <v>#DIV/0!</v>
      </c>
      <c r="AN90" s="276" t="e">
        <f t="shared" ca="1" si="125"/>
        <v>#DIV/0!</v>
      </c>
      <c r="AO90" s="276" t="e">
        <f t="shared" ca="1" si="126"/>
        <v>#DIV/0!</v>
      </c>
    </row>
    <row r="91" spans="1:41" s="142" customFormat="1" ht="21" hidden="1" customHeight="1">
      <c r="A91" s="147"/>
      <c r="B91" s="148" t="str">
        <f t="shared" si="127"/>
        <v/>
      </c>
      <c r="C91" s="149" t="str">
        <f t="shared" si="70"/>
        <v/>
      </c>
      <c r="D91" s="150" t="str">
        <f t="shared" si="128"/>
        <v/>
      </c>
      <c r="E91" s="149" t="str">
        <f t="shared" si="71"/>
        <v/>
      </c>
      <c r="F91" s="150" t="str">
        <f t="shared" si="129"/>
        <v/>
      </c>
      <c r="G91" s="149" t="str">
        <f t="shared" ca="1" si="72"/>
        <v/>
      </c>
      <c r="H91" s="150" t="str">
        <f t="shared" si="130"/>
        <v/>
      </c>
      <c r="I91" s="149" t="str">
        <f t="shared" ca="1" si="73"/>
        <v/>
      </c>
      <c r="J91" s="150" t="str">
        <f t="shared" si="131"/>
        <v/>
      </c>
      <c r="K91" s="149" t="str">
        <f t="shared" ca="1" si="74"/>
        <v/>
      </c>
      <c r="L91" s="150" t="str">
        <f t="shared" si="132"/>
        <v/>
      </c>
      <c r="M91" s="149" t="str">
        <f t="shared" ca="1" si="103"/>
        <v/>
      </c>
      <c r="N91" s="150" t="str">
        <f t="shared" si="133"/>
        <v/>
      </c>
      <c r="O91" s="149" t="str">
        <f t="shared" ca="1" si="75"/>
        <v/>
      </c>
      <c r="P91" s="150" t="str">
        <f t="shared" si="134"/>
        <v/>
      </c>
      <c r="Q91" s="149" t="str">
        <f t="shared" ca="1" si="106"/>
        <v/>
      </c>
      <c r="R91" s="150" t="str">
        <f t="shared" si="135"/>
        <v/>
      </c>
      <c r="S91" s="149" t="str">
        <f t="shared" ca="1" si="108"/>
        <v/>
      </c>
      <c r="T91" s="150" t="str">
        <f t="shared" si="136"/>
        <v/>
      </c>
      <c r="U91" s="149" t="str">
        <f t="shared" ca="1" si="110"/>
        <v/>
      </c>
      <c r="V91" s="150" t="str">
        <f t="shared" si="137"/>
        <v/>
      </c>
      <c r="W91" s="149"/>
      <c r="X91" s="150"/>
      <c r="Y91" s="149"/>
      <c r="Z91" s="150"/>
      <c r="AA91" s="149"/>
      <c r="AB91" s="150"/>
      <c r="AC91" s="149"/>
      <c r="AD91" s="150"/>
      <c r="AE91" s="149"/>
      <c r="AF91" s="150"/>
      <c r="AG91" s="149"/>
      <c r="AH91" s="150"/>
      <c r="AI91" s="149"/>
      <c r="AJ91" s="150"/>
      <c r="AL91" s="211" t="e">
        <f t="shared" ca="1" si="123"/>
        <v>#DIV/0!</v>
      </c>
      <c r="AM91" s="70" t="e">
        <f t="shared" ca="1" si="124"/>
        <v>#DIV/0!</v>
      </c>
      <c r="AN91" s="276" t="e">
        <f t="shared" ca="1" si="125"/>
        <v>#DIV/0!</v>
      </c>
      <c r="AO91" s="276" t="e">
        <f t="shared" ca="1" si="126"/>
        <v>#DIV/0!</v>
      </c>
    </row>
    <row r="92" spans="1:41" s="142" customFormat="1" ht="21" hidden="1" customHeight="1">
      <c r="A92" s="147"/>
      <c r="B92" s="148" t="str">
        <f t="shared" si="127"/>
        <v/>
      </c>
      <c r="C92" s="149" t="str">
        <f t="shared" si="70"/>
        <v/>
      </c>
      <c r="D92" s="150" t="str">
        <f t="shared" si="128"/>
        <v/>
      </c>
      <c r="E92" s="149" t="str">
        <f t="shared" si="71"/>
        <v/>
      </c>
      <c r="F92" s="150" t="str">
        <f t="shared" si="129"/>
        <v/>
      </c>
      <c r="G92" s="149" t="str">
        <f t="shared" ca="1" si="72"/>
        <v/>
      </c>
      <c r="H92" s="150" t="str">
        <f t="shared" si="130"/>
        <v/>
      </c>
      <c r="I92" s="149" t="str">
        <f t="shared" ca="1" si="73"/>
        <v/>
      </c>
      <c r="J92" s="150" t="str">
        <f t="shared" si="131"/>
        <v/>
      </c>
      <c r="K92" s="149" t="str">
        <f t="shared" ca="1" si="74"/>
        <v/>
      </c>
      <c r="L92" s="150" t="str">
        <f t="shared" si="132"/>
        <v/>
      </c>
      <c r="M92" s="149" t="str">
        <f t="shared" ca="1" si="103"/>
        <v/>
      </c>
      <c r="N92" s="150" t="str">
        <f t="shared" si="133"/>
        <v/>
      </c>
      <c r="O92" s="149" t="str">
        <f t="shared" ca="1" si="75"/>
        <v/>
      </c>
      <c r="P92" s="150" t="str">
        <f t="shared" si="134"/>
        <v/>
      </c>
      <c r="Q92" s="149" t="str">
        <f t="shared" ca="1" si="106"/>
        <v/>
      </c>
      <c r="R92" s="150" t="str">
        <f t="shared" si="135"/>
        <v/>
      </c>
      <c r="S92" s="149" t="str">
        <f t="shared" ca="1" si="108"/>
        <v/>
      </c>
      <c r="T92" s="150" t="str">
        <f t="shared" si="136"/>
        <v/>
      </c>
      <c r="U92" s="149" t="str">
        <f t="shared" ca="1" si="110"/>
        <v/>
      </c>
      <c r="V92" s="150" t="str">
        <f t="shared" si="137"/>
        <v/>
      </c>
      <c r="W92" s="149"/>
      <c r="X92" s="150"/>
      <c r="Y92" s="149"/>
      <c r="Z92" s="150"/>
      <c r="AA92" s="149"/>
      <c r="AB92" s="150"/>
      <c r="AC92" s="149"/>
      <c r="AD92" s="150"/>
      <c r="AE92" s="149"/>
      <c r="AF92" s="150"/>
      <c r="AG92" s="149"/>
      <c r="AH92" s="150"/>
      <c r="AI92" s="149"/>
      <c r="AJ92" s="150"/>
      <c r="AL92" s="211" t="e">
        <f t="shared" ca="1" si="123"/>
        <v>#DIV/0!</v>
      </c>
      <c r="AM92" s="70" t="e">
        <f t="shared" ca="1" si="124"/>
        <v>#DIV/0!</v>
      </c>
      <c r="AN92" s="276" t="e">
        <f t="shared" ca="1" si="125"/>
        <v>#DIV/0!</v>
      </c>
      <c r="AO92" s="276" t="e">
        <f t="shared" ca="1" si="126"/>
        <v>#DIV/0!</v>
      </c>
    </row>
    <row r="93" spans="1:41" s="142" customFormat="1" ht="21" hidden="1" customHeight="1">
      <c r="A93" s="147"/>
      <c r="B93" s="148"/>
      <c r="C93" s="149"/>
      <c r="D93" s="150"/>
      <c r="E93" s="149"/>
      <c r="F93" s="150"/>
      <c r="G93" s="149"/>
      <c r="H93" s="150"/>
      <c r="I93" s="149"/>
      <c r="J93" s="150"/>
      <c r="K93" s="149"/>
      <c r="L93" s="150"/>
      <c r="M93" s="149"/>
      <c r="N93" s="150"/>
      <c r="O93" s="149"/>
      <c r="P93" s="150"/>
      <c r="Q93" s="149"/>
      <c r="R93" s="150"/>
      <c r="S93" s="149"/>
      <c r="T93" s="150"/>
      <c r="U93" s="149"/>
      <c r="V93" s="150"/>
      <c r="W93" s="149"/>
      <c r="X93" s="150"/>
      <c r="Y93" s="149"/>
      <c r="Z93" s="150"/>
      <c r="AA93" s="149"/>
      <c r="AB93" s="150"/>
      <c r="AC93" s="149"/>
      <c r="AD93" s="150"/>
      <c r="AE93" s="149"/>
      <c r="AF93" s="150"/>
      <c r="AG93" s="149"/>
      <c r="AH93" s="150"/>
      <c r="AI93" s="149"/>
      <c r="AJ93" s="150"/>
      <c r="AL93" s="211" t="e">
        <f t="shared" si="123"/>
        <v>#DIV/0!</v>
      </c>
      <c r="AM93" s="70" t="e">
        <f t="shared" si="124"/>
        <v>#DIV/0!</v>
      </c>
      <c r="AN93" s="276" t="e">
        <f t="shared" si="125"/>
        <v>#DIV/0!</v>
      </c>
      <c r="AO93" s="276" t="e">
        <f t="shared" si="126"/>
        <v>#DIV/0!</v>
      </c>
    </row>
    <row r="94" spans="1:41" s="142" customFormat="1" ht="21" hidden="1" customHeight="1">
      <c r="A94" s="147"/>
      <c r="B94" s="148"/>
      <c r="C94" s="149"/>
      <c r="D94" s="150"/>
      <c r="E94" s="149"/>
      <c r="F94" s="150"/>
      <c r="G94" s="149"/>
      <c r="H94" s="150"/>
      <c r="I94" s="149"/>
      <c r="J94" s="150"/>
      <c r="K94" s="149"/>
      <c r="L94" s="150"/>
      <c r="M94" s="149"/>
      <c r="N94" s="150"/>
      <c r="O94" s="149"/>
      <c r="P94" s="150"/>
      <c r="Q94" s="149"/>
      <c r="R94" s="150"/>
      <c r="S94" s="149"/>
      <c r="T94" s="150"/>
      <c r="U94" s="149"/>
      <c r="V94" s="150"/>
      <c r="W94" s="149"/>
      <c r="X94" s="150"/>
      <c r="Y94" s="149"/>
      <c r="Z94" s="150"/>
      <c r="AA94" s="149"/>
      <c r="AB94" s="150"/>
      <c r="AC94" s="149"/>
      <c r="AD94" s="150"/>
      <c r="AE94" s="149"/>
      <c r="AF94" s="150"/>
      <c r="AG94" s="149"/>
      <c r="AH94" s="150"/>
      <c r="AI94" s="149"/>
      <c r="AJ94" s="150"/>
      <c r="AL94" s="211" t="e">
        <f t="shared" si="123"/>
        <v>#DIV/0!</v>
      </c>
      <c r="AM94" s="70" t="e">
        <f t="shared" si="124"/>
        <v>#DIV/0!</v>
      </c>
      <c r="AN94" s="276" t="e">
        <f t="shared" si="125"/>
        <v>#DIV/0!</v>
      </c>
      <c r="AO94" s="276" t="e">
        <f t="shared" si="126"/>
        <v>#DIV/0!</v>
      </c>
    </row>
    <row r="95" spans="1:41" s="142" customFormat="1" ht="21" hidden="1" customHeight="1">
      <c r="A95" s="147"/>
      <c r="B95" s="148"/>
      <c r="C95" s="149"/>
      <c r="D95" s="150"/>
      <c r="E95" s="149"/>
      <c r="F95" s="150"/>
      <c r="G95" s="149"/>
      <c r="H95" s="150"/>
      <c r="I95" s="149"/>
      <c r="J95" s="150"/>
      <c r="K95" s="149"/>
      <c r="L95" s="150"/>
      <c r="M95" s="149"/>
      <c r="N95" s="150"/>
      <c r="O95" s="149"/>
      <c r="P95" s="150"/>
      <c r="Q95" s="149"/>
      <c r="R95" s="150"/>
      <c r="S95" s="149"/>
      <c r="T95" s="150"/>
      <c r="U95" s="149"/>
      <c r="V95" s="150"/>
      <c r="W95" s="149"/>
      <c r="X95" s="150"/>
      <c r="Y95" s="149"/>
      <c r="Z95" s="150"/>
      <c r="AA95" s="149"/>
      <c r="AB95" s="150"/>
      <c r="AC95" s="149"/>
      <c r="AD95" s="150"/>
      <c r="AE95" s="149"/>
      <c r="AF95" s="150"/>
      <c r="AG95" s="149"/>
      <c r="AH95" s="150"/>
      <c r="AI95" s="149"/>
      <c r="AJ95" s="150"/>
      <c r="AL95" s="211" t="e">
        <f t="shared" si="123"/>
        <v>#DIV/0!</v>
      </c>
      <c r="AM95" s="70" t="e">
        <f t="shared" si="124"/>
        <v>#DIV/0!</v>
      </c>
      <c r="AN95" s="276" t="e">
        <f t="shared" si="125"/>
        <v>#DIV/0!</v>
      </c>
      <c r="AO95" s="276" t="e">
        <f t="shared" si="126"/>
        <v>#DIV/0!</v>
      </c>
    </row>
    <row r="96" spans="1:41" s="142" customFormat="1" ht="21" hidden="1" customHeight="1">
      <c r="A96" s="147"/>
      <c r="B96" s="148"/>
      <c r="C96" s="149"/>
      <c r="D96" s="150"/>
      <c r="E96" s="149"/>
      <c r="F96" s="150"/>
      <c r="G96" s="149"/>
      <c r="H96" s="150"/>
      <c r="I96" s="149"/>
      <c r="J96" s="150"/>
      <c r="K96" s="149"/>
      <c r="L96" s="150"/>
      <c r="M96" s="149"/>
      <c r="N96" s="150"/>
      <c r="O96" s="149"/>
      <c r="P96" s="150"/>
      <c r="Q96" s="149"/>
      <c r="R96" s="150"/>
      <c r="S96" s="149"/>
      <c r="T96" s="150"/>
      <c r="U96" s="149"/>
      <c r="V96" s="150"/>
      <c r="W96" s="149"/>
      <c r="X96" s="150"/>
      <c r="Y96" s="149"/>
      <c r="Z96" s="150"/>
      <c r="AA96" s="149"/>
      <c r="AB96" s="150"/>
      <c r="AC96" s="149"/>
      <c r="AD96" s="150"/>
      <c r="AE96" s="149"/>
      <c r="AF96" s="150"/>
      <c r="AG96" s="149"/>
      <c r="AH96" s="150"/>
      <c r="AI96" s="149"/>
      <c r="AJ96" s="150"/>
      <c r="AL96" s="211" t="e">
        <f t="shared" si="123"/>
        <v>#DIV/0!</v>
      </c>
      <c r="AM96" s="70" t="e">
        <f t="shared" si="124"/>
        <v>#DIV/0!</v>
      </c>
      <c r="AN96" s="276" t="e">
        <f t="shared" si="125"/>
        <v>#DIV/0!</v>
      </c>
      <c r="AO96" s="276" t="e">
        <f t="shared" si="126"/>
        <v>#DIV/0!</v>
      </c>
    </row>
    <row r="97" spans="1:41" s="142" customFormat="1" ht="21" hidden="1" customHeight="1">
      <c r="A97" s="147"/>
      <c r="B97" s="148"/>
      <c r="C97" s="149"/>
      <c r="D97" s="150"/>
      <c r="E97" s="149"/>
      <c r="F97" s="150"/>
      <c r="G97" s="149"/>
      <c r="H97" s="150"/>
      <c r="I97" s="149"/>
      <c r="J97" s="150"/>
      <c r="K97" s="149"/>
      <c r="L97" s="150"/>
      <c r="M97" s="149"/>
      <c r="N97" s="150"/>
      <c r="O97" s="149"/>
      <c r="P97" s="150"/>
      <c r="Q97" s="149"/>
      <c r="R97" s="150"/>
      <c r="S97" s="149"/>
      <c r="T97" s="150"/>
      <c r="U97" s="149"/>
      <c r="V97" s="150"/>
      <c r="W97" s="149"/>
      <c r="X97" s="150"/>
      <c r="Y97" s="149"/>
      <c r="Z97" s="150"/>
      <c r="AA97" s="149"/>
      <c r="AB97" s="150"/>
      <c r="AC97" s="149"/>
      <c r="AD97" s="150"/>
      <c r="AE97" s="149"/>
      <c r="AF97" s="150"/>
      <c r="AG97" s="149"/>
      <c r="AH97" s="150"/>
      <c r="AI97" s="149"/>
      <c r="AJ97" s="150"/>
      <c r="AL97" s="211" t="e">
        <f t="shared" si="123"/>
        <v>#DIV/0!</v>
      </c>
      <c r="AM97" s="70" t="e">
        <f t="shared" si="124"/>
        <v>#DIV/0!</v>
      </c>
      <c r="AN97" s="276" t="e">
        <f t="shared" si="125"/>
        <v>#DIV/0!</v>
      </c>
      <c r="AO97" s="276" t="e">
        <f t="shared" si="126"/>
        <v>#DIV/0!</v>
      </c>
    </row>
    <row r="98" spans="1:41" s="142" customFormat="1" ht="21" hidden="1" customHeight="1">
      <c r="A98" s="147"/>
      <c r="B98" s="148"/>
      <c r="C98" s="149"/>
      <c r="D98" s="150"/>
      <c r="E98" s="149"/>
      <c r="F98" s="150"/>
      <c r="G98" s="149"/>
      <c r="H98" s="150"/>
      <c r="I98" s="149"/>
      <c r="J98" s="150"/>
      <c r="K98" s="149"/>
      <c r="L98" s="150"/>
      <c r="M98" s="149"/>
      <c r="N98" s="150"/>
      <c r="O98" s="149"/>
      <c r="P98" s="150"/>
      <c r="Q98" s="149"/>
      <c r="R98" s="150"/>
      <c r="S98" s="149"/>
      <c r="T98" s="150"/>
      <c r="U98" s="149"/>
      <c r="V98" s="150"/>
      <c r="W98" s="149"/>
      <c r="X98" s="150"/>
      <c r="Y98" s="149"/>
      <c r="Z98" s="150"/>
      <c r="AA98" s="149"/>
      <c r="AB98" s="150"/>
      <c r="AC98" s="149"/>
      <c r="AD98" s="150"/>
      <c r="AE98" s="149"/>
      <c r="AF98" s="150"/>
      <c r="AG98" s="149"/>
      <c r="AH98" s="150"/>
      <c r="AI98" s="149"/>
      <c r="AJ98" s="150"/>
      <c r="AL98" s="211" t="e">
        <f t="shared" si="123"/>
        <v>#DIV/0!</v>
      </c>
      <c r="AM98" s="70" t="e">
        <f t="shared" si="124"/>
        <v>#DIV/0!</v>
      </c>
      <c r="AN98" s="276" t="e">
        <f t="shared" si="125"/>
        <v>#DIV/0!</v>
      </c>
      <c r="AO98" s="276" t="e">
        <f t="shared" si="126"/>
        <v>#DIV/0!</v>
      </c>
    </row>
    <row r="99" spans="1:41" s="142" customFormat="1" ht="21" hidden="1" customHeight="1">
      <c r="A99" s="147"/>
      <c r="B99" s="148"/>
      <c r="C99" s="149"/>
      <c r="D99" s="150"/>
      <c r="E99" s="149"/>
      <c r="F99" s="150"/>
      <c r="G99" s="149"/>
      <c r="H99" s="150"/>
      <c r="I99" s="149"/>
      <c r="J99" s="150"/>
      <c r="K99" s="149"/>
      <c r="L99" s="150"/>
      <c r="M99" s="149"/>
      <c r="N99" s="150"/>
      <c r="O99" s="149"/>
      <c r="P99" s="150"/>
      <c r="Q99" s="149"/>
      <c r="R99" s="150"/>
      <c r="S99" s="149"/>
      <c r="T99" s="150"/>
      <c r="U99" s="149"/>
      <c r="V99" s="150"/>
      <c r="W99" s="149"/>
      <c r="X99" s="150"/>
      <c r="Y99" s="149"/>
      <c r="Z99" s="150"/>
      <c r="AA99" s="149"/>
      <c r="AB99" s="150"/>
      <c r="AC99" s="149"/>
      <c r="AD99" s="150"/>
      <c r="AE99" s="149"/>
      <c r="AF99" s="150"/>
      <c r="AG99" s="149"/>
      <c r="AH99" s="150"/>
      <c r="AI99" s="149"/>
      <c r="AJ99" s="150"/>
      <c r="AL99" s="211" t="e">
        <f t="shared" si="123"/>
        <v>#DIV/0!</v>
      </c>
      <c r="AM99" s="70" t="e">
        <f t="shared" si="124"/>
        <v>#DIV/0!</v>
      </c>
      <c r="AN99" s="276" t="e">
        <f t="shared" si="125"/>
        <v>#DIV/0!</v>
      </c>
      <c r="AO99" s="276" t="e">
        <f t="shared" si="126"/>
        <v>#DIV/0!</v>
      </c>
    </row>
    <row r="100" spans="1:41" s="142" customFormat="1" ht="21" hidden="1" customHeight="1">
      <c r="A100" s="147"/>
      <c r="B100" s="148"/>
      <c r="C100" s="149"/>
      <c r="D100" s="150"/>
      <c r="E100" s="149"/>
      <c r="F100" s="150"/>
      <c r="G100" s="149"/>
      <c r="H100" s="150"/>
      <c r="I100" s="149"/>
      <c r="J100" s="150"/>
      <c r="K100" s="149"/>
      <c r="L100" s="150"/>
      <c r="M100" s="149"/>
      <c r="N100" s="150"/>
      <c r="O100" s="149"/>
      <c r="P100" s="150"/>
      <c r="Q100" s="149"/>
      <c r="R100" s="150"/>
      <c r="S100" s="149"/>
      <c r="T100" s="150"/>
      <c r="U100" s="149"/>
      <c r="V100" s="150"/>
      <c r="W100" s="149"/>
      <c r="X100" s="150"/>
      <c r="Y100" s="149"/>
      <c r="Z100" s="150"/>
      <c r="AA100" s="149"/>
      <c r="AB100" s="150"/>
      <c r="AC100" s="149"/>
      <c r="AD100" s="150"/>
      <c r="AE100" s="149"/>
      <c r="AF100" s="150"/>
      <c r="AG100" s="149"/>
      <c r="AH100" s="150"/>
      <c r="AI100" s="149"/>
      <c r="AJ100" s="150"/>
      <c r="AL100" s="211" t="e">
        <f t="shared" si="123"/>
        <v>#DIV/0!</v>
      </c>
      <c r="AM100" s="70" t="e">
        <f t="shared" si="124"/>
        <v>#DIV/0!</v>
      </c>
      <c r="AN100" s="276" t="e">
        <f t="shared" si="125"/>
        <v>#DIV/0!</v>
      </c>
      <c r="AO100" s="276" t="e">
        <f t="shared" si="126"/>
        <v>#DIV/0!</v>
      </c>
    </row>
    <row r="101" spans="1:41" s="142" customFormat="1" ht="21" hidden="1" customHeight="1">
      <c r="A101" s="147"/>
      <c r="B101" s="148" t="str">
        <f t="shared" si="97"/>
        <v/>
      </c>
      <c r="C101" s="149" t="str">
        <f t="shared" si="70"/>
        <v/>
      </c>
      <c r="D101" s="150" t="str">
        <f t="shared" si="98"/>
        <v/>
      </c>
      <c r="E101" s="149" t="str">
        <f t="shared" si="71"/>
        <v/>
      </c>
      <c r="F101" s="150" t="str">
        <f>IF($A101="","",IF(E101="","",IF($K$4="Media aritmética",(E101&lt;=$B101)*($E$5/$B$4)+(E101&gt;$B101)*0,IF(AND(ROUND(AVERAGE($C101,$E101,$G101,$I101,$K101,$M101,$O101,$Q101,$S101,$U101,$W101,$Y101,$AA101,$AC101,$AE101,$AG101,$AI101),2)-$B101/2&lt;=E101,(ROUND(AVERAGE($C101,$E101,$G101,$I101,$K101,$M101,$O101,$Q101,$S101,$U101,$W101,$Y101,$AA101,$AC101,$AE101,$AG101,$AI101),2)+$B101/2&gt;=E101)),($E$5/$B$4),0))))</f>
        <v/>
      </c>
      <c r="G101" s="149" t="str">
        <f t="shared" ca="1" si="72"/>
        <v/>
      </c>
      <c r="H101" s="150" t="str">
        <f t="shared" si="100"/>
        <v/>
      </c>
      <c r="I101" s="149" t="str">
        <f t="shared" ca="1" si="73"/>
        <v/>
      </c>
      <c r="J101" s="150" t="str">
        <f t="shared" si="101"/>
        <v/>
      </c>
      <c r="K101" s="149" t="str">
        <f t="shared" ca="1" si="74"/>
        <v/>
      </c>
      <c r="L101" s="150" t="str">
        <f t="shared" si="102"/>
        <v/>
      </c>
      <c r="M101" s="149" t="str">
        <f t="shared" ref="M101" ca="1" si="138">IF($M$8="Habilitado",IF($A101="","",ROUND(VLOOKUP($A101,OFERENTE_6,15,FALSE),2)),"")</f>
        <v/>
      </c>
      <c r="N101" s="150" t="str">
        <f t="shared" si="104"/>
        <v/>
      </c>
      <c r="O101" s="149" t="str">
        <f t="shared" ca="1" si="75"/>
        <v/>
      </c>
      <c r="P101" s="150" t="str">
        <f t="shared" si="105"/>
        <v/>
      </c>
      <c r="Q101" s="149" t="str">
        <f ca="1">IF($Q$8="Habilitado",IF($A101="","",ROUND(VLOOKUP($A101,OFERENTE_7,15,FALSE),2)),"")</f>
        <v/>
      </c>
      <c r="R101" s="150" t="str">
        <f t="shared" si="107"/>
        <v/>
      </c>
      <c r="S101" s="149" t="str">
        <f ca="1">IF($S$8="Habilitado",IF($A101="","",ROUND(VLOOKUP($A101,OFERENTE_7,15,FALSE),2)),"")</f>
        <v/>
      </c>
      <c r="T101" s="150" t="str">
        <f t="shared" si="109"/>
        <v/>
      </c>
      <c r="U101" s="149" t="str">
        <f ca="1">IF($U$8="Habilitado",IF($A101="","",ROUND(VLOOKUP($A101,OFERENTE_7,15,FALSE),2)),"")</f>
        <v/>
      </c>
      <c r="V101" s="150" t="str">
        <f t="shared" si="111"/>
        <v/>
      </c>
      <c r="W101" s="149" t="str">
        <f t="shared" ref="W101" ca="1" si="139">IF($W$8="Habilitado",IF($A101="","",ROUND(VLOOKUP($A101,OFERENTE_11,14,FALSE),2)),"")</f>
        <v/>
      </c>
      <c r="X101" s="150" t="str">
        <f t="shared" si="113"/>
        <v/>
      </c>
      <c r="Y101" s="149" t="str">
        <f t="shared" ref="Y101" ca="1" si="140">IF($Y$8="Habilitado",IF($A101="","",ROUND(VLOOKUP($A101,OFERENTE_12,14,FALSE),2)),"")</f>
        <v/>
      </c>
      <c r="Z101" s="150" t="str">
        <f t="shared" si="115"/>
        <v/>
      </c>
      <c r="AA101" s="149" t="str">
        <f t="shared" ref="AA101" ca="1" si="141">IF($AA$8="Habilitado",IF($A101="","",ROUND(VLOOKUP($A101,OFERENTE_13,14,FALSE),2)),"")</f>
        <v/>
      </c>
      <c r="AB101" s="150" t="str">
        <f t="shared" si="117"/>
        <v/>
      </c>
      <c r="AC101" s="149" t="str">
        <f t="shared" ref="AC101" ca="1" si="142">IF($AC$8="Habilitado",IF($A101="","",ROUND(VLOOKUP($A101,OFERENTE_14,14,FALSE),2)),"")</f>
        <v/>
      </c>
      <c r="AD101" s="150" t="str">
        <f t="shared" si="119"/>
        <v/>
      </c>
      <c r="AE101" s="149" t="str">
        <f t="shared" si="94"/>
        <v/>
      </c>
      <c r="AF101" s="150" t="str">
        <f t="shared" si="120"/>
        <v/>
      </c>
      <c r="AG101" s="149" t="str">
        <f t="shared" si="95"/>
        <v/>
      </c>
      <c r="AH101" s="150" t="str">
        <f t="shared" si="121"/>
        <v/>
      </c>
      <c r="AI101" s="149" t="str">
        <f t="shared" si="96"/>
        <v/>
      </c>
      <c r="AJ101" s="150" t="str">
        <f t="shared" si="122"/>
        <v/>
      </c>
      <c r="AL101" s="211" t="e">
        <f t="shared" ca="1" si="123"/>
        <v>#DIV/0!</v>
      </c>
      <c r="AM101" s="70" t="e">
        <f t="shared" ca="1" si="124"/>
        <v>#DIV/0!</v>
      </c>
      <c r="AN101" s="276" t="e">
        <f t="shared" ca="1" si="125"/>
        <v>#DIV/0!</v>
      </c>
      <c r="AO101" s="276" t="e">
        <f t="shared" ca="1" si="126"/>
        <v>#DIV/0!</v>
      </c>
    </row>
    <row r="102" spans="1:41" ht="21" customHeight="1"/>
    <row r="103" spans="1:41" ht="21.75" customHeight="1">
      <c r="A103" s="865" t="s">
        <v>130</v>
      </c>
      <c r="B103" s="866"/>
      <c r="C103" s="867"/>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row>
    <row r="104" spans="1:41" s="142" customFormat="1" ht="21" customHeight="1">
      <c r="A104" s="277">
        <v>1.3</v>
      </c>
      <c r="B104" s="148" t="e">
        <f ca="1">IF(A104="","",IF($K$4="Media aritmética",ROUND(AVERAGE(C104,E104,G104,I104,K104,M104,O104,Q104,S104,U104,W104,Y104,AA104,AC104,AE104,AG104,AI104),2),ROUND(_xlfn.STDEV.P(C104,E104,G104,I104,K104,M104,O104,Q104,S104,U104,W104,Y104,AA104,AC104,AE104,AG104,AI104),2)))</f>
        <v>#DIV/0!</v>
      </c>
      <c r="C104" s="149" t="str">
        <f t="shared" ref="C104:C140" si="143">IF($C$8="Habilitado",IF($A104="","",ROUND(VLOOKUP($A104,OFERENTE_1,15,FALSE),2)),"")</f>
        <v/>
      </c>
      <c r="D104" s="150" t="str">
        <f>IF($A104="","",IF(C104="","",IF($K$4="Media aritmética",(C104&lt;=$B104)*($G$5/$B$5)+(C104&gt;$B104)*0,IF(AND(ROUND(AVERAGE($C104,$E104,$G104,$I104,$K104,$M104,$O104,$Q104,$S104,$U104,$W104,$Y104,$AA104,$AC104,$AE104,$AG104,$AI104),2)-$B104/2&lt;=C104,(ROUND(AVERAGE($C104,$E104,$G104,$I104,$K104,$M104,$O104,$Q104,$S104,$U104,$W104,$Y104,$AA104,$AC104,$AE104,$AG104,$AI104),2)+$B104/2&gt;=C104)),($G$5/$B$5),0))))</f>
        <v/>
      </c>
      <c r="E104" s="149" t="str">
        <f t="shared" ref="E104:E140" si="144">IF($E$8="Habilitado",IF($A104="","",ROUND(VLOOKUP($A104,OFERENTE_2,15,FALSE),2)),"")</f>
        <v/>
      </c>
      <c r="F104" s="150" t="str">
        <f>IF($A104="","",IF(E104="","",IF($K$4="Media aritmética",(E104&lt;=$B104)*($G$5/$B$5)+(E104&gt;$B104)*0,IF(AND(ROUND(AVERAGE($C104,$E104,$G104,$I104,$K104,$M104,$O104,$Q104,$S104,$U104,$W104,$Y104,$AA104,$AC104,$AE104,$AG104,$AI104),2)-$B104/2&lt;=E104,(ROUND(AVERAGE($C104,$E104,$G104,$I104,$K104,$M104,$O104,$Q104,$S104,$U104,$W104,$Y104,$AA104,$AC104,$AE104,$AG104,$AI104),2)+$B104/2&gt;=E104)),($G$5/$B$5),0))))</f>
        <v/>
      </c>
      <c r="G104" s="149" t="str">
        <f t="shared" ref="G104:G140" ca="1" si="145">IF($G$8="Habilitado",IF($A104="","",ROUND(VLOOKUP($A104,OFERENTE_3,15,FALSE),2)),"")</f>
        <v/>
      </c>
      <c r="H104" s="150" t="str">
        <f ca="1">IF($A104="","",IF(G104="","",IF($K$4="Media aritmética",(G104&lt;=$B104)*($G$5/$B$5)+(G104&gt;$B104)*0,IF(AND(ROUND(AVERAGE($C104,$E104,$G104,$I104,$K104,$M104,$O104,$Q104,$S104,$U104,$W104,$Y104,$AA104,$AC104,$AE104,$AG104,$AI104),2)-$B104/2&lt;=G104,(ROUND(AVERAGE($C104,$E104,$G104,$I104,$K104,$M104,$O104,$Q104,$S104,$U104,$W104,$Y104,$AA104,$AC104,$AE104,$AG104,$AI104),2)+$B104/2&gt;=G104)),($G$5/$B$5),0))))</f>
        <v/>
      </c>
      <c r="I104" s="149" t="str">
        <f t="shared" ref="I104:I140" ca="1" si="146">IF($I$8="Habilitado",IF($A104="","",ROUND(VLOOKUP($A104,OFERENTE_4,15,FALSE),2)),"")</f>
        <v/>
      </c>
      <c r="J104" s="150" t="str">
        <f ca="1">IF($A104="","",IF(I104="","",IF($K$4="Media aritmética",(I104&lt;=$B104)*($G$5/$B$5)+(I104&gt;$B104)*0,IF(AND(ROUND(AVERAGE($C104,$E104,$G104,$I104,$K104,$M104,$O104,$Q104,$S104,$U104,$W104,$Y104,$AA104,$AC104,$AE104,$AG104,$AI104),2)-$B104/2&lt;=I104,(ROUND(AVERAGE($C104,$E104,$G104,$I104,$K104,$M104,$O104,$Q104,$S104,$U104,$W104,$Y104,$AA104,$AC104,$AE104,$AG104,$AI104),2)+$B104/2&gt;=I104)),($G$5/$B$5),0))))</f>
        <v/>
      </c>
      <c r="K104" s="149" t="str">
        <f t="shared" ref="K104:K140" ca="1" si="147">IF($K$8="Habilitado",IF($A104="","",ROUND(VLOOKUP($A104,OFERENTE_5,15,FALSE),2)),"")</f>
        <v/>
      </c>
      <c r="L104" s="150" t="str">
        <f ca="1">IF($A104="","",IF(K104="","",IF($K$4="Media aritmética",(K104&lt;=$B104)*($G$5/$B$5)+(K104&gt;$B104)*0,IF(AND(ROUND(AVERAGE($C104,$E104,$G104,$I104,$K104,$M104,$O104,$Q104,$S104,$U104,$W104,$Y104,$AA104,$AC104,$AE104,$AG104,$AI104),2)-$B104/2&lt;=K104,(ROUND(AVERAGE($C104,$E104,$G104,$I104,$K104,$M104,$O104,$Q104,$S104,$U104,$W104,$Y104,$AA104,$AC104,$AE104,$AG104,$AI104),2)+$B104/2&gt;=K104)),($G$5/$B$5),0))))</f>
        <v/>
      </c>
      <c r="M104" s="149" t="str">
        <f t="shared" ref="M104:M140" ca="1" si="148">IF($M$8="Habilitado",IF($A104="","",ROUND(VLOOKUP($A104,OFERENTE_6,15,FALSE),2)),"")</f>
        <v/>
      </c>
      <c r="N104" s="150" t="str">
        <f ca="1">IF($A104="","",IF(M104="","",IF($K$4="Media aritmética",(M104&lt;=$B104)*($G$5/$B$5)+(M104&gt;$B104)*0,IF(AND(ROUND(AVERAGE($C104,$E104,$G104,$I104,$K104,$M104,$O104,$Q104,$S104,$U104,$W104,$Y104,$AA104,$AC104,$AE104,$AG104,$AI104),2)-$B104/2&lt;=M104,(ROUND(AVERAGE($C104,$E104,$G104,$I104,$K104,$M104,$O104,$Q104,$S104,$U104,$W104,$Y104,$AA104,$AC104,$AE104,$AG104,$AI104),2)+$B104/2&gt;=M104)),($G$5/$B$5),0))))</f>
        <v/>
      </c>
      <c r="O104" s="149" t="str">
        <f t="shared" ref="O104:O136" ca="1" si="149">IF($O$8="Habilitado",IF($A104="","",ROUND(VLOOKUP($A104,OFERENTE_7,15,FALSE),2)),"")</f>
        <v/>
      </c>
      <c r="P104" s="150" t="str">
        <f ca="1">IF($A104="","",IF(O104="","",IF($K$4="Media aritmética",(O104&lt;=$B104)*($G$5/$B$5)+(O104&gt;$B104)*0,IF(AND(ROUND(AVERAGE($C104,$E104,$G104,$I104,$K104,$M104,$O104,$Q104,$S104,$U104,$W104,$Y104,$AA104,$AC104,$AE104,$AG104,$AI104),2)-$B104/2&lt;=O104,(ROUND(AVERAGE($C104,$E104,$G104,$I104,$K104,$M104,$O104,$Q104,$S104,$U104,$W104,$Y104,$AA104,$AC104,$AE104,$AG104,$AI104),2)+$B104/2&gt;=O104)),($G$5/$B$5),0))))</f>
        <v/>
      </c>
      <c r="Q104" s="149" t="str">
        <f t="shared" ref="Q104:Q140" ca="1" si="150">IF($Q$8="Habilitado",IF($A104="","",ROUND(VLOOKUP($A104,OFERENTE_8,15,FALSE),2)),"")</f>
        <v/>
      </c>
      <c r="R104" s="150" t="str">
        <f ca="1">IF($A104="","",IF(Q104="","",IF($K$4="Media aritmética",(Q104&lt;=$B104)*($G$5/$B$5)+(Q104&gt;$B104)*0,IF(AND(ROUND(AVERAGE($C104,$E104,$G104,$I104,$K104,$M104,$O104,$Q104,$S104,$U104,$W104,$Y104,$AA104,$AC104,$AE104,$AG104,$AI104),2)-$B104/2&lt;=Q104,(ROUND(AVERAGE($C104,$E104,$G104,$I104,$K104,$M104,$O104,$Q104,$S104,$U104,$W104,$Y104,$AA104,$AC104,$AE104,$AG104,$AI104),2)+$B104/2&gt;=Q104)),($G$5/$B$5),0))))</f>
        <v/>
      </c>
      <c r="S104" s="149" t="str">
        <f t="shared" ref="S104:S140" ca="1" si="151">IF($S$8="Habilitado",IF($A104="","",ROUND(VLOOKUP($A104,OFERENTE_9,15,FALSE),2)),"")</f>
        <v/>
      </c>
      <c r="T104" s="150" t="str">
        <f ca="1">IF($A104="","",IF(S104="","",IF($K$4="Media aritmética",(S104&lt;=$B104)*($G$5/$B$5)+(S104&gt;$B104)*0,IF(AND(ROUND(AVERAGE($C104,$E104,$G104,$I104,$K104,$M104,$O104,$Q104,$S104,$U104,$W104,$Y104,$AA104,$AC104,$AE104,$AG104,$AI104),2)-$B104/2&lt;=S104,(ROUND(AVERAGE($C104,$E104,$G104,$I104,$K104,$M104,$O104,$Q104,$S104,$U104,$W104,$Y104,$AA104,$AC104,$AE104,$AG104,$AI104),2)+$B104/2&gt;=S104)),($G$5/$B$5),0))))</f>
        <v/>
      </c>
      <c r="U104" s="149" t="str">
        <f t="shared" ref="U104:U140" ca="1" si="152">IF($U$8="Habilitado",IF($A104="","",ROUND(VLOOKUP($A104,OFERENTE_10,15,FALSE),2)),"")</f>
        <v/>
      </c>
      <c r="V104" s="150" t="str">
        <f ca="1">IF($A104="","",IF(U104="","",IF($K$4="Media aritmética",(U104&lt;=$B104)*($G$5/$B$5)+(U104&gt;$B104)*0,IF(AND(ROUND(AVERAGE($C104,$E104,$G104,$I104,$K104,$M104,$O104,$Q104,$S104,$U104,$W104,$Y104,$AA104,$AC104,$AE104,$AG104,$AI104),2)-$B104/2&lt;=U104,(ROUND(AVERAGE($C104,$E104,$G104,$I104,$K104,$M104,$O104,$Q104,$S104,$U104,$W104,$Y104,$AA104,$AC104,$AE104,$AG104,$AI104),2)+$B104/2&gt;=U104)),($G$5/$B$5),0))))</f>
        <v/>
      </c>
      <c r="W104" s="149" t="str">
        <f t="shared" ref="W104:W140" ca="1" si="153">IF($W$8="Habilitado",IF($A104="","",ROUND(VLOOKUP($A104,OFERENTE_11,15,FALSE),2)),"")</f>
        <v/>
      </c>
      <c r="X104" s="150" t="str">
        <f ca="1">IF($A104="","",IF(W104="","",IF($K$4="Media aritmética",(W104&lt;=$B104)*($G$5/$B$5)+(W104&gt;$B104)*0,IF(AND(ROUND(AVERAGE($C104,$E104,$G104,$I104,$K104,$M104,$O104,$Q104,$S104,$U104,$W104,$Y104,$AA104,$AC104,$AE104,$AG104,$AI104),2)-$B104/2&lt;=W104,(ROUND(AVERAGE($C104,$E104,$G104,$I104,$K104,$M104,$O104,$Q104,$S104,$U104,$W104,$Y104,$AA104,$AC104,$AE104,$AG104,$AI104),2)+$B104/2&gt;=W104)),($G$5/$B$5),0))))</f>
        <v/>
      </c>
      <c r="Y104" s="149" t="str">
        <f t="shared" ref="Y104:Y140" ca="1" si="154">IF($Y$8="Habilitado",IF($A104="","",ROUND(VLOOKUP($A104,OFERENTE_12,15,FALSE),2)),"")</f>
        <v/>
      </c>
      <c r="Z104" s="150" t="str">
        <f ca="1">IF($A104="","",IF(Y104="","",IF($K$4="Media aritmética",(Y104&lt;=$B104)*($G$5/$B$5)+(Y104&gt;$B104)*0,IF(AND(ROUND(AVERAGE($C104,$E104,$G104,$I104,$K104,$M104,$O104,$Q104,$S104,$U104,$W104,$Y104,$AA104,$AC104,$AE104,$AG104,$AI104),2)-$B104/2&lt;=Y104,(ROUND(AVERAGE($C104,$E104,$G104,$I104,$K104,$M104,$O104,$Q104,$S104,$U104,$W104,$Y104,$AA104,$AC104,$AE104,$AG104,$AI104),2)+$B104/2&gt;=Y104)),($G$5/$B$5),0))))</f>
        <v/>
      </c>
      <c r="AA104" s="149" t="str">
        <f t="shared" ref="AA104:AA140" ca="1" si="155">IF($AA$8="Habilitado",IF($A104="","",ROUND(VLOOKUP($A104,OFERENTE_13,15,FALSE),2)),"")</f>
        <v/>
      </c>
      <c r="AB104" s="150" t="str">
        <f ca="1">IF($A104="","",IF(AA104="","",IF($K$4="Media aritmética",(AA104&lt;=$B104)*($G$5/$B$5)+(AA104&gt;$B104)*0,IF(AND(ROUND(AVERAGE($C104,$E104,$G104,$I104,$K104,$M104,$O104,$Q104,$S104,$U104,$W104,$Y104,$AA104,$AC104,$AE104,$AG104,$AI104),2)-$B104/2&lt;=AA104,(ROUND(AVERAGE($C104,$E104,$G104,$I104,$K104,$M104,$O104,$Q104,$S104,$U104,$W104,$Y104,$AA104,$AC104,$AE104,$AG104,$AI104),2)+$B104/2&gt;=AA104)),($G$5/$B$5),0))))</f>
        <v/>
      </c>
      <c r="AC104" s="149" t="str">
        <f t="shared" ref="AC104:AC140" ca="1" si="156">IF($AC$8="Habilitado",IF($A104="","",ROUND(VLOOKUP($A104,OFERENTE_14,15,FALSE),2)),"")</f>
        <v/>
      </c>
      <c r="AD104" s="150" t="str">
        <f ca="1">IF($A104="","",IF(AC104="","",IF($K$4="Media aritmética",(AC104&lt;=$B104)*($G$5/$B$5)+(AC104&gt;$B104)*0,IF(AND(ROUND(AVERAGE($C104,$E104,$G104,$I104,$K104,$M104,$O104,$Q104,$S104,$U104,$W104,$Y104,$AA104,$AC104,$AE104,$AG104,$AI104),2)-$B104/2&lt;=AC104,(ROUND(AVERAGE($C104,$E104,$G104,$I104,$K104,$M104,$O104,$Q104,$S104,$U104,$W104,$Y104,$AA104,$AC104,$AE104,$AG104,$AI104),2)+$B104/2&gt;=AC104)),($G$5/$B$5),0))))</f>
        <v/>
      </c>
      <c r="AE104" s="149" t="str">
        <f t="shared" ref="AE104:AE135" si="157">IF($AE$8="Habilitado",IF($A104="","",ROUND(VLOOKUP($A104,OFERENTE_15,14,FALSE),2)),"")</f>
        <v/>
      </c>
      <c r="AF104" s="150" t="str">
        <f>IF($A104="","",IF(AE104="","",IF($K$4="Media aritmética",(AE104&lt;=$B104)*($G$5/$B$5)+(AE104&gt;$B104)*0,IF(AND(ROUND(AVERAGE($C104,$E104,$G104,$I104,$K104,$M104,$O104,$Q104,$S104,$U104,$W104,$Y104,$AA104,$AC104,$AE104,$AG104,$AI104),2)-$B104/2&lt;=AE104,(ROUND(AVERAGE($C104,$E104,$G104,$I104,$K104,$M104,$O104,$Q104,$S104,$U104,$W104,$Y104,$AA104,$AC104,$AE104,$AG104,$AI104),2)+$B104/2&gt;=AE104)),($G$5/$B$5),0))))</f>
        <v/>
      </c>
      <c r="AG104" s="149" t="str">
        <f t="shared" ref="AG104:AG135" si="158">IF($AG$8="Habilitado",IF($A104="","",ROUND(VLOOKUP($A104,OFERENTE_16,14,FALSE),2)),"")</f>
        <v/>
      </c>
      <c r="AH104" s="150" t="str">
        <f>IF($A104="","",IF(AG104="","",IF($K$4="Media aritmética",(AG104&lt;=$B104)*($G$5/$B$5)+(AG104&gt;$B104)*0,IF(AND(ROUND(AVERAGE($C104,$E104,$G104,$I104,$K104,$M104,$O104,$Q104,$S104,$U104,$W104,$Y104,$AA104,$AC104,$AE104,$AG104,$AI104),2)-$B104/2&lt;=AG104,(ROUND(AVERAGE($C104,$E104,$G104,$I104,$K104,$M104,$O104,$Q104,$S104,$U104,$W104,$Y104,$AA104,$AC104,$AE104,$AG104,$AI104),2)+$B104/2&gt;=AG104)),($G$5/$B$5),0))))</f>
        <v/>
      </c>
      <c r="AI104" s="149" t="str">
        <f t="shared" ref="AI104:AI135" si="159">IF($AI$8="Habilitado",IF($A104="","",ROUND(VLOOKUP($A104,OFERENTE_17,14,FALSE),2)),"")</f>
        <v/>
      </c>
      <c r="AJ104" s="150" t="str">
        <f>IF($A104="","",IF(AI104="","",IF($K$4="Media aritmética",(AI104&lt;=$B104)*($G$5/$B$5)+(AI104&gt;$B104)*0,IF(AND(ROUND(AVERAGE($C104,$E104,$G104,$I104,$K104,$M104,$O104,$Q104,$S104,$U104,$W104,$Y104,$AA104,$AC104,$AE104,$AG104,$AI104),2)-$B104/2&lt;=AI104,(ROUND(AVERAGE($C104,$E104,$G104,$I104,$K104,$M104,$O104,$Q104,$S104,$U104,$W104,$Y104,$AA104,$AC104,$AE104,$AG104,$AI104),2)+$B104/2&gt;=AI104)),($G$5/$B$5),0))))</f>
        <v/>
      </c>
      <c r="AL104" s="211" t="e">
        <f t="shared" ref="AL104" ca="1" si="160">AVERAGE(C104,E104,G104,I104,K104,M104,O104,Q104,S104,U104,W104,Y104,AC104)</f>
        <v>#DIV/0!</v>
      </c>
      <c r="AM104" s="70" t="e">
        <f t="shared" ref="AM104" ca="1" si="161">_xlfn.STDEV.P(C104,E104,G104,I104,K104,M104,O104,Q104,S104,U104,W104,Y104,AC104)</f>
        <v>#DIV/0!</v>
      </c>
      <c r="AN104" s="276" t="e">
        <f t="shared" ref="AN104" ca="1" si="162">AL104+(AM104/2)</f>
        <v>#DIV/0!</v>
      </c>
      <c r="AO104" s="276" t="e">
        <f t="shared" ref="AO104" ca="1" si="163">AL104-(AM104/2)</f>
        <v>#DIV/0!</v>
      </c>
    </row>
    <row r="105" spans="1:41" s="142" customFormat="1" ht="21" customHeight="1">
      <c r="A105" s="277">
        <v>1.4</v>
      </c>
      <c r="B105" s="148" t="e">
        <f ca="1">IF(A105="","",IF($K$4="Media aritmética",ROUND(AVERAGE(C105,E105,G105,I105,K105,M105,O105,Q105,S105,U105,W105,Y105,AA105,AC105,AE105,AG105,AI105),2),ROUND(_xlfn.STDEV.P(C105,E105,G105,I105,K105,M105,O105,Q105,S105,U105,W105,Y105,AA105,AC105,AE105,AG105,AI105),2)))</f>
        <v>#DIV/0!</v>
      </c>
      <c r="C105" s="149" t="str">
        <f t="shared" si="143"/>
        <v/>
      </c>
      <c r="D105" s="150" t="str">
        <f t="shared" ref="D105:D135" si="164">IF($A105="","",IF(C105="","",IF($K$4="Media aritmética",(C105&lt;=$B105)*($G$5/$B$5)+(C105&gt;$B105)*0,IF(AND(ROUND(AVERAGE($C105,$E105,$G105,$I105,$K105,$M105,$O105,$Q105,$S105,$U105,$W105,$Y105,$AA105,$AC105,$AE105,$AG105,$AI105),2)-$B105/2&lt;=C105,(ROUND(AVERAGE($C105,$E105,$G105,$I105,$K105,$M105,$O105,$Q105,$S105,$U105,$W105,$Y105,$AA105,$AC105,$AE105,$AG105,$AI105),2)+$B105/2&gt;=C105)),($G$5/$B$5),0))))</f>
        <v/>
      </c>
      <c r="E105" s="149" t="str">
        <f t="shared" si="144"/>
        <v/>
      </c>
      <c r="F105" s="150" t="str">
        <f t="shared" ref="F105:F135" si="165">IF($A105="","",IF(E105="","",IF($K$4="Media aritmética",(E105&lt;=$B105)*($G$5/$B$5)+(E105&gt;$B105)*0,IF(AND(ROUND(AVERAGE($C105,$E105,$G105,$I105,$K105,$M105,$O105,$Q105,$S105,$U105,$W105,$Y105,$AA105,$AC105,$AE105,$AG105,$AI105),2)-$B105/2&lt;=E105,(ROUND(AVERAGE($C105,$E105,$G105,$I105,$K105,$M105,$O105,$Q105,$S105,$U105,$W105,$Y105,$AA105,$AC105,$AE105,$AG105,$AI105),2)+$B105/2&gt;=E105)),($G$5/$B$5),0))))</f>
        <v/>
      </c>
      <c r="G105" s="149" t="str">
        <f t="shared" ca="1" si="145"/>
        <v/>
      </c>
      <c r="H105" s="150" t="str">
        <f t="shared" ref="H105:H135" ca="1" si="166">IF($A105="","",IF(G105="","",IF($K$4="Media aritmética",(G105&lt;=$B105)*($G$5/$B$5)+(G105&gt;$B105)*0,IF(AND(ROUND(AVERAGE($C105,$E105,$G105,$I105,$K105,$M105,$O105,$Q105,$S105,$U105,$W105,$Y105,$AA105,$AC105,$AE105,$AG105,$AI105),2)-$B105/2&lt;=G105,(ROUND(AVERAGE($C105,$E105,$G105,$I105,$K105,$M105,$O105,$Q105,$S105,$U105,$W105,$Y105,$AA105,$AC105,$AE105,$AG105,$AI105),2)+$B105/2&gt;=G105)),($G$5/$B$5),0))))</f>
        <v/>
      </c>
      <c r="I105" s="149" t="str">
        <f t="shared" ca="1" si="146"/>
        <v/>
      </c>
      <c r="J105" s="150" t="str">
        <f t="shared" ref="J105:J135" ca="1" si="167">IF($A105="","",IF(I105="","",IF($K$4="Media aritmética",(I105&lt;=$B105)*($G$5/$B$5)+(I105&gt;$B105)*0,IF(AND(ROUND(AVERAGE($C105,$E105,$G105,$I105,$K105,$M105,$O105,$Q105,$S105,$U105,$W105,$Y105,$AA105,$AC105,$AE105,$AG105,$AI105),2)-$B105/2&lt;=I105,(ROUND(AVERAGE($C105,$E105,$G105,$I105,$K105,$M105,$O105,$Q105,$S105,$U105,$W105,$Y105,$AA105,$AC105,$AE105,$AG105,$AI105),2)+$B105/2&gt;=I105)),($G$5/$B$5),0))))</f>
        <v/>
      </c>
      <c r="K105" s="149" t="str">
        <f t="shared" ca="1" si="147"/>
        <v/>
      </c>
      <c r="L105" s="150" t="str">
        <f t="shared" ref="L105:L135" ca="1" si="168">IF($A105="","",IF(K105="","",IF($K$4="Media aritmética",(K105&lt;=$B105)*($G$5/$B$5)+(K105&gt;$B105)*0,IF(AND(ROUND(AVERAGE($C105,$E105,$G105,$I105,$K105,$M105,$O105,$Q105,$S105,$U105,$W105,$Y105,$AA105,$AC105,$AE105,$AG105,$AI105),2)-$B105/2&lt;=K105,(ROUND(AVERAGE($C105,$E105,$G105,$I105,$K105,$M105,$O105,$Q105,$S105,$U105,$W105,$Y105,$AA105,$AC105,$AE105,$AG105,$AI105),2)+$B105/2&gt;=K105)),($G$5/$B$5),0))))</f>
        <v/>
      </c>
      <c r="M105" s="149" t="str">
        <f t="shared" ca="1" si="148"/>
        <v/>
      </c>
      <c r="N105" s="150" t="str">
        <f t="shared" ref="N105:N135" ca="1" si="169">IF($A105="","",IF(M105="","",IF($K$4="Media aritmética",(M105&lt;=$B105)*($G$5/$B$5)+(M105&gt;$B105)*0,IF(AND(ROUND(AVERAGE($C105,$E105,$G105,$I105,$K105,$M105,$O105,$Q105,$S105,$U105,$W105,$Y105,$AA105,$AC105,$AE105,$AG105,$AI105),2)-$B105/2&lt;=M105,(ROUND(AVERAGE($C105,$E105,$G105,$I105,$K105,$M105,$O105,$Q105,$S105,$U105,$W105,$Y105,$AA105,$AC105,$AE105,$AG105,$AI105),2)+$B105/2&gt;=M105)),($G$5/$B$5),0))))</f>
        <v/>
      </c>
      <c r="O105" s="149" t="str">
        <f t="shared" ca="1" si="149"/>
        <v/>
      </c>
      <c r="P105" s="150" t="str">
        <f t="shared" ref="P105:P135" ca="1" si="170">IF($A105="","",IF(O105="","",IF($K$4="Media aritmética",(O105&lt;=$B105)*($G$5/$B$5)+(O105&gt;$B105)*0,IF(AND(ROUND(AVERAGE($C105,$E105,$G105,$I105,$K105,$M105,$O105,$Q105,$S105,$U105,$W105,$Y105,$AA105,$AC105,$AE105,$AG105,$AI105),2)-$B105/2&lt;=O105,(ROUND(AVERAGE($C105,$E105,$G105,$I105,$K105,$M105,$O105,$Q105,$S105,$U105,$W105,$Y105,$AA105,$AC105,$AE105,$AG105,$AI105),2)+$B105/2&gt;=O105)),($G$5/$B$5),0))))</f>
        <v/>
      </c>
      <c r="Q105" s="149" t="str">
        <f t="shared" ca="1" si="150"/>
        <v/>
      </c>
      <c r="R105" s="150" t="str">
        <f t="shared" ref="R105:R135" ca="1" si="171">IF($A105="","",IF(Q105="","",IF($K$4="Media aritmética",(Q105&lt;=$B105)*($G$5/$B$5)+(Q105&gt;$B105)*0,IF(AND(ROUND(AVERAGE($C105,$E105,$G105,$I105,$K105,$M105,$O105,$Q105,$S105,$U105,$W105,$Y105,$AA105,$AC105,$AE105,$AG105,$AI105),2)-$B105/2&lt;=Q105,(ROUND(AVERAGE($C105,$E105,$G105,$I105,$K105,$M105,$O105,$Q105,$S105,$U105,$W105,$Y105,$AA105,$AC105,$AE105,$AG105,$AI105),2)+$B105/2&gt;=Q105)),($G$5/$B$5),0))))</f>
        <v/>
      </c>
      <c r="S105" s="149" t="str">
        <f t="shared" ca="1" si="151"/>
        <v/>
      </c>
      <c r="T105" s="150" t="str">
        <f t="shared" ref="T105:T135" ca="1" si="172">IF($A105="","",IF(S105="","",IF($K$4="Media aritmética",(S105&lt;=$B105)*($G$5/$B$5)+(S105&gt;$B105)*0,IF(AND(ROUND(AVERAGE($C105,$E105,$G105,$I105,$K105,$M105,$O105,$Q105,$S105,$U105,$W105,$Y105,$AA105,$AC105,$AE105,$AG105,$AI105),2)-$B105/2&lt;=S105,(ROUND(AVERAGE($C105,$E105,$G105,$I105,$K105,$M105,$O105,$Q105,$S105,$U105,$W105,$Y105,$AA105,$AC105,$AE105,$AG105,$AI105),2)+$B105/2&gt;=S105)),($G$5/$B$5),0))))</f>
        <v/>
      </c>
      <c r="U105" s="149" t="str">
        <f t="shared" ca="1" si="152"/>
        <v/>
      </c>
      <c r="V105" s="150" t="str">
        <f t="shared" ref="V105:V135" ca="1" si="173">IF($A105="","",IF(U105="","",IF($K$4="Media aritmética",(U105&lt;=$B105)*($G$5/$B$5)+(U105&gt;$B105)*0,IF(AND(ROUND(AVERAGE($C105,$E105,$G105,$I105,$K105,$M105,$O105,$Q105,$S105,$U105,$W105,$Y105,$AA105,$AC105,$AE105,$AG105,$AI105),2)-$B105/2&lt;=U105,(ROUND(AVERAGE($C105,$E105,$G105,$I105,$K105,$M105,$O105,$Q105,$S105,$U105,$W105,$Y105,$AA105,$AC105,$AE105,$AG105,$AI105),2)+$B105/2&gt;=U105)),($G$5/$B$5),0))))</f>
        <v/>
      </c>
      <c r="W105" s="149" t="str">
        <f t="shared" ca="1" si="153"/>
        <v/>
      </c>
      <c r="X105" s="150" t="str">
        <f t="shared" ref="X105:X135" ca="1" si="174">IF($A105="","",IF(W105="","",IF($K$4="Media aritmética",(W105&lt;=$B105)*($G$5/$B$5)+(W105&gt;$B105)*0,IF(AND(ROUND(AVERAGE($C105,$E105,$G105,$I105,$K105,$M105,$O105,$Q105,$S105,$U105,$W105,$Y105,$AA105,$AC105,$AE105,$AG105,$AI105),2)-$B105/2&lt;=W105,(ROUND(AVERAGE($C105,$E105,$G105,$I105,$K105,$M105,$O105,$Q105,$S105,$U105,$W105,$Y105,$AA105,$AC105,$AE105,$AG105,$AI105),2)+$B105/2&gt;=W105)),($G$5/$B$5),0))))</f>
        <v/>
      </c>
      <c r="Y105" s="149" t="str">
        <f t="shared" ca="1" si="154"/>
        <v/>
      </c>
      <c r="Z105" s="150" t="str">
        <f t="shared" ref="Z105:Z135" ca="1" si="175">IF($A105="","",IF(Y105="","",IF($K$4="Media aritmética",(Y105&lt;=$B105)*($G$5/$B$5)+(Y105&gt;$B105)*0,IF(AND(ROUND(AVERAGE($C105,$E105,$G105,$I105,$K105,$M105,$O105,$Q105,$S105,$U105,$W105,$Y105,$AA105,$AC105,$AE105,$AG105,$AI105),2)-$B105/2&lt;=Y105,(ROUND(AVERAGE($C105,$E105,$G105,$I105,$K105,$M105,$O105,$Q105,$S105,$U105,$W105,$Y105,$AA105,$AC105,$AE105,$AG105,$AI105),2)+$B105/2&gt;=Y105)),($G$5/$B$5),0))))</f>
        <v/>
      </c>
      <c r="AA105" s="149" t="str">
        <f t="shared" ca="1" si="155"/>
        <v/>
      </c>
      <c r="AB105" s="150" t="str">
        <f t="shared" ref="AB105:AB135" ca="1" si="176">IF($A105="","",IF(AA105="","",IF($K$4="Media aritmética",(AA105&lt;=$B105)*($G$5/$B$5)+(AA105&gt;$B105)*0,IF(AND(ROUND(AVERAGE($C105,$E105,$G105,$I105,$K105,$M105,$O105,$Q105,$S105,$U105,$W105,$Y105,$AA105,$AC105,$AE105,$AG105,$AI105),2)-$B105/2&lt;=AA105,(ROUND(AVERAGE($C105,$E105,$G105,$I105,$K105,$M105,$O105,$Q105,$S105,$U105,$W105,$Y105,$AA105,$AC105,$AE105,$AG105,$AI105),2)+$B105/2&gt;=AA105)),($G$5/$B$5),0))))</f>
        <v/>
      </c>
      <c r="AC105" s="149" t="str">
        <f t="shared" ca="1" si="156"/>
        <v/>
      </c>
      <c r="AD105" s="150" t="str">
        <f t="shared" ref="AD105:AD135" ca="1" si="177">IF($A105="","",IF(AC105="","",IF($K$4="Media aritmética",(AC105&lt;=$B105)*($G$5/$B$5)+(AC105&gt;$B105)*0,IF(AND(ROUND(AVERAGE($C105,$E105,$G105,$I105,$K105,$M105,$O105,$Q105,$S105,$U105,$W105,$Y105,$AA105,$AC105,$AE105,$AG105,$AI105),2)-$B105/2&lt;=AC105,(ROUND(AVERAGE($C105,$E105,$G105,$I105,$K105,$M105,$O105,$Q105,$S105,$U105,$W105,$Y105,$AA105,$AC105,$AE105,$AG105,$AI105),2)+$B105/2&gt;=AC105)),($G$5/$B$5),0))))</f>
        <v/>
      </c>
      <c r="AE105" s="149" t="str">
        <f t="shared" si="157"/>
        <v/>
      </c>
      <c r="AF105" s="150" t="str">
        <f t="shared" ref="AF105:AF135" si="178">IF($A105="","",IF(AE105="","",IF($K$4="Media aritmética",(AE105&lt;=$B105)*($G$5/$B$5)+(AE105&gt;$B105)*0,IF(AND(ROUND(AVERAGE($C105,$E105,$G105,$I105,$K105,$M105,$O105,$Q105,$S105,$U105,$W105,$Y105,$AA105,$AC105,$AE105,$AG105,$AI105),2)-$B105/2&lt;=AE105,(ROUND(AVERAGE($C105,$E105,$G105,$I105,$K105,$M105,$O105,$Q105,$S105,$U105,$W105,$Y105,$AA105,$AC105,$AE105,$AG105,$AI105),2)+$B105/2&gt;=AE105)),($G$5/$B$5),0))))</f>
        <v/>
      </c>
      <c r="AG105" s="149" t="str">
        <f t="shared" si="158"/>
        <v/>
      </c>
      <c r="AH105" s="150" t="str">
        <f t="shared" ref="AH105:AH135" si="179">IF($A105="","",IF(AG105="","",IF($K$4="Media aritmética",(AG105&lt;=$B105)*($G$5/$B$5)+(AG105&gt;$B105)*0,IF(AND(ROUND(AVERAGE($C105,$E105,$G105,$I105,$K105,$M105,$O105,$Q105,$S105,$U105,$W105,$Y105,$AA105,$AC105,$AE105,$AG105,$AI105),2)-$B105/2&lt;=AG105,(ROUND(AVERAGE($C105,$E105,$G105,$I105,$K105,$M105,$O105,$Q105,$S105,$U105,$W105,$Y105,$AA105,$AC105,$AE105,$AG105,$AI105),2)+$B105/2&gt;=AG105)),($G$5/$B$5),0))))</f>
        <v/>
      </c>
      <c r="AI105" s="149" t="str">
        <f t="shared" si="159"/>
        <v/>
      </c>
      <c r="AJ105" s="150" t="str">
        <f t="shared" ref="AJ105:AJ135" si="180">IF($A105="","",IF(AI105="","",IF($K$4="Media aritmética",(AI105&lt;=$B105)*($G$5/$B$5)+(AI105&gt;$B105)*0,IF(AND(ROUND(AVERAGE($C105,$E105,$G105,$I105,$K105,$M105,$O105,$Q105,$S105,$U105,$W105,$Y105,$AA105,$AC105,$AE105,$AG105,$AI105),2)-$B105/2&lt;=AI105,(ROUND(AVERAGE($C105,$E105,$G105,$I105,$K105,$M105,$O105,$Q105,$S105,$U105,$W105,$Y105,$AA105,$AC105,$AE105,$AG105,$AI105),2)+$B105/2&gt;=AI105)),($G$5/$B$5),0))))</f>
        <v/>
      </c>
      <c r="AL105" s="211" t="e">
        <f t="shared" ref="AL105:AL140" ca="1" si="181">AVERAGE(C105,E105,G105,I105,K105,M105,O105,Q105,S105,U105,W105,Y105,AC105)</f>
        <v>#DIV/0!</v>
      </c>
      <c r="AM105" s="70" t="e">
        <f t="shared" ref="AM105:AM140" ca="1" si="182">_xlfn.STDEV.P(C105,E105,G105,I105,K105,M105,O105,Q105,S105,U105,W105,Y105,AC105)</f>
        <v>#DIV/0!</v>
      </c>
      <c r="AN105" s="276" t="e">
        <f t="shared" ref="AN105:AN140" ca="1" si="183">AL105+(AM105/2)</f>
        <v>#DIV/0!</v>
      </c>
      <c r="AO105" s="276" t="e">
        <f t="shared" ref="AO105:AO140" ca="1" si="184">AL105-(AM105/2)</f>
        <v>#DIV/0!</v>
      </c>
    </row>
    <row r="106" spans="1:41" s="142" customFormat="1" ht="21" customHeight="1">
      <c r="A106" s="277">
        <v>1.8</v>
      </c>
      <c r="B106" s="148" t="e">
        <f t="shared" ref="B106:B135" ca="1" si="185">IF(A106="","",IF($K$4="Media aritmética",ROUND(AVERAGE(C106,E106,G106,I106,K106,M106,O106,Q106,S106,U106,W106,Y106,AA106,AC106,AE106,AG106,AI106),2),ROUND(_xlfn.STDEV.P(C106,E106,G106,I106,K106,M106,O106,Q106,S106,U106,W106,Y106,AA106,AC106,AE106,AG106,AI106),2)))</f>
        <v>#DIV/0!</v>
      </c>
      <c r="C106" s="149" t="str">
        <f t="shared" si="143"/>
        <v/>
      </c>
      <c r="D106" s="150" t="str">
        <f t="shared" si="164"/>
        <v/>
      </c>
      <c r="E106" s="149" t="str">
        <f t="shared" si="144"/>
        <v/>
      </c>
      <c r="F106" s="150" t="str">
        <f t="shared" si="165"/>
        <v/>
      </c>
      <c r="G106" s="149" t="str">
        <f t="shared" ca="1" si="145"/>
        <v/>
      </c>
      <c r="H106" s="150" t="str">
        <f t="shared" ca="1" si="166"/>
        <v/>
      </c>
      <c r="I106" s="149" t="str">
        <f t="shared" ca="1" si="146"/>
        <v/>
      </c>
      <c r="J106" s="150" t="str">
        <f t="shared" ca="1" si="167"/>
        <v/>
      </c>
      <c r="K106" s="149" t="str">
        <f t="shared" ca="1" si="147"/>
        <v/>
      </c>
      <c r="L106" s="150" t="str">
        <f t="shared" ca="1" si="168"/>
        <v/>
      </c>
      <c r="M106" s="149" t="str">
        <f t="shared" ca="1" si="148"/>
        <v/>
      </c>
      <c r="N106" s="150" t="str">
        <f t="shared" ca="1" si="169"/>
        <v/>
      </c>
      <c r="O106" s="149" t="str">
        <f t="shared" ca="1" si="149"/>
        <v/>
      </c>
      <c r="P106" s="150" t="str">
        <f t="shared" ca="1" si="170"/>
        <v/>
      </c>
      <c r="Q106" s="149" t="str">
        <f t="shared" ca="1" si="150"/>
        <v/>
      </c>
      <c r="R106" s="150" t="str">
        <f t="shared" ca="1" si="171"/>
        <v/>
      </c>
      <c r="S106" s="149" t="str">
        <f t="shared" ca="1" si="151"/>
        <v/>
      </c>
      <c r="T106" s="150" t="str">
        <f t="shared" ca="1" si="172"/>
        <v/>
      </c>
      <c r="U106" s="149" t="str">
        <f t="shared" ca="1" si="152"/>
        <v/>
      </c>
      <c r="V106" s="150" t="str">
        <f t="shared" ca="1" si="173"/>
        <v/>
      </c>
      <c r="W106" s="149" t="str">
        <f t="shared" ca="1" si="153"/>
        <v/>
      </c>
      <c r="X106" s="150" t="str">
        <f t="shared" ca="1" si="174"/>
        <v/>
      </c>
      <c r="Y106" s="149" t="str">
        <f t="shared" ca="1" si="154"/>
        <v/>
      </c>
      <c r="Z106" s="150" t="str">
        <f t="shared" ca="1" si="175"/>
        <v/>
      </c>
      <c r="AA106" s="149" t="str">
        <f t="shared" ca="1" si="155"/>
        <v/>
      </c>
      <c r="AB106" s="150" t="str">
        <f t="shared" ca="1" si="176"/>
        <v/>
      </c>
      <c r="AC106" s="149" t="str">
        <f t="shared" ca="1" si="156"/>
        <v/>
      </c>
      <c r="AD106" s="150" t="str">
        <f t="shared" ca="1" si="177"/>
        <v/>
      </c>
      <c r="AE106" s="149" t="str">
        <f t="shared" si="157"/>
        <v/>
      </c>
      <c r="AF106" s="150" t="str">
        <f t="shared" si="178"/>
        <v/>
      </c>
      <c r="AG106" s="149" t="str">
        <f t="shared" si="158"/>
        <v/>
      </c>
      <c r="AH106" s="150" t="str">
        <f t="shared" si="179"/>
        <v/>
      </c>
      <c r="AI106" s="149" t="str">
        <f t="shared" si="159"/>
        <v/>
      </c>
      <c r="AJ106" s="150" t="str">
        <f t="shared" si="180"/>
        <v/>
      </c>
      <c r="AL106" s="211" t="e">
        <f t="shared" ca="1" si="181"/>
        <v>#DIV/0!</v>
      </c>
      <c r="AM106" s="70" t="e">
        <f t="shared" ca="1" si="182"/>
        <v>#DIV/0!</v>
      </c>
      <c r="AN106" s="276" t="e">
        <f t="shared" ca="1" si="183"/>
        <v>#DIV/0!</v>
      </c>
      <c r="AO106" s="276" t="e">
        <f t="shared" ca="1" si="184"/>
        <v>#DIV/0!</v>
      </c>
    </row>
    <row r="107" spans="1:41" s="142" customFormat="1" ht="21" customHeight="1">
      <c r="A107" s="277">
        <v>1.9</v>
      </c>
      <c r="B107" s="148" t="e">
        <f t="shared" ca="1" si="185"/>
        <v>#DIV/0!</v>
      </c>
      <c r="C107" s="149" t="str">
        <f t="shared" si="143"/>
        <v/>
      </c>
      <c r="D107" s="150" t="str">
        <f t="shared" si="164"/>
        <v/>
      </c>
      <c r="E107" s="149" t="str">
        <f t="shared" si="144"/>
        <v/>
      </c>
      <c r="F107" s="150" t="str">
        <f t="shared" si="165"/>
        <v/>
      </c>
      <c r="G107" s="149" t="str">
        <f t="shared" ca="1" si="145"/>
        <v/>
      </c>
      <c r="H107" s="150" t="str">
        <f t="shared" ca="1" si="166"/>
        <v/>
      </c>
      <c r="I107" s="149" t="str">
        <f t="shared" ca="1" si="146"/>
        <v/>
      </c>
      <c r="J107" s="150" t="str">
        <f t="shared" ca="1" si="167"/>
        <v/>
      </c>
      <c r="K107" s="149" t="str">
        <f t="shared" ca="1" si="147"/>
        <v/>
      </c>
      <c r="L107" s="150" t="str">
        <f t="shared" ca="1" si="168"/>
        <v/>
      </c>
      <c r="M107" s="149" t="str">
        <f t="shared" ca="1" si="148"/>
        <v/>
      </c>
      <c r="N107" s="150" t="str">
        <f t="shared" ca="1" si="169"/>
        <v/>
      </c>
      <c r="O107" s="149" t="str">
        <f t="shared" ca="1" si="149"/>
        <v/>
      </c>
      <c r="P107" s="150" t="str">
        <f t="shared" ca="1" si="170"/>
        <v/>
      </c>
      <c r="Q107" s="149" t="str">
        <f t="shared" ca="1" si="150"/>
        <v/>
      </c>
      <c r="R107" s="150" t="str">
        <f t="shared" ca="1" si="171"/>
        <v/>
      </c>
      <c r="S107" s="149" t="str">
        <f t="shared" ca="1" si="151"/>
        <v/>
      </c>
      <c r="T107" s="150" t="str">
        <f t="shared" ca="1" si="172"/>
        <v/>
      </c>
      <c r="U107" s="149" t="str">
        <f t="shared" ca="1" si="152"/>
        <v/>
      </c>
      <c r="V107" s="150" t="str">
        <f t="shared" ca="1" si="173"/>
        <v/>
      </c>
      <c r="W107" s="149" t="str">
        <f t="shared" ca="1" si="153"/>
        <v/>
      </c>
      <c r="X107" s="150" t="str">
        <f t="shared" ca="1" si="174"/>
        <v/>
      </c>
      <c r="Y107" s="149" t="str">
        <f t="shared" ca="1" si="154"/>
        <v/>
      </c>
      <c r="Z107" s="150" t="str">
        <f t="shared" ca="1" si="175"/>
        <v/>
      </c>
      <c r="AA107" s="149" t="str">
        <f t="shared" ca="1" si="155"/>
        <v/>
      </c>
      <c r="AB107" s="150" t="str">
        <f t="shared" ca="1" si="176"/>
        <v/>
      </c>
      <c r="AC107" s="149" t="str">
        <f t="shared" ca="1" si="156"/>
        <v/>
      </c>
      <c r="AD107" s="150" t="str">
        <f t="shared" ca="1" si="177"/>
        <v/>
      </c>
      <c r="AE107" s="149" t="str">
        <f t="shared" si="157"/>
        <v/>
      </c>
      <c r="AF107" s="150" t="str">
        <f t="shared" si="178"/>
        <v/>
      </c>
      <c r="AG107" s="149" t="str">
        <f t="shared" si="158"/>
        <v/>
      </c>
      <c r="AH107" s="150" t="str">
        <f t="shared" si="179"/>
        <v/>
      </c>
      <c r="AI107" s="149" t="str">
        <f t="shared" si="159"/>
        <v/>
      </c>
      <c r="AJ107" s="150" t="str">
        <f t="shared" si="180"/>
        <v/>
      </c>
      <c r="AL107" s="211" t="e">
        <f t="shared" ca="1" si="181"/>
        <v>#DIV/0!</v>
      </c>
      <c r="AM107" s="70" t="e">
        <f t="shared" ca="1" si="182"/>
        <v>#DIV/0!</v>
      </c>
      <c r="AN107" s="276" t="e">
        <f t="shared" ca="1" si="183"/>
        <v>#DIV/0!</v>
      </c>
      <c r="AO107" s="276" t="e">
        <f t="shared" ca="1" si="184"/>
        <v>#DIV/0!</v>
      </c>
    </row>
    <row r="108" spans="1:41" s="142" customFormat="1" ht="21" hidden="1" customHeight="1">
      <c r="A108" s="277"/>
      <c r="B108" s="148" t="str">
        <f t="shared" si="185"/>
        <v/>
      </c>
      <c r="C108" s="149" t="str">
        <f t="shared" si="143"/>
        <v/>
      </c>
      <c r="D108" s="150" t="str">
        <f t="shared" si="164"/>
        <v/>
      </c>
      <c r="E108" s="149" t="str">
        <f t="shared" si="144"/>
        <v/>
      </c>
      <c r="F108" s="150" t="str">
        <f t="shared" si="165"/>
        <v/>
      </c>
      <c r="G108" s="149" t="str">
        <f t="shared" ca="1" si="145"/>
        <v/>
      </c>
      <c r="H108" s="150" t="str">
        <f t="shared" si="166"/>
        <v/>
      </c>
      <c r="I108" s="149" t="str">
        <f t="shared" ca="1" si="146"/>
        <v/>
      </c>
      <c r="J108" s="150" t="str">
        <f t="shared" si="167"/>
        <v/>
      </c>
      <c r="K108" s="149" t="str">
        <f t="shared" ca="1" si="147"/>
        <v/>
      </c>
      <c r="L108" s="150" t="str">
        <f t="shared" si="168"/>
        <v/>
      </c>
      <c r="M108" s="149" t="str">
        <f t="shared" ca="1" si="148"/>
        <v/>
      </c>
      <c r="N108" s="150" t="str">
        <f t="shared" si="169"/>
        <v/>
      </c>
      <c r="O108" s="149" t="str">
        <f t="shared" ca="1" si="149"/>
        <v/>
      </c>
      <c r="P108" s="150" t="str">
        <f t="shared" si="170"/>
        <v/>
      </c>
      <c r="Q108" s="149" t="str">
        <f t="shared" ca="1" si="150"/>
        <v/>
      </c>
      <c r="R108" s="150" t="str">
        <f t="shared" si="171"/>
        <v/>
      </c>
      <c r="S108" s="149" t="str">
        <f t="shared" ca="1" si="151"/>
        <v/>
      </c>
      <c r="T108" s="150" t="str">
        <f t="shared" si="172"/>
        <v/>
      </c>
      <c r="U108" s="149" t="str">
        <f t="shared" ca="1" si="152"/>
        <v/>
      </c>
      <c r="V108" s="150" t="str">
        <f t="shared" si="173"/>
        <v/>
      </c>
      <c r="W108" s="149" t="str">
        <f t="shared" ca="1" si="153"/>
        <v/>
      </c>
      <c r="X108" s="150" t="str">
        <f t="shared" si="174"/>
        <v/>
      </c>
      <c r="Y108" s="149" t="str">
        <f t="shared" ca="1" si="154"/>
        <v/>
      </c>
      <c r="Z108" s="150" t="str">
        <f t="shared" si="175"/>
        <v/>
      </c>
      <c r="AA108" s="149" t="str">
        <f t="shared" ca="1" si="155"/>
        <v/>
      </c>
      <c r="AB108" s="150" t="str">
        <f t="shared" si="176"/>
        <v/>
      </c>
      <c r="AC108" s="149" t="str">
        <f t="shared" ca="1" si="156"/>
        <v/>
      </c>
      <c r="AD108" s="150" t="str">
        <f t="shared" si="177"/>
        <v/>
      </c>
      <c r="AE108" s="149" t="str">
        <f t="shared" si="157"/>
        <v/>
      </c>
      <c r="AF108" s="150" t="str">
        <f t="shared" si="178"/>
        <v/>
      </c>
      <c r="AG108" s="149" t="str">
        <f t="shared" si="158"/>
        <v/>
      </c>
      <c r="AH108" s="150" t="str">
        <f t="shared" si="179"/>
        <v/>
      </c>
      <c r="AI108" s="149" t="str">
        <f t="shared" si="159"/>
        <v/>
      </c>
      <c r="AJ108" s="150" t="str">
        <f t="shared" si="180"/>
        <v/>
      </c>
      <c r="AL108" s="211" t="e">
        <f t="shared" ca="1" si="181"/>
        <v>#DIV/0!</v>
      </c>
      <c r="AM108" s="70" t="e">
        <f t="shared" ca="1" si="182"/>
        <v>#DIV/0!</v>
      </c>
      <c r="AN108" s="276" t="e">
        <f t="shared" ca="1" si="183"/>
        <v>#DIV/0!</v>
      </c>
      <c r="AO108" s="276" t="e">
        <f t="shared" ca="1" si="184"/>
        <v>#DIV/0!</v>
      </c>
    </row>
    <row r="109" spans="1:41" s="142" customFormat="1" ht="21" hidden="1" customHeight="1">
      <c r="A109" s="277"/>
      <c r="B109" s="148" t="str">
        <f t="shared" si="185"/>
        <v/>
      </c>
      <c r="C109" s="149" t="str">
        <f t="shared" si="143"/>
        <v/>
      </c>
      <c r="D109" s="150" t="str">
        <f t="shared" si="164"/>
        <v/>
      </c>
      <c r="E109" s="149" t="str">
        <f t="shared" si="144"/>
        <v/>
      </c>
      <c r="F109" s="150" t="str">
        <f t="shared" si="165"/>
        <v/>
      </c>
      <c r="G109" s="149" t="str">
        <f t="shared" ca="1" si="145"/>
        <v/>
      </c>
      <c r="H109" s="150" t="str">
        <f t="shared" si="166"/>
        <v/>
      </c>
      <c r="I109" s="149" t="str">
        <f t="shared" ca="1" si="146"/>
        <v/>
      </c>
      <c r="J109" s="150" t="str">
        <f t="shared" si="167"/>
        <v/>
      </c>
      <c r="K109" s="149" t="str">
        <f t="shared" ca="1" si="147"/>
        <v/>
      </c>
      <c r="L109" s="150" t="str">
        <f t="shared" si="168"/>
        <v/>
      </c>
      <c r="M109" s="149" t="str">
        <f t="shared" ca="1" si="148"/>
        <v/>
      </c>
      <c r="N109" s="150" t="str">
        <f t="shared" si="169"/>
        <v/>
      </c>
      <c r="O109" s="149" t="str">
        <f t="shared" ca="1" si="149"/>
        <v/>
      </c>
      <c r="P109" s="150" t="str">
        <f t="shared" si="170"/>
        <v/>
      </c>
      <c r="Q109" s="149" t="str">
        <f t="shared" ca="1" si="150"/>
        <v/>
      </c>
      <c r="R109" s="150" t="str">
        <f t="shared" si="171"/>
        <v/>
      </c>
      <c r="S109" s="149" t="str">
        <f t="shared" ca="1" si="151"/>
        <v/>
      </c>
      <c r="T109" s="150" t="str">
        <f t="shared" si="172"/>
        <v/>
      </c>
      <c r="U109" s="149" t="str">
        <f t="shared" ca="1" si="152"/>
        <v/>
      </c>
      <c r="V109" s="150" t="str">
        <f t="shared" si="173"/>
        <v/>
      </c>
      <c r="W109" s="149" t="str">
        <f t="shared" ca="1" si="153"/>
        <v/>
      </c>
      <c r="X109" s="150" t="str">
        <f t="shared" si="174"/>
        <v/>
      </c>
      <c r="Y109" s="149" t="str">
        <f t="shared" ca="1" si="154"/>
        <v/>
      </c>
      <c r="Z109" s="150" t="str">
        <f t="shared" si="175"/>
        <v/>
      </c>
      <c r="AA109" s="149" t="str">
        <f t="shared" ca="1" si="155"/>
        <v/>
      </c>
      <c r="AB109" s="150" t="str">
        <f t="shared" si="176"/>
        <v/>
      </c>
      <c r="AC109" s="149" t="str">
        <f t="shared" ca="1" si="156"/>
        <v/>
      </c>
      <c r="AD109" s="150" t="str">
        <f t="shared" si="177"/>
        <v/>
      </c>
      <c r="AE109" s="149" t="str">
        <f t="shared" si="157"/>
        <v/>
      </c>
      <c r="AF109" s="150" t="str">
        <f t="shared" si="178"/>
        <v/>
      </c>
      <c r="AG109" s="149" t="str">
        <f t="shared" si="158"/>
        <v/>
      </c>
      <c r="AH109" s="150" t="str">
        <f t="shared" si="179"/>
        <v/>
      </c>
      <c r="AI109" s="149" t="str">
        <f t="shared" si="159"/>
        <v/>
      </c>
      <c r="AJ109" s="150" t="str">
        <f t="shared" si="180"/>
        <v/>
      </c>
      <c r="AL109" s="211" t="e">
        <f t="shared" ca="1" si="181"/>
        <v>#DIV/0!</v>
      </c>
      <c r="AM109" s="70" t="e">
        <f t="shared" ca="1" si="182"/>
        <v>#DIV/0!</v>
      </c>
      <c r="AN109" s="276" t="e">
        <f t="shared" ca="1" si="183"/>
        <v>#DIV/0!</v>
      </c>
      <c r="AO109" s="276" t="e">
        <f t="shared" ca="1" si="184"/>
        <v>#DIV/0!</v>
      </c>
    </row>
    <row r="110" spans="1:41" s="142" customFormat="1" ht="21" hidden="1" customHeight="1">
      <c r="A110" s="277"/>
      <c r="B110" s="148" t="str">
        <f t="shared" si="185"/>
        <v/>
      </c>
      <c r="C110" s="149" t="str">
        <f t="shared" si="143"/>
        <v/>
      </c>
      <c r="D110" s="150" t="str">
        <f t="shared" si="164"/>
        <v/>
      </c>
      <c r="E110" s="149" t="str">
        <f t="shared" si="144"/>
        <v/>
      </c>
      <c r="F110" s="150" t="str">
        <f t="shared" si="165"/>
        <v/>
      </c>
      <c r="G110" s="149" t="str">
        <f t="shared" ca="1" si="145"/>
        <v/>
      </c>
      <c r="H110" s="150" t="str">
        <f t="shared" si="166"/>
        <v/>
      </c>
      <c r="I110" s="149" t="str">
        <f t="shared" ca="1" si="146"/>
        <v/>
      </c>
      <c r="J110" s="150" t="str">
        <f t="shared" si="167"/>
        <v/>
      </c>
      <c r="K110" s="149" t="str">
        <f t="shared" ca="1" si="147"/>
        <v/>
      </c>
      <c r="L110" s="150" t="str">
        <f t="shared" si="168"/>
        <v/>
      </c>
      <c r="M110" s="149" t="str">
        <f t="shared" ca="1" si="148"/>
        <v/>
      </c>
      <c r="N110" s="150" t="str">
        <f t="shared" si="169"/>
        <v/>
      </c>
      <c r="O110" s="149" t="str">
        <f t="shared" ca="1" si="149"/>
        <v/>
      </c>
      <c r="P110" s="150" t="str">
        <f t="shared" si="170"/>
        <v/>
      </c>
      <c r="Q110" s="149" t="str">
        <f t="shared" ca="1" si="150"/>
        <v/>
      </c>
      <c r="R110" s="150" t="str">
        <f t="shared" si="171"/>
        <v/>
      </c>
      <c r="S110" s="149" t="str">
        <f t="shared" ca="1" si="151"/>
        <v/>
      </c>
      <c r="T110" s="150" t="str">
        <f t="shared" si="172"/>
        <v/>
      </c>
      <c r="U110" s="149" t="str">
        <f t="shared" ca="1" si="152"/>
        <v/>
      </c>
      <c r="V110" s="150" t="str">
        <f t="shared" si="173"/>
        <v/>
      </c>
      <c r="W110" s="149" t="str">
        <f t="shared" ca="1" si="153"/>
        <v/>
      </c>
      <c r="X110" s="150" t="str">
        <f t="shared" si="174"/>
        <v/>
      </c>
      <c r="Y110" s="149" t="str">
        <f t="shared" ca="1" si="154"/>
        <v/>
      </c>
      <c r="Z110" s="150" t="str">
        <f t="shared" si="175"/>
        <v/>
      </c>
      <c r="AA110" s="149" t="str">
        <f t="shared" ca="1" si="155"/>
        <v/>
      </c>
      <c r="AB110" s="150" t="str">
        <f t="shared" si="176"/>
        <v/>
      </c>
      <c r="AC110" s="149" t="str">
        <f t="shared" ca="1" si="156"/>
        <v/>
      </c>
      <c r="AD110" s="150" t="str">
        <f t="shared" si="177"/>
        <v/>
      </c>
      <c r="AE110" s="149" t="str">
        <f t="shared" si="157"/>
        <v/>
      </c>
      <c r="AF110" s="150" t="str">
        <f t="shared" si="178"/>
        <v/>
      </c>
      <c r="AG110" s="149" t="str">
        <f t="shared" si="158"/>
        <v/>
      </c>
      <c r="AH110" s="150" t="str">
        <f t="shared" si="179"/>
        <v/>
      </c>
      <c r="AI110" s="149" t="str">
        <f t="shared" si="159"/>
        <v/>
      </c>
      <c r="AJ110" s="150" t="str">
        <f t="shared" si="180"/>
        <v/>
      </c>
      <c r="AL110" s="211" t="e">
        <f t="shared" ca="1" si="181"/>
        <v>#DIV/0!</v>
      </c>
      <c r="AM110" s="70" t="e">
        <f t="shared" ca="1" si="182"/>
        <v>#DIV/0!</v>
      </c>
      <c r="AN110" s="276" t="e">
        <f t="shared" ca="1" si="183"/>
        <v>#DIV/0!</v>
      </c>
      <c r="AO110" s="276" t="e">
        <f t="shared" ca="1" si="184"/>
        <v>#DIV/0!</v>
      </c>
    </row>
    <row r="111" spans="1:41" s="142" customFormat="1" ht="21" hidden="1" customHeight="1">
      <c r="A111" s="277"/>
      <c r="B111" s="148" t="str">
        <f t="shared" si="185"/>
        <v/>
      </c>
      <c r="C111" s="149" t="str">
        <f t="shared" si="143"/>
        <v/>
      </c>
      <c r="D111" s="150" t="str">
        <f t="shared" si="164"/>
        <v/>
      </c>
      <c r="E111" s="149" t="str">
        <f t="shared" si="144"/>
        <v/>
      </c>
      <c r="F111" s="150" t="str">
        <f t="shared" si="165"/>
        <v/>
      </c>
      <c r="G111" s="149" t="str">
        <f t="shared" ca="1" si="145"/>
        <v/>
      </c>
      <c r="H111" s="150" t="str">
        <f t="shared" si="166"/>
        <v/>
      </c>
      <c r="I111" s="149" t="str">
        <f t="shared" ca="1" si="146"/>
        <v/>
      </c>
      <c r="J111" s="150" t="str">
        <f t="shared" si="167"/>
        <v/>
      </c>
      <c r="K111" s="149" t="str">
        <f t="shared" ca="1" si="147"/>
        <v/>
      </c>
      <c r="L111" s="150" t="str">
        <f t="shared" si="168"/>
        <v/>
      </c>
      <c r="M111" s="149" t="str">
        <f t="shared" ca="1" si="148"/>
        <v/>
      </c>
      <c r="N111" s="150" t="str">
        <f t="shared" si="169"/>
        <v/>
      </c>
      <c r="O111" s="149" t="str">
        <f t="shared" ca="1" si="149"/>
        <v/>
      </c>
      <c r="P111" s="150" t="str">
        <f t="shared" si="170"/>
        <v/>
      </c>
      <c r="Q111" s="149" t="str">
        <f t="shared" ca="1" si="150"/>
        <v/>
      </c>
      <c r="R111" s="150" t="str">
        <f t="shared" si="171"/>
        <v/>
      </c>
      <c r="S111" s="149" t="str">
        <f t="shared" ca="1" si="151"/>
        <v/>
      </c>
      <c r="T111" s="150" t="str">
        <f t="shared" si="172"/>
        <v/>
      </c>
      <c r="U111" s="149" t="str">
        <f t="shared" ca="1" si="152"/>
        <v/>
      </c>
      <c r="V111" s="150" t="str">
        <f t="shared" si="173"/>
        <v/>
      </c>
      <c r="W111" s="149" t="str">
        <f t="shared" ca="1" si="153"/>
        <v/>
      </c>
      <c r="X111" s="150" t="str">
        <f t="shared" si="174"/>
        <v/>
      </c>
      <c r="Y111" s="149" t="str">
        <f t="shared" ca="1" si="154"/>
        <v/>
      </c>
      <c r="Z111" s="150" t="str">
        <f t="shared" si="175"/>
        <v/>
      </c>
      <c r="AA111" s="149" t="str">
        <f t="shared" ca="1" si="155"/>
        <v/>
      </c>
      <c r="AB111" s="150" t="str">
        <f t="shared" si="176"/>
        <v/>
      </c>
      <c r="AC111" s="149" t="str">
        <f t="shared" ca="1" si="156"/>
        <v/>
      </c>
      <c r="AD111" s="150" t="str">
        <f t="shared" si="177"/>
        <v/>
      </c>
      <c r="AE111" s="149" t="str">
        <f t="shared" si="157"/>
        <v/>
      </c>
      <c r="AF111" s="150" t="str">
        <f t="shared" si="178"/>
        <v/>
      </c>
      <c r="AG111" s="149" t="str">
        <f t="shared" si="158"/>
        <v/>
      </c>
      <c r="AH111" s="150" t="str">
        <f t="shared" si="179"/>
        <v/>
      </c>
      <c r="AI111" s="149" t="str">
        <f t="shared" si="159"/>
        <v/>
      </c>
      <c r="AJ111" s="150" t="str">
        <f t="shared" si="180"/>
        <v/>
      </c>
      <c r="AL111" s="211" t="e">
        <f t="shared" ca="1" si="181"/>
        <v>#DIV/0!</v>
      </c>
      <c r="AM111" s="70" t="e">
        <f t="shared" ca="1" si="182"/>
        <v>#DIV/0!</v>
      </c>
      <c r="AN111" s="276" t="e">
        <f t="shared" ca="1" si="183"/>
        <v>#DIV/0!</v>
      </c>
      <c r="AO111" s="276" t="e">
        <f t="shared" ca="1" si="184"/>
        <v>#DIV/0!</v>
      </c>
    </row>
    <row r="112" spans="1:41" s="142" customFormat="1" ht="21" hidden="1" customHeight="1">
      <c r="A112" s="277"/>
      <c r="B112" s="148" t="str">
        <f t="shared" si="185"/>
        <v/>
      </c>
      <c r="C112" s="149" t="str">
        <f t="shared" si="143"/>
        <v/>
      </c>
      <c r="D112" s="150" t="str">
        <f t="shared" si="164"/>
        <v/>
      </c>
      <c r="E112" s="149" t="str">
        <f t="shared" si="144"/>
        <v/>
      </c>
      <c r="F112" s="150" t="str">
        <f t="shared" si="165"/>
        <v/>
      </c>
      <c r="G112" s="149" t="str">
        <f t="shared" ca="1" si="145"/>
        <v/>
      </c>
      <c r="H112" s="150" t="str">
        <f t="shared" si="166"/>
        <v/>
      </c>
      <c r="I112" s="149" t="str">
        <f t="shared" ca="1" si="146"/>
        <v/>
      </c>
      <c r="J112" s="150" t="str">
        <f t="shared" si="167"/>
        <v/>
      </c>
      <c r="K112" s="149" t="str">
        <f t="shared" ca="1" si="147"/>
        <v/>
      </c>
      <c r="L112" s="150" t="str">
        <f t="shared" si="168"/>
        <v/>
      </c>
      <c r="M112" s="149" t="str">
        <f t="shared" ca="1" si="148"/>
        <v/>
      </c>
      <c r="N112" s="150" t="str">
        <f t="shared" si="169"/>
        <v/>
      </c>
      <c r="O112" s="149" t="str">
        <f t="shared" ca="1" si="149"/>
        <v/>
      </c>
      <c r="P112" s="150" t="str">
        <f t="shared" si="170"/>
        <v/>
      </c>
      <c r="Q112" s="149" t="str">
        <f t="shared" ca="1" si="150"/>
        <v/>
      </c>
      <c r="R112" s="150" t="str">
        <f t="shared" si="171"/>
        <v/>
      </c>
      <c r="S112" s="149" t="str">
        <f t="shared" ca="1" si="151"/>
        <v/>
      </c>
      <c r="T112" s="150" t="str">
        <f t="shared" si="172"/>
        <v/>
      </c>
      <c r="U112" s="149" t="str">
        <f t="shared" ca="1" si="152"/>
        <v/>
      </c>
      <c r="V112" s="150" t="str">
        <f t="shared" si="173"/>
        <v/>
      </c>
      <c r="W112" s="149" t="str">
        <f t="shared" ca="1" si="153"/>
        <v/>
      </c>
      <c r="X112" s="150" t="str">
        <f t="shared" si="174"/>
        <v/>
      </c>
      <c r="Y112" s="149" t="str">
        <f t="shared" ca="1" si="154"/>
        <v/>
      </c>
      <c r="Z112" s="150" t="str">
        <f t="shared" si="175"/>
        <v/>
      </c>
      <c r="AA112" s="149" t="str">
        <f t="shared" ca="1" si="155"/>
        <v/>
      </c>
      <c r="AB112" s="150" t="str">
        <f t="shared" si="176"/>
        <v/>
      </c>
      <c r="AC112" s="149" t="str">
        <f t="shared" ca="1" si="156"/>
        <v/>
      </c>
      <c r="AD112" s="150" t="str">
        <f t="shared" si="177"/>
        <v/>
      </c>
      <c r="AE112" s="149" t="str">
        <f t="shared" si="157"/>
        <v/>
      </c>
      <c r="AF112" s="150" t="str">
        <f t="shared" si="178"/>
        <v/>
      </c>
      <c r="AG112" s="149" t="str">
        <f t="shared" si="158"/>
        <v/>
      </c>
      <c r="AH112" s="150" t="str">
        <f t="shared" si="179"/>
        <v/>
      </c>
      <c r="AI112" s="149" t="str">
        <f t="shared" si="159"/>
        <v/>
      </c>
      <c r="AJ112" s="150" t="str">
        <f t="shared" si="180"/>
        <v/>
      </c>
      <c r="AL112" s="211" t="e">
        <f t="shared" ca="1" si="181"/>
        <v>#DIV/0!</v>
      </c>
      <c r="AM112" s="70" t="e">
        <f t="shared" ca="1" si="182"/>
        <v>#DIV/0!</v>
      </c>
      <c r="AN112" s="276" t="e">
        <f t="shared" ca="1" si="183"/>
        <v>#DIV/0!</v>
      </c>
      <c r="AO112" s="276" t="e">
        <f t="shared" ca="1" si="184"/>
        <v>#DIV/0!</v>
      </c>
    </row>
    <row r="113" spans="1:41" s="142" customFormat="1" ht="21" hidden="1" customHeight="1">
      <c r="A113" s="277"/>
      <c r="B113" s="148" t="str">
        <f t="shared" si="185"/>
        <v/>
      </c>
      <c r="C113" s="149" t="str">
        <f t="shared" si="143"/>
        <v/>
      </c>
      <c r="D113" s="150" t="str">
        <f t="shared" si="164"/>
        <v/>
      </c>
      <c r="E113" s="149" t="str">
        <f t="shared" si="144"/>
        <v/>
      </c>
      <c r="F113" s="150" t="str">
        <f t="shared" si="165"/>
        <v/>
      </c>
      <c r="G113" s="149" t="str">
        <f t="shared" ca="1" si="145"/>
        <v/>
      </c>
      <c r="H113" s="150" t="str">
        <f t="shared" si="166"/>
        <v/>
      </c>
      <c r="I113" s="149" t="str">
        <f t="shared" ca="1" si="146"/>
        <v/>
      </c>
      <c r="J113" s="150" t="str">
        <f t="shared" si="167"/>
        <v/>
      </c>
      <c r="K113" s="149" t="str">
        <f t="shared" ca="1" si="147"/>
        <v/>
      </c>
      <c r="L113" s="150" t="str">
        <f t="shared" si="168"/>
        <v/>
      </c>
      <c r="M113" s="149" t="str">
        <f t="shared" ca="1" si="148"/>
        <v/>
      </c>
      <c r="N113" s="150" t="str">
        <f t="shared" si="169"/>
        <v/>
      </c>
      <c r="O113" s="149" t="str">
        <f t="shared" ca="1" si="149"/>
        <v/>
      </c>
      <c r="P113" s="150" t="str">
        <f t="shared" si="170"/>
        <v/>
      </c>
      <c r="Q113" s="149" t="str">
        <f t="shared" ca="1" si="150"/>
        <v/>
      </c>
      <c r="R113" s="150" t="str">
        <f t="shared" si="171"/>
        <v/>
      </c>
      <c r="S113" s="149" t="str">
        <f t="shared" ca="1" si="151"/>
        <v/>
      </c>
      <c r="T113" s="150" t="str">
        <f t="shared" si="172"/>
        <v/>
      </c>
      <c r="U113" s="149" t="str">
        <f t="shared" ca="1" si="152"/>
        <v/>
      </c>
      <c r="V113" s="150" t="str">
        <f t="shared" si="173"/>
        <v/>
      </c>
      <c r="W113" s="149" t="str">
        <f t="shared" ca="1" si="153"/>
        <v/>
      </c>
      <c r="X113" s="150" t="str">
        <f t="shared" si="174"/>
        <v/>
      </c>
      <c r="Y113" s="149" t="str">
        <f t="shared" ca="1" si="154"/>
        <v/>
      </c>
      <c r="Z113" s="150" t="str">
        <f t="shared" si="175"/>
        <v/>
      </c>
      <c r="AA113" s="149" t="str">
        <f t="shared" ca="1" si="155"/>
        <v/>
      </c>
      <c r="AB113" s="150" t="str">
        <f t="shared" si="176"/>
        <v/>
      </c>
      <c r="AC113" s="149" t="str">
        <f t="shared" ca="1" si="156"/>
        <v/>
      </c>
      <c r="AD113" s="150" t="str">
        <f t="shared" si="177"/>
        <v/>
      </c>
      <c r="AE113" s="149" t="str">
        <f t="shared" si="157"/>
        <v/>
      </c>
      <c r="AF113" s="150" t="str">
        <f t="shared" si="178"/>
        <v/>
      </c>
      <c r="AG113" s="149" t="str">
        <f t="shared" si="158"/>
        <v/>
      </c>
      <c r="AH113" s="150" t="str">
        <f t="shared" si="179"/>
        <v/>
      </c>
      <c r="AI113" s="149" t="str">
        <f t="shared" si="159"/>
        <v/>
      </c>
      <c r="AJ113" s="150" t="str">
        <f t="shared" si="180"/>
        <v/>
      </c>
      <c r="AL113" s="211" t="e">
        <f t="shared" ca="1" si="181"/>
        <v>#DIV/0!</v>
      </c>
      <c r="AM113" s="70" t="e">
        <f t="shared" ca="1" si="182"/>
        <v>#DIV/0!</v>
      </c>
      <c r="AN113" s="276" t="e">
        <f t="shared" ca="1" si="183"/>
        <v>#DIV/0!</v>
      </c>
      <c r="AO113" s="276" t="e">
        <f t="shared" ca="1" si="184"/>
        <v>#DIV/0!</v>
      </c>
    </row>
    <row r="114" spans="1:41" s="142" customFormat="1" ht="21" hidden="1" customHeight="1">
      <c r="A114" s="277"/>
      <c r="B114" s="148" t="str">
        <f t="shared" si="185"/>
        <v/>
      </c>
      <c r="C114" s="149" t="str">
        <f t="shared" si="143"/>
        <v/>
      </c>
      <c r="D114" s="150" t="str">
        <f t="shared" si="164"/>
        <v/>
      </c>
      <c r="E114" s="149" t="str">
        <f t="shared" si="144"/>
        <v/>
      </c>
      <c r="F114" s="150" t="str">
        <f t="shared" si="165"/>
        <v/>
      </c>
      <c r="G114" s="149" t="str">
        <f t="shared" ca="1" si="145"/>
        <v/>
      </c>
      <c r="H114" s="150" t="str">
        <f t="shared" si="166"/>
        <v/>
      </c>
      <c r="I114" s="149" t="str">
        <f t="shared" ca="1" si="146"/>
        <v/>
      </c>
      <c r="J114" s="150" t="str">
        <f t="shared" si="167"/>
        <v/>
      </c>
      <c r="K114" s="149" t="str">
        <f t="shared" ca="1" si="147"/>
        <v/>
      </c>
      <c r="L114" s="150" t="str">
        <f t="shared" si="168"/>
        <v/>
      </c>
      <c r="M114" s="149" t="str">
        <f t="shared" ca="1" si="148"/>
        <v/>
      </c>
      <c r="N114" s="150" t="str">
        <f t="shared" si="169"/>
        <v/>
      </c>
      <c r="O114" s="149" t="str">
        <f t="shared" ca="1" si="149"/>
        <v/>
      </c>
      <c r="P114" s="150" t="str">
        <f t="shared" si="170"/>
        <v/>
      </c>
      <c r="Q114" s="149" t="str">
        <f t="shared" ca="1" si="150"/>
        <v/>
      </c>
      <c r="R114" s="150" t="str">
        <f t="shared" si="171"/>
        <v/>
      </c>
      <c r="S114" s="149" t="str">
        <f t="shared" ca="1" si="151"/>
        <v/>
      </c>
      <c r="T114" s="150" t="str">
        <f t="shared" si="172"/>
        <v/>
      </c>
      <c r="U114" s="149" t="str">
        <f t="shared" ca="1" si="152"/>
        <v/>
      </c>
      <c r="V114" s="150" t="str">
        <f t="shared" si="173"/>
        <v/>
      </c>
      <c r="W114" s="149" t="str">
        <f t="shared" ca="1" si="153"/>
        <v/>
      </c>
      <c r="X114" s="150" t="str">
        <f t="shared" si="174"/>
        <v/>
      </c>
      <c r="Y114" s="149" t="str">
        <f t="shared" ca="1" si="154"/>
        <v/>
      </c>
      <c r="Z114" s="150" t="str">
        <f t="shared" si="175"/>
        <v/>
      </c>
      <c r="AA114" s="149" t="str">
        <f t="shared" ca="1" si="155"/>
        <v/>
      </c>
      <c r="AB114" s="150" t="str">
        <f t="shared" si="176"/>
        <v/>
      </c>
      <c r="AC114" s="149" t="str">
        <f t="shared" ca="1" si="156"/>
        <v/>
      </c>
      <c r="AD114" s="150" t="str">
        <f t="shared" si="177"/>
        <v/>
      </c>
      <c r="AE114" s="149" t="str">
        <f t="shared" si="157"/>
        <v/>
      </c>
      <c r="AF114" s="150" t="str">
        <f t="shared" si="178"/>
        <v/>
      </c>
      <c r="AG114" s="149" t="str">
        <f t="shared" si="158"/>
        <v/>
      </c>
      <c r="AH114" s="150" t="str">
        <f t="shared" si="179"/>
        <v/>
      </c>
      <c r="AI114" s="149" t="str">
        <f t="shared" si="159"/>
        <v/>
      </c>
      <c r="AJ114" s="150" t="str">
        <f t="shared" si="180"/>
        <v/>
      </c>
      <c r="AL114" s="211" t="e">
        <f t="shared" ca="1" si="181"/>
        <v>#DIV/0!</v>
      </c>
      <c r="AM114" s="70" t="e">
        <f t="shared" ca="1" si="182"/>
        <v>#DIV/0!</v>
      </c>
      <c r="AN114" s="276" t="e">
        <f t="shared" ca="1" si="183"/>
        <v>#DIV/0!</v>
      </c>
      <c r="AO114" s="276" t="e">
        <f t="shared" ca="1" si="184"/>
        <v>#DIV/0!</v>
      </c>
    </row>
    <row r="115" spans="1:41" s="142" customFormat="1" ht="21" hidden="1" customHeight="1">
      <c r="A115" s="277"/>
      <c r="B115" s="148" t="str">
        <f t="shared" si="185"/>
        <v/>
      </c>
      <c r="C115" s="149" t="str">
        <f t="shared" si="143"/>
        <v/>
      </c>
      <c r="D115" s="150" t="str">
        <f t="shared" si="164"/>
        <v/>
      </c>
      <c r="E115" s="149" t="str">
        <f t="shared" si="144"/>
        <v/>
      </c>
      <c r="F115" s="150" t="str">
        <f t="shared" si="165"/>
        <v/>
      </c>
      <c r="G115" s="149" t="str">
        <f t="shared" ca="1" si="145"/>
        <v/>
      </c>
      <c r="H115" s="150" t="str">
        <f t="shared" si="166"/>
        <v/>
      </c>
      <c r="I115" s="149" t="str">
        <f t="shared" ca="1" si="146"/>
        <v/>
      </c>
      <c r="J115" s="150" t="str">
        <f t="shared" si="167"/>
        <v/>
      </c>
      <c r="K115" s="149" t="str">
        <f t="shared" ca="1" si="147"/>
        <v/>
      </c>
      <c r="L115" s="150" t="str">
        <f t="shared" si="168"/>
        <v/>
      </c>
      <c r="M115" s="149" t="str">
        <f t="shared" ca="1" si="148"/>
        <v/>
      </c>
      <c r="N115" s="150" t="str">
        <f t="shared" si="169"/>
        <v/>
      </c>
      <c r="O115" s="149" t="str">
        <f t="shared" ca="1" si="149"/>
        <v/>
      </c>
      <c r="P115" s="150" t="str">
        <f t="shared" si="170"/>
        <v/>
      </c>
      <c r="Q115" s="149" t="str">
        <f t="shared" ca="1" si="150"/>
        <v/>
      </c>
      <c r="R115" s="150" t="str">
        <f t="shared" si="171"/>
        <v/>
      </c>
      <c r="S115" s="149" t="str">
        <f t="shared" ca="1" si="151"/>
        <v/>
      </c>
      <c r="T115" s="150" t="str">
        <f t="shared" si="172"/>
        <v/>
      </c>
      <c r="U115" s="149" t="str">
        <f t="shared" ca="1" si="152"/>
        <v/>
      </c>
      <c r="V115" s="150" t="str">
        <f t="shared" si="173"/>
        <v/>
      </c>
      <c r="W115" s="149" t="str">
        <f t="shared" ca="1" si="153"/>
        <v/>
      </c>
      <c r="X115" s="150" t="str">
        <f t="shared" si="174"/>
        <v/>
      </c>
      <c r="Y115" s="149" t="str">
        <f t="shared" ca="1" si="154"/>
        <v/>
      </c>
      <c r="Z115" s="150" t="str">
        <f t="shared" si="175"/>
        <v/>
      </c>
      <c r="AA115" s="149" t="str">
        <f t="shared" ca="1" si="155"/>
        <v/>
      </c>
      <c r="AB115" s="150" t="str">
        <f t="shared" si="176"/>
        <v/>
      </c>
      <c r="AC115" s="149" t="str">
        <f t="shared" ca="1" si="156"/>
        <v/>
      </c>
      <c r="AD115" s="150" t="str">
        <f t="shared" si="177"/>
        <v/>
      </c>
      <c r="AE115" s="149" t="str">
        <f t="shared" si="157"/>
        <v/>
      </c>
      <c r="AF115" s="150" t="str">
        <f t="shared" si="178"/>
        <v/>
      </c>
      <c r="AG115" s="149" t="str">
        <f t="shared" si="158"/>
        <v/>
      </c>
      <c r="AH115" s="150" t="str">
        <f t="shared" si="179"/>
        <v/>
      </c>
      <c r="AI115" s="149" t="str">
        <f t="shared" si="159"/>
        <v/>
      </c>
      <c r="AJ115" s="150" t="str">
        <f t="shared" si="180"/>
        <v/>
      </c>
      <c r="AL115" s="211" t="e">
        <f t="shared" ca="1" si="181"/>
        <v>#DIV/0!</v>
      </c>
      <c r="AM115" s="70" t="e">
        <f t="shared" ca="1" si="182"/>
        <v>#DIV/0!</v>
      </c>
      <c r="AN115" s="276" t="e">
        <f t="shared" ca="1" si="183"/>
        <v>#DIV/0!</v>
      </c>
      <c r="AO115" s="276" t="e">
        <f t="shared" ca="1" si="184"/>
        <v>#DIV/0!</v>
      </c>
    </row>
    <row r="116" spans="1:41" s="142" customFormat="1" ht="21" hidden="1" customHeight="1">
      <c r="A116" s="277"/>
      <c r="B116" s="148" t="str">
        <f t="shared" si="185"/>
        <v/>
      </c>
      <c r="C116" s="149" t="str">
        <f t="shared" si="143"/>
        <v/>
      </c>
      <c r="D116" s="150" t="str">
        <f t="shared" si="164"/>
        <v/>
      </c>
      <c r="E116" s="149" t="str">
        <f t="shared" si="144"/>
        <v/>
      </c>
      <c r="F116" s="150" t="str">
        <f t="shared" si="165"/>
        <v/>
      </c>
      <c r="G116" s="149" t="str">
        <f t="shared" ca="1" si="145"/>
        <v/>
      </c>
      <c r="H116" s="150" t="str">
        <f t="shared" si="166"/>
        <v/>
      </c>
      <c r="I116" s="149" t="str">
        <f t="shared" ca="1" si="146"/>
        <v/>
      </c>
      <c r="J116" s="150" t="str">
        <f t="shared" si="167"/>
        <v/>
      </c>
      <c r="K116" s="149" t="str">
        <f t="shared" ca="1" si="147"/>
        <v/>
      </c>
      <c r="L116" s="150" t="str">
        <f t="shared" si="168"/>
        <v/>
      </c>
      <c r="M116" s="149" t="str">
        <f t="shared" ca="1" si="148"/>
        <v/>
      </c>
      <c r="N116" s="150" t="str">
        <f t="shared" si="169"/>
        <v/>
      </c>
      <c r="O116" s="149" t="str">
        <f t="shared" ca="1" si="149"/>
        <v/>
      </c>
      <c r="P116" s="150" t="str">
        <f t="shared" si="170"/>
        <v/>
      </c>
      <c r="Q116" s="149" t="str">
        <f t="shared" ca="1" si="150"/>
        <v/>
      </c>
      <c r="R116" s="150" t="str">
        <f t="shared" si="171"/>
        <v/>
      </c>
      <c r="S116" s="149" t="str">
        <f t="shared" ca="1" si="151"/>
        <v/>
      </c>
      <c r="T116" s="150" t="str">
        <f t="shared" si="172"/>
        <v/>
      </c>
      <c r="U116" s="149" t="str">
        <f t="shared" ca="1" si="152"/>
        <v/>
      </c>
      <c r="V116" s="150" t="str">
        <f t="shared" si="173"/>
        <v/>
      </c>
      <c r="W116" s="149" t="str">
        <f t="shared" ca="1" si="153"/>
        <v/>
      </c>
      <c r="X116" s="150" t="str">
        <f t="shared" si="174"/>
        <v/>
      </c>
      <c r="Y116" s="149" t="str">
        <f t="shared" ca="1" si="154"/>
        <v/>
      </c>
      <c r="Z116" s="150" t="str">
        <f t="shared" si="175"/>
        <v/>
      </c>
      <c r="AA116" s="149" t="str">
        <f t="shared" ca="1" si="155"/>
        <v/>
      </c>
      <c r="AB116" s="150" t="str">
        <f t="shared" si="176"/>
        <v/>
      </c>
      <c r="AC116" s="149" t="str">
        <f t="shared" ca="1" si="156"/>
        <v/>
      </c>
      <c r="AD116" s="150" t="str">
        <f t="shared" si="177"/>
        <v/>
      </c>
      <c r="AE116" s="149" t="str">
        <f t="shared" si="157"/>
        <v/>
      </c>
      <c r="AF116" s="150" t="str">
        <f t="shared" si="178"/>
        <v/>
      </c>
      <c r="AG116" s="149" t="str">
        <f t="shared" si="158"/>
        <v/>
      </c>
      <c r="AH116" s="150" t="str">
        <f t="shared" si="179"/>
        <v/>
      </c>
      <c r="AI116" s="149" t="str">
        <f t="shared" si="159"/>
        <v/>
      </c>
      <c r="AJ116" s="150" t="str">
        <f t="shared" si="180"/>
        <v/>
      </c>
      <c r="AL116" s="211" t="e">
        <f t="shared" ca="1" si="181"/>
        <v>#DIV/0!</v>
      </c>
      <c r="AM116" s="70" t="e">
        <f t="shared" ca="1" si="182"/>
        <v>#DIV/0!</v>
      </c>
      <c r="AN116" s="276" t="e">
        <f t="shared" ca="1" si="183"/>
        <v>#DIV/0!</v>
      </c>
      <c r="AO116" s="276" t="e">
        <f t="shared" ca="1" si="184"/>
        <v>#DIV/0!</v>
      </c>
    </row>
    <row r="117" spans="1:41" s="142" customFormat="1" ht="21" hidden="1" customHeight="1">
      <c r="A117" s="277"/>
      <c r="B117" s="148" t="str">
        <f t="shared" si="185"/>
        <v/>
      </c>
      <c r="C117" s="149" t="str">
        <f t="shared" si="143"/>
        <v/>
      </c>
      <c r="D117" s="150" t="str">
        <f t="shared" si="164"/>
        <v/>
      </c>
      <c r="E117" s="149" t="str">
        <f t="shared" si="144"/>
        <v/>
      </c>
      <c r="F117" s="150" t="str">
        <f t="shared" si="165"/>
        <v/>
      </c>
      <c r="G117" s="149" t="str">
        <f t="shared" ca="1" si="145"/>
        <v/>
      </c>
      <c r="H117" s="150" t="str">
        <f t="shared" si="166"/>
        <v/>
      </c>
      <c r="I117" s="149" t="str">
        <f t="shared" ca="1" si="146"/>
        <v/>
      </c>
      <c r="J117" s="150" t="str">
        <f t="shared" si="167"/>
        <v/>
      </c>
      <c r="K117" s="149" t="str">
        <f t="shared" ca="1" si="147"/>
        <v/>
      </c>
      <c r="L117" s="150" t="str">
        <f t="shared" si="168"/>
        <v/>
      </c>
      <c r="M117" s="149" t="str">
        <f t="shared" ca="1" si="148"/>
        <v/>
      </c>
      <c r="N117" s="150" t="str">
        <f t="shared" si="169"/>
        <v/>
      </c>
      <c r="O117" s="149" t="str">
        <f t="shared" ca="1" si="149"/>
        <v/>
      </c>
      <c r="P117" s="150" t="str">
        <f t="shared" si="170"/>
        <v/>
      </c>
      <c r="Q117" s="149" t="str">
        <f t="shared" ca="1" si="150"/>
        <v/>
      </c>
      <c r="R117" s="150" t="str">
        <f t="shared" si="171"/>
        <v/>
      </c>
      <c r="S117" s="149" t="str">
        <f t="shared" ca="1" si="151"/>
        <v/>
      </c>
      <c r="T117" s="150" t="str">
        <f t="shared" si="172"/>
        <v/>
      </c>
      <c r="U117" s="149" t="str">
        <f t="shared" ca="1" si="152"/>
        <v/>
      </c>
      <c r="V117" s="150" t="str">
        <f t="shared" si="173"/>
        <v/>
      </c>
      <c r="W117" s="149" t="str">
        <f t="shared" ca="1" si="153"/>
        <v/>
      </c>
      <c r="X117" s="150" t="str">
        <f t="shared" si="174"/>
        <v/>
      </c>
      <c r="Y117" s="149" t="str">
        <f t="shared" ca="1" si="154"/>
        <v/>
      </c>
      <c r="Z117" s="150" t="str">
        <f t="shared" si="175"/>
        <v/>
      </c>
      <c r="AA117" s="149" t="str">
        <f t="shared" ca="1" si="155"/>
        <v/>
      </c>
      <c r="AB117" s="150" t="str">
        <f t="shared" si="176"/>
        <v/>
      </c>
      <c r="AC117" s="149" t="str">
        <f t="shared" ca="1" si="156"/>
        <v/>
      </c>
      <c r="AD117" s="150" t="str">
        <f t="shared" si="177"/>
        <v/>
      </c>
      <c r="AE117" s="149" t="str">
        <f t="shared" si="157"/>
        <v/>
      </c>
      <c r="AF117" s="150" t="str">
        <f t="shared" si="178"/>
        <v/>
      </c>
      <c r="AG117" s="149" t="str">
        <f t="shared" si="158"/>
        <v/>
      </c>
      <c r="AH117" s="150" t="str">
        <f t="shared" si="179"/>
        <v/>
      </c>
      <c r="AI117" s="149" t="str">
        <f t="shared" si="159"/>
        <v/>
      </c>
      <c r="AJ117" s="150" t="str">
        <f t="shared" si="180"/>
        <v/>
      </c>
      <c r="AL117" s="211" t="e">
        <f t="shared" ca="1" si="181"/>
        <v>#DIV/0!</v>
      </c>
      <c r="AM117" s="70" t="e">
        <f t="shared" ca="1" si="182"/>
        <v>#DIV/0!</v>
      </c>
      <c r="AN117" s="276" t="e">
        <f t="shared" ca="1" si="183"/>
        <v>#DIV/0!</v>
      </c>
      <c r="AO117" s="276" t="e">
        <f t="shared" ca="1" si="184"/>
        <v>#DIV/0!</v>
      </c>
    </row>
    <row r="118" spans="1:41" s="142" customFormat="1" ht="21" hidden="1" customHeight="1">
      <c r="A118" s="277"/>
      <c r="B118" s="148" t="str">
        <f t="shared" si="185"/>
        <v/>
      </c>
      <c r="C118" s="149" t="str">
        <f t="shared" si="143"/>
        <v/>
      </c>
      <c r="D118" s="150" t="str">
        <f t="shared" si="164"/>
        <v/>
      </c>
      <c r="E118" s="149" t="str">
        <f t="shared" si="144"/>
        <v/>
      </c>
      <c r="F118" s="150" t="str">
        <f t="shared" si="165"/>
        <v/>
      </c>
      <c r="G118" s="149" t="str">
        <f t="shared" ca="1" si="145"/>
        <v/>
      </c>
      <c r="H118" s="150" t="str">
        <f t="shared" si="166"/>
        <v/>
      </c>
      <c r="I118" s="149" t="str">
        <f t="shared" ca="1" si="146"/>
        <v/>
      </c>
      <c r="J118" s="150" t="str">
        <f t="shared" si="167"/>
        <v/>
      </c>
      <c r="K118" s="149" t="str">
        <f t="shared" ca="1" si="147"/>
        <v/>
      </c>
      <c r="L118" s="150" t="str">
        <f t="shared" si="168"/>
        <v/>
      </c>
      <c r="M118" s="149" t="str">
        <f t="shared" ca="1" si="148"/>
        <v/>
      </c>
      <c r="N118" s="150" t="str">
        <f t="shared" si="169"/>
        <v/>
      </c>
      <c r="O118" s="149" t="str">
        <f t="shared" ca="1" si="149"/>
        <v/>
      </c>
      <c r="P118" s="150" t="str">
        <f t="shared" si="170"/>
        <v/>
      </c>
      <c r="Q118" s="149" t="str">
        <f t="shared" ca="1" si="150"/>
        <v/>
      </c>
      <c r="R118" s="150" t="str">
        <f t="shared" si="171"/>
        <v/>
      </c>
      <c r="S118" s="149" t="str">
        <f t="shared" ca="1" si="151"/>
        <v/>
      </c>
      <c r="T118" s="150" t="str">
        <f t="shared" si="172"/>
        <v/>
      </c>
      <c r="U118" s="149" t="str">
        <f t="shared" ca="1" si="152"/>
        <v/>
      </c>
      <c r="V118" s="150" t="str">
        <f t="shared" si="173"/>
        <v/>
      </c>
      <c r="W118" s="149" t="str">
        <f t="shared" ca="1" si="153"/>
        <v/>
      </c>
      <c r="X118" s="150" t="str">
        <f t="shared" si="174"/>
        <v/>
      </c>
      <c r="Y118" s="149" t="str">
        <f t="shared" ca="1" si="154"/>
        <v/>
      </c>
      <c r="Z118" s="150" t="str">
        <f t="shared" si="175"/>
        <v/>
      </c>
      <c r="AA118" s="149" t="str">
        <f t="shared" ca="1" si="155"/>
        <v/>
      </c>
      <c r="AB118" s="150" t="str">
        <f t="shared" si="176"/>
        <v/>
      </c>
      <c r="AC118" s="149" t="str">
        <f t="shared" ca="1" si="156"/>
        <v/>
      </c>
      <c r="AD118" s="150" t="str">
        <f t="shared" si="177"/>
        <v/>
      </c>
      <c r="AE118" s="149" t="str">
        <f t="shared" si="157"/>
        <v/>
      </c>
      <c r="AF118" s="150" t="str">
        <f t="shared" si="178"/>
        <v/>
      </c>
      <c r="AG118" s="149" t="str">
        <f t="shared" si="158"/>
        <v/>
      </c>
      <c r="AH118" s="150" t="str">
        <f t="shared" si="179"/>
        <v/>
      </c>
      <c r="AI118" s="149" t="str">
        <f t="shared" si="159"/>
        <v/>
      </c>
      <c r="AJ118" s="150" t="str">
        <f t="shared" si="180"/>
        <v/>
      </c>
      <c r="AL118" s="211" t="e">
        <f t="shared" ca="1" si="181"/>
        <v>#DIV/0!</v>
      </c>
      <c r="AM118" s="70" t="e">
        <f t="shared" ca="1" si="182"/>
        <v>#DIV/0!</v>
      </c>
      <c r="AN118" s="276" t="e">
        <f t="shared" ca="1" si="183"/>
        <v>#DIV/0!</v>
      </c>
      <c r="AO118" s="276" t="e">
        <f t="shared" ca="1" si="184"/>
        <v>#DIV/0!</v>
      </c>
    </row>
    <row r="119" spans="1:41" s="142" customFormat="1" ht="21" hidden="1" customHeight="1">
      <c r="A119" s="277"/>
      <c r="B119" s="148" t="str">
        <f t="shared" si="185"/>
        <v/>
      </c>
      <c r="C119" s="149" t="str">
        <f t="shared" si="143"/>
        <v/>
      </c>
      <c r="D119" s="150" t="str">
        <f t="shared" si="164"/>
        <v/>
      </c>
      <c r="E119" s="149" t="str">
        <f t="shared" si="144"/>
        <v/>
      </c>
      <c r="F119" s="150" t="str">
        <f t="shared" si="165"/>
        <v/>
      </c>
      <c r="G119" s="149" t="str">
        <f t="shared" ca="1" si="145"/>
        <v/>
      </c>
      <c r="H119" s="150" t="str">
        <f t="shared" si="166"/>
        <v/>
      </c>
      <c r="I119" s="149" t="str">
        <f t="shared" ca="1" si="146"/>
        <v/>
      </c>
      <c r="J119" s="150" t="str">
        <f t="shared" si="167"/>
        <v/>
      </c>
      <c r="K119" s="149" t="str">
        <f t="shared" ca="1" si="147"/>
        <v/>
      </c>
      <c r="L119" s="150" t="str">
        <f t="shared" si="168"/>
        <v/>
      </c>
      <c r="M119" s="149" t="str">
        <f t="shared" ca="1" si="148"/>
        <v/>
      </c>
      <c r="N119" s="150" t="str">
        <f t="shared" si="169"/>
        <v/>
      </c>
      <c r="O119" s="149" t="str">
        <f t="shared" ca="1" si="149"/>
        <v/>
      </c>
      <c r="P119" s="150" t="str">
        <f t="shared" si="170"/>
        <v/>
      </c>
      <c r="Q119" s="149" t="str">
        <f t="shared" ca="1" si="150"/>
        <v/>
      </c>
      <c r="R119" s="150" t="str">
        <f t="shared" si="171"/>
        <v/>
      </c>
      <c r="S119" s="149" t="str">
        <f t="shared" ca="1" si="151"/>
        <v/>
      </c>
      <c r="T119" s="150" t="str">
        <f t="shared" si="172"/>
        <v/>
      </c>
      <c r="U119" s="149" t="str">
        <f t="shared" ca="1" si="152"/>
        <v/>
      </c>
      <c r="V119" s="150" t="str">
        <f t="shared" si="173"/>
        <v/>
      </c>
      <c r="W119" s="149" t="str">
        <f t="shared" ca="1" si="153"/>
        <v/>
      </c>
      <c r="X119" s="150" t="str">
        <f t="shared" si="174"/>
        <v/>
      </c>
      <c r="Y119" s="149" t="str">
        <f t="shared" ca="1" si="154"/>
        <v/>
      </c>
      <c r="Z119" s="150" t="str">
        <f t="shared" si="175"/>
        <v/>
      </c>
      <c r="AA119" s="149" t="str">
        <f t="shared" ca="1" si="155"/>
        <v/>
      </c>
      <c r="AB119" s="150" t="str">
        <f t="shared" si="176"/>
        <v/>
      </c>
      <c r="AC119" s="149" t="str">
        <f t="shared" ca="1" si="156"/>
        <v/>
      </c>
      <c r="AD119" s="150" t="str">
        <f t="shared" si="177"/>
        <v/>
      </c>
      <c r="AE119" s="149" t="str">
        <f t="shared" si="157"/>
        <v/>
      </c>
      <c r="AF119" s="150" t="str">
        <f t="shared" si="178"/>
        <v/>
      </c>
      <c r="AG119" s="149" t="str">
        <f t="shared" si="158"/>
        <v/>
      </c>
      <c r="AH119" s="150" t="str">
        <f t="shared" si="179"/>
        <v/>
      </c>
      <c r="AI119" s="149" t="str">
        <f t="shared" si="159"/>
        <v/>
      </c>
      <c r="AJ119" s="150" t="str">
        <f t="shared" si="180"/>
        <v/>
      </c>
      <c r="AL119" s="211" t="e">
        <f t="shared" ca="1" si="181"/>
        <v>#DIV/0!</v>
      </c>
      <c r="AM119" s="70" t="e">
        <f t="shared" ca="1" si="182"/>
        <v>#DIV/0!</v>
      </c>
      <c r="AN119" s="276" t="e">
        <f t="shared" ca="1" si="183"/>
        <v>#DIV/0!</v>
      </c>
      <c r="AO119" s="276" t="e">
        <f t="shared" ca="1" si="184"/>
        <v>#DIV/0!</v>
      </c>
    </row>
    <row r="120" spans="1:41" s="142" customFormat="1" ht="21" hidden="1" customHeight="1">
      <c r="A120" s="277"/>
      <c r="B120" s="148" t="str">
        <f t="shared" si="185"/>
        <v/>
      </c>
      <c r="C120" s="149" t="str">
        <f t="shared" si="143"/>
        <v/>
      </c>
      <c r="D120" s="150" t="str">
        <f t="shared" si="164"/>
        <v/>
      </c>
      <c r="E120" s="149" t="str">
        <f t="shared" si="144"/>
        <v/>
      </c>
      <c r="F120" s="150" t="str">
        <f t="shared" si="165"/>
        <v/>
      </c>
      <c r="G120" s="149" t="str">
        <f t="shared" ca="1" si="145"/>
        <v/>
      </c>
      <c r="H120" s="150" t="str">
        <f t="shared" si="166"/>
        <v/>
      </c>
      <c r="I120" s="149" t="str">
        <f t="shared" ca="1" si="146"/>
        <v/>
      </c>
      <c r="J120" s="150" t="str">
        <f t="shared" si="167"/>
        <v/>
      </c>
      <c r="K120" s="149" t="str">
        <f t="shared" ca="1" si="147"/>
        <v/>
      </c>
      <c r="L120" s="150" t="str">
        <f t="shared" si="168"/>
        <v/>
      </c>
      <c r="M120" s="149" t="str">
        <f t="shared" ca="1" si="148"/>
        <v/>
      </c>
      <c r="N120" s="150" t="str">
        <f t="shared" si="169"/>
        <v/>
      </c>
      <c r="O120" s="149" t="str">
        <f t="shared" ca="1" si="149"/>
        <v/>
      </c>
      <c r="P120" s="150" t="str">
        <f t="shared" si="170"/>
        <v/>
      </c>
      <c r="Q120" s="149" t="str">
        <f t="shared" ca="1" si="150"/>
        <v/>
      </c>
      <c r="R120" s="150" t="str">
        <f t="shared" si="171"/>
        <v/>
      </c>
      <c r="S120" s="149" t="str">
        <f t="shared" ca="1" si="151"/>
        <v/>
      </c>
      <c r="T120" s="150" t="str">
        <f t="shared" si="172"/>
        <v/>
      </c>
      <c r="U120" s="149" t="str">
        <f t="shared" ca="1" si="152"/>
        <v/>
      </c>
      <c r="V120" s="150" t="str">
        <f t="shared" si="173"/>
        <v/>
      </c>
      <c r="W120" s="149" t="str">
        <f t="shared" ca="1" si="153"/>
        <v/>
      </c>
      <c r="X120" s="150" t="str">
        <f t="shared" si="174"/>
        <v/>
      </c>
      <c r="Y120" s="149" t="str">
        <f t="shared" ca="1" si="154"/>
        <v/>
      </c>
      <c r="Z120" s="150" t="str">
        <f t="shared" si="175"/>
        <v/>
      </c>
      <c r="AA120" s="149" t="str">
        <f t="shared" ca="1" si="155"/>
        <v/>
      </c>
      <c r="AB120" s="150" t="str">
        <f t="shared" si="176"/>
        <v/>
      </c>
      <c r="AC120" s="149" t="str">
        <f t="shared" ca="1" si="156"/>
        <v/>
      </c>
      <c r="AD120" s="150" t="str">
        <f t="shared" si="177"/>
        <v/>
      </c>
      <c r="AE120" s="149" t="str">
        <f t="shared" si="157"/>
        <v/>
      </c>
      <c r="AF120" s="150" t="str">
        <f t="shared" si="178"/>
        <v/>
      </c>
      <c r="AG120" s="149" t="str">
        <f t="shared" si="158"/>
        <v/>
      </c>
      <c r="AH120" s="150" t="str">
        <f t="shared" si="179"/>
        <v/>
      </c>
      <c r="AI120" s="149" t="str">
        <f t="shared" si="159"/>
        <v/>
      </c>
      <c r="AJ120" s="150" t="str">
        <f t="shared" si="180"/>
        <v/>
      </c>
      <c r="AL120" s="211" t="e">
        <f t="shared" ca="1" si="181"/>
        <v>#DIV/0!</v>
      </c>
      <c r="AM120" s="70" t="e">
        <f t="shared" ca="1" si="182"/>
        <v>#DIV/0!</v>
      </c>
      <c r="AN120" s="276" t="e">
        <f t="shared" ca="1" si="183"/>
        <v>#DIV/0!</v>
      </c>
      <c r="AO120" s="276" t="e">
        <f t="shared" ca="1" si="184"/>
        <v>#DIV/0!</v>
      </c>
    </row>
    <row r="121" spans="1:41" s="142" customFormat="1" ht="21" hidden="1" customHeight="1">
      <c r="A121" s="277"/>
      <c r="B121" s="148" t="str">
        <f t="shared" si="185"/>
        <v/>
      </c>
      <c r="C121" s="149" t="str">
        <f t="shared" si="143"/>
        <v/>
      </c>
      <c r="D121" s="150" t="str">
        <f t="shared" si="164"/>
        <v/>
      </c>
      <c r="E121" s="149" t="str">
        <f t="shared" si="144"/>
        <v/>
      </c>
      <c r="F121" s="150" t="str">
        <f t="shared" si="165"/>
        <v/>
      </c>
      <c r="G121" s="149" t="str">
        <f t="shared" ca="1" si="145"/>
        <v/>
      </c>
      <c r="H121" s="150" t="str">
        <f t="shared" si="166"/>
        <v/>
      </c>
      <c r="I121" s="149" t="str">
        <f t="shared" ca="1" si="146"/>
        <v/>
      </c>
      <c r="J121" s="150" t="str">
        <f t="shared" si="167"/>
        <v/>
      </c>
      <c r="K121" s="149" t="str">
        <f t="shared" ca="1" si="147"/>
        <v/>
      </c>
      <c r="L121" s="150" t="str">
        <f t="shared" si="168"/>
        <v/>
      </c>
      <c r="M121" s="149" t="str">
        <f t="shared" ca="1" si="148"/>
        <v/>
      </c>
      <c r="N121" s="150" t="str">
        <f t="shared" si="169"/>
        <v/>
      </c>
      <c r="O121" s="149" t="str">
        <f t="shared" ca="1" si="149"/>
        <v/>
      </c>
      <c r="P121" s="150" t="str">
        <f t="shared" si="170"/>
        <v/>
      </c>
      <c r="Q121" s="149" t="str">
        <f t="shared" ca="1" si="150"/>
        <v/>
      </c>
      <c r="R121" s="150" t="str">
        <f t="shared" si="171"/>
        <v/>
      </c>
      <c r="S121" s="149" t="str">
        <f t="shared" ca="1" si="151"/>
        <v/>
      </c>
      <c r="T121" s="150" t="str">
        <f t="shared" si="172"/>
        <v/>
      </c>
      <c r="U121" s="149" t="str">
        <f t="shared" ca="1" si="152"/>
        <v/>
      </c>
      <c r="V121" s="150" t="str">
        <f t="shared" si="173"/>
        <v/>
      </c>
      <c r="W121" s="149" t="str">
        <f t="shared" ca="1" si="153"/>
        <v/>
      </c>
      <c r="X121" s="150" t="str">
        <f t="shared" si="174"/>
        <v/>
      </c>
      <c r="Y121" s="149" t="str">
        <f t="shared" ca="1" si="154"/>
        <v/>
      </c>
      <c r="Z121" s="150" t="str">
        <f t="shared" si="175"/>
        <v/>
      </c>
      <c r="AA121" s="149" t="str">
        <f t="shared" ca="1" si="155"/>
        <v/>
      </c>
      <c r="AB121" s="150" t="str">
        <f t="shared" si="176"/>
        <v/>
      </c>
      <c r="AC121" s="149" t="str">
        <f t="shared" ca="1" si="156"/>
        <v/>
      </c>
      <c r="AD121" s="150" t="str">
        <f t="shared" si="177"/>
        <v/>
      </c>
      <c r="AE121" s="149" t="str">
        <f t="shared" si="157"/>
        <v/>
      </c>
      <c r="AF121" s="150" t="str">
        <f t="shared" si="178"/>
        <v/>
      </c>
      <c r="AG121" s="149" t="str">
        <f t="shared" si="158"/>
        <v/>
      </c>
      <c r="AH121" s="150" t="str">
        <f t="shared" si="179"/>
        <v/>
      </c>
      <c r="AI121" s="149" t="str">
        <f t="shared" si="159"/>
        <v/>
      </c>
      <c r="AJ121" s="150" t="str">
        <f t="shared" si="180"/>
        <v/>
      </c>
      <c r="AL121" s="211" t="e">
        <f t="shared" ca="1" si="181"/>
        <v>#DIV/0!</v>
      </c>
      <c r="AM121" s="70" t="e">
        <f t="shared" ca="1" si="182"/>
        <v>#DIV/0!</v>
      </c>
      <c r="AN121" s="276" t="e">
        <f t="shared" ca="1" si="183"/>
        <v>#DIV/0!</v>
      </c>
      <c r="AO121" s="276" t="e">
        <f t="shared" ca="1" si="184"/>
        <v>#DIV/0!</v>
      </c>
    </row>
    <row r="122" spans="1:41" s="142" customFormat="1" ht="21" hidden="1" customHeight="1">
      <c r="A122" s="277"/>
      <c r="B122" s="148" t="str">
        <f t="shared" si="185"/>
        <v/>
      </c>
      <c r="C122" s="149" t="str">
        <f t="shared" si="143"/>
        <v/>
      </c>
      <c r="D122" s="150" t="str">
        <f t="shared" si="164"/>
        <v/>
      </c>
      <c r="E122" s="149" t="str">
        <f t="shared" si="144"/>
        <v/>
      </c>
      <c r="F122" s="150" t="str">
        <f t="shared" si="165"/>
        <v/>
      </c>
      <c r="G122" s="149" t="str">
        <f t="shared" ca="1" si="145"/>
        <v/>
      </c>
      <c r="H122" s="150" t="str">
        <f t="shared" si="166"/>
        <v/>
      </c>
      <c r="I122" s="149" t="str">
        <f t="shared" ca="1" si="146"/>
        <v/>
      </c>
      <c r="J122" s="150" t="str">
        <f t="shared" si="167"/>
        <v/>
      </c>
      <c r="K122" s="149" t="str">
        <f t="shared" ca="1" si="147"/>
        <v/>
      </c>
      <c r="L122" s="150" t="str">
        <f t="shared" si="168"/>
        <v/>
      </c>
      <c r="M122" s="149" t="str">
        <f t="shared" ca="1" si="148"/>
        <v/>
      </c>
      <c r="N122" s="150" t="str">
        <f t="shared" si="169"/>
        <v/>
      </c>
      <c r="O122" s="149" t="str">
        <f t="shared" ca="1" si="149"/>
        <v/>
      </c>
      <c r="P122" s="150" t="str">
        <f t="shared" si="170"/>
        <v/>
      </c>
      <c r="Q122" s="149" t="str">
        <f t="shared" ca="1" si="150"/>
        <v/>
      </c>
      <c r="R122" s="150" t="str">
        <f t="shared" si="171"/>
        <v/>
      </c>
      <c r="S122" s="149" t="str">
        <f t="shared" ca="1" si="151"/>
        <v/>
      </c>
      <c r="T122" s="150" t="str">
        <f t="shared" si="172"/>
        <v/>
      </c>
      <c r="U122" s="149" t="str">
        <f t="shared" ca="1" si="152"/>
        <v/>
      </c>
      <c r="V122" s="150" t="str">
        <f t="shared" si="173"/>
        <v/>
      </c>
      <c r="W122" s="149" t="str">
        <f t="shared" ca="1" si="153"/>
        <v/>
      </c>
      <c r="X122" s="150" t="str">
        <f t="shared" si="174"/>
        <v/>
      </c>
      <c r="Y122" s="149" t="str">
        <f t="shared" ca="1" si="154"/>
        <v/>
      </c>
      <c r="Z122" s="150" t="str">
        <f t="shared" si="175"/>
        <v/>
      </c>
      <c r="AA122" s="149" t="str">
        <f t="shared" ca="1" si="155"/>
        <v/>
      </c>
      <c r="AB122" s="150" t="str">
        <f t="shared" si="176"/>
        <v/>
      </c>
      <c r="AC122" s="149" t="str">
        <f t="shared" ca="1" si="156"/>
        <v/>
      </c>
      <c r="AD122" s="150" t="str">
        <f t="shared" si="177"/>
        <v/>
      </c>
      <c r="AE122" s="149" t="str">
        <f t="shared" si="157"/>
        <v/>
      </c>
      <c r="AF122" s="150" t="str">
        <f t="shared" si="178"/>
        <v/>
      </c>
      <c r="AG122" s="149" t="str">
        <f t="shared" si="158"/>
        <v/>
      </c>
      <c r="AH122" s="150" t="str">
        <f t="shared" si="179"/>
        <v/>
      </c>
      <c r="AI122" s="149" t="str">
        <f t="shared" si="159"/>
        <v/>
      </c>
      <c r="AJ122" s="150" t="str">
        <f t="shared" si="180"/>
        <v/>
      </c>
      <c r="AL122" s="211" t="e">
        <f t="shared" ca="1" si="181"/>
        <v>#DIV/0!</v>
      </c>
      <c r="AM122" s="70" t="e">
        <f t="shared" ca="1" si="182"/>
        <v>#DIV/0!</v>
      </c>
      <c r="AN122" s="276" t="e">
        <f t="shared" ca="1" si="183"/>
        <v>#DIV/0!</v>
      </c>
      <c r="AO122" s="276" t="e">
        <f t="shared" ca="1" si="184"/>
        <v>#DIV/0!</v>
      </c>
    </row>
    <row r="123" spans="1:41" s="142" customFormat="1" ht="21" hidden="1" customHeight="1">
      <c r="A123" s="277"/>
      <c r="B123" s="148" t="str">
        <f t="shared" si="185"/>
        <v/>
      </c>
      <c r="C123" s="149" t="str">
        <f t="shared" si="143"/>
        <v/>
      </c>
      <c r="D123" s="150" t="str">
        <f t="shared" si="164"/>
        <v/>
      </c>
      <c r="E123" s="149" t="str">
        <f t="shared" si="144"/>
        <v/>
      </c>
      <c r="F123" s="150" t="str">
        <f t="shared" si="165"/>
        <v/>
      </c>
      <c r="G123" s="149" t="str">
        <f t="shared" ca="1" si="145"/>
        <v/>
      </c>
      <c r="H123" s="150" t="str">
        <f t="shared" si="166"/>
        <v/>
      </c>
      <c r="I123" s="149" t="str">
        <f t="shared" ca="1" si="146"/>
        <v/>
      </c>
      <c r="J123" s="150" t="str">
        <f t="shared" si="167"/>
        <v/>
      </c>
      <c r="K123" s="149" t="str">
        <f t="shared" ca="1" si="147"/>
        <v/>
      </c>
      <c r="L123" s="150" t="str">
        <f t="shared" si="168"/>
        <v/>
      </c>
      <c r="M123" s="149" t="str">
        <f t="shared" ca="1" si="148"/>
        <v/>
      </c>
      <c r="N123" s="150" t="str">
        <f t="shared" si="169"/>
        <v/>
      </c>
      <c r="O123" s="149" t="str">
        <f t="shared" ca="1" si="149"/>
        <v/>
      </c>
      <c r="P123" s="150" t="str">
        <f t="shared" si="170"/>
        <v/>
      </c>
      <c r="Q123" s="149" t="str">
        <f t="shared" ca="1" si="150"/>
        <v/>
      </c>
      <c r="R123" s="150" t="str">
        <f t="shared" si="171"/>
        <v/>
      </c>
      <c r="S123" s="149" t="str">
        <f t="shared" ca="1" si="151"/>
        <v/>
      </c>
      <c r="T123" s="150" t="str">
        <f t="shared" si="172"/>
        <v/>
      </c>
      <c r="U123" s="149" t="str">
        <f t="shared" ca="1" si="152"/>
        <v/>
      </c>
      <c r="V123" s="150" t="str">
        <f t="shared" si="173"/>
        <v/>
      </c>
      <c r="W123" s="149" t="str">
        <f t="shared" ca="1" si="153"/>
        <v/>
      </c>
      <c r="X123" s="150" t="str">
        <f t="shared" si="174"/>
        <v/>
      </c>
      <c r="Y123" s="149" t="str">
        <f t="shared" ca="1" si="154"/>
        <v/>
      </c>
      <c r="Z123" s="150" t="str">
        <f t="shared" si="175"/>
        <v/>
      </c>
      <c r="AA123" s="149" t="str">
        <f t="shared" ca="1" si="155"/>
        <v/>
      </c>
      <c r="AB123" s="150" t="str">
        <f t="shared" si="176"/>
        <v/>
      </c>
      <c r="AC123" s="149" t="str">
        <f t="shared" ca="1" si="156"/>
        <v/>
      </c>
      <c r="AD123" s="150" t="str">
        <f t="shared" si="177"/>
        <v/>
      </c>
      <c r="AE123" s="149" t="str">
        <f t="shared" si="157"/>
        <v/>
      </c>
      <c r="AF123" s="150" t="str">
        <f t="shared" si="178"/>
        <v/>
      </c>
      <c r="AG123" s="149" t="str">
        <f t="shared" si="158"/>
        <v/>
      </c>
      <c r="AH123" s="150" t="str">
        <f t="shared" si="179"/>
        <v/>
      </c>
      <c r="AI123" s="149" t="str">
        <f t="shared" si="159"/>
        <v/>
      </c>
      <c r="AJ123" s="150" t="str">
        <f t="shared" si="180"/>
        <v/>
      </c>
      <c r="AL123" s="211" t="e">
        <f t="shared" ca="1" si="181"/>
        <v>#DIV/0!</v>
      </c>
      <c r="AM123" s="70" t="e">
        <f t="shared" ca="1" si="182"/>
        <v>#DIV/0!</v>
      </c>
      <c r="AN123" s="276" t="e">
        <f t="shared" ca="1" si="183"/>
        <v>#DIV/0!</v>
      </c>
      <c r="AO123" s="276" t="e">
        <f t="shared" ca="1" si="184"/>
        <v>#DIV/0!</v>
      </c>
    </row>
    <row r="124" spans="1:41" s="142" customFormat="1" ht="21" hidden="1" customHeight="1">
      <c r="A124" s="277"/>
      <c r="B124" s="148" t="str">
        <f t="shared" si="185"/>
        <v/>
      </c>
      <c r="C124" s="149" t="str">
        <f t="shared" si="143"/>
        <v/>
      </c>
      <c r="D124" s="150" t="str">
        <f t="shared" si="164"/>
        <v/>
      </c>
      <c r="E124" s="149" t="str">
        <f t="shared" si="144"/>
        <v/>
      </c>
      <c r="F124" s="150" t="str">
        <f t="shared" si="165"/>
        <v/>
      </c>
      <c r="G124" s="149" t="str">
        <f t="shared" ca="1" si="145"/>
        <v/>
      </c>
      <c r="H124" s="150" t="str">
        <f t="shared" si="166"/>
        <v/>
      </c>
      <c r="I124" s="149" t="str">
        <f t="shared" ca="1" si="146"/>
        <v/>
      </c>
      <c r="J124" s="150" t="str">
        <f t="shared" si="167"/>
        <v/>
      </c>
      <c r="K124" s="149" t="str">
        <f t="shared" ca="1" si="147"/>
        <v/>
      </c>
      <c r="L124" s="150" t="str">
        <f t="shared" si="168"/>
        <v/>
      </c>
      <c r="M124" s="149" t="str">
        <f t="shared" ca="1" si="148"/>
        <v/>
      </c>
      <c r="N124" s="150" t="str">
        <f t="shared" si="169"/>
        <v/>
      </c>
      <c r="O124" s="149" t="str">
        <f t="shared" ca="1" si="149"/>
        <v/>
      </c>
      <c r="P124" s="150" t="str">
        <f t="shared" si="170"/>
        <v/>
      </c>
      <c r="Q124" s="149" t="str">
        <f t="shared" ca="1" si="150"/>
        <v/>
      </c>
      <c r="R124" s="150" t="str">
        <f t="shared" si="171"/>
        <v/>
      </c>
      <c r="S124" s="149" t="str">
        <f t="shared" ca="1" si="151"/>
        <v/>
      </c>
      <c r="T124" s="150" t="str">
        <f t="shared" si="172"/>
        <v/>
      </c>
      <c r="U124" s="149" t="str">
        <f t="shared" ca="1" si="152"/>
        <v/>
      </c>
      <c r="V124" s="150" t="str">
        <f t="shared" si="173"/>
        <v/>
      </c>
      <c r="W124" s="149" t="str">
        <f t="shared" ca="1" si="153"/>
        <v/>
      </c>
      <c r="X124" s="150" t="str">
        <f t="shared" si="174"/>
        <v/>
      </c>
      <c r="Y124" s="149" t="str">
        <f t="shared" ca="1" si="154"/>
        <v/>
      </c>
      <c r="Z124" s="150" t="str">
        <f t="shared" si="175"/>
        <v/>
      </c>
      <c r="AA124" s="149" t="str">
        <f t="shared" ca="1" si="155"/>
        <v/>
      </c>
      <c r="AB124" s="150" t="str">
        <f t="shared" si="176"/>
        <v/>
      </c>
      <c r="AC124" s="149" t="str">
        <f t="shared" ca="1" si="156"/>
        <v/>
      </c>
      <c r="AD124" s="150" t="str">
        <f t="shared" si="177"/>
        <v/>
      </c>
      <c r="AE124" s="149" t="str">
        <f t="shared" si="157"/>
        <v/>
      </c>
      <c r="AF124" s="150" t="str">
        <f t="shared" si="178"/>
        <v/>
      </c>
      <c r="AG124" s="149" t="str">
        <f t="shared" si="158"/>
        <v/>
      </c>
      <c r="AH124" s="150" t="str">
        <f t="shared" si="179"/>
        <v/>
      </c>
      <c r="AI124" s="149" t="str">
        <f t="shared" si="159"/>
        <v/>
      </c>
      <c r="AJ124" s="150" t="str">
        <f t="shared" si="180"/>
        <v/>
      </c>
      <c r="AL124" s="211" t="e">
        <f t="shared" ca="1" si="181"/>
        <v>#DIV/0!</v>
      </c>
      <c r="AM124" s="70" t="e">
        <f t="shared" ca="1" si="182"/>
        <v>#DIV/0!</v>
      </c>
      <c r="AN124" s="276" t="e">
        <f t="shared" ca="1" si="183"/>
        <v>#DIV/0!</v>
      </c>
      <c r="AO124" s="276" t="e">
        <f t="shared" ca="1" si="184"/>
        <v>#DIV/0!</v>
      </c>
    </row>
    <row r="125" spans="1:41" s="142" customFormat="1" ht="21" hidden="1" customHeight="1">
      <c r="A125" s="277"/>
      <c r="B125" s="148" t="str">
        <f t="shared" si="185"/>
        <v/>
      </c>
      <c r="C125" s="149" t="str">
        <f t="shared" si="143"/>
        <v/>
      </c>
      <c r="D125" s="150" t="str">
        <f t="shared" si="164"/>
        <v/>
      </c>
      <c r="E125" s="149" t="str">
        <f t="shared" si="144"/>
        <v/>
      </c>
      <c r="F125" s="150" t="str">
        <f t="shared" si="165"/>
        <v/>
      </c>
      <c r="G125" s="149" t="str">
        <f t="shared" ca="1" si="145"/>
        <v/>
      </c>
      <c r="H125" s="150" t="str">
        <f t="shared" si="166"/>
        <v/>
      </c>
      <c r="I125" s="149" t="str">
        <f t="shared" ca="1" si="146"/>
        <v/>
      </c>
      <c r="J125" s="150" t="str">
        <f t="shared" si="167"/>
        <v/>
      </c>
      <c r="K125" s="149" t="str">
        <f t="shared" ca="1" si="147"/>
        <v/>
      </c>
      <c r="L125" s="150" t="str">
        <f t="shared" si="168"/>
        <v/>
      </c>
      <c r="M125" s="149" t="str">
        <f t="shared" ca="1" si="148"/>
        <v/>
      </c>
      <c r="N125" s="150" t="str">
        <f t="shared" si="169"/>
        <v/>
      </c>
      <c r="O125" s="149" t="str">
        <f t="shared" ca="1" si="149"/>
        <v/>
      </c>
      <c r="P125" s="150" t="str">
        <f t="shared" si="170"/>
        <v/>
      </c>
      <c r="Q125" s="149" t="str">
        <f t="shared" ca="1" si="150"/>
        <v/>
      </c>
      <c r="R125" s="150" t="str">
        <f t="shared" si="171"/>
        <v/>
      </c>
      <c r="S125" s="149" t="str">
        <f t="shared" ca="1" si="151"/>
        <v/>
      </c>
      <c r="T125" s="150" t="str">
        <f t="shared" si="172"/>
        <v/>
      </c>
      <c r="U125" s="149" t="str">
        <f t="shared" ca="1" si="152"/>
        <v/>
      </c>
      <c r="V125" s="150" t="str">
        <f t="shared" si="173"/>
        <v/>
      </c>
      <c r="W125" s="149" t="str">
        <f t="shared" ca="1" si="153"/>
        <v/>
      </c>
      <c r="X125" s="150" t="str">
        <f t="shared" si="174"/>
        <v/>
      </c>
      <c r="Y125" s="149" t="str">
        <f t="shared" ca="1" si="154"/>
        <v/>
      </c>
      <c r="Z125" s="150" t="str">
        <f t="shared" si="175"/>
        <v/>
      </c>
      <c r="AA125" s="149" t="str">
        <f t="shared" ca="1" si="155"/>
        <v/>
      </c>
      <c r="AB125" s="150" t="str">
        <f t="shared" si="176"/>
        <v/>
      </c>
      <c r="AC125" s="149" t="str">
        <f t="shared" ca="1" si="156"/>
        <v/>
      </c>
      <c r="AD125" s="150" t="str">
        <f t="shared" si="177"/>
        <v/>
      </c>
      <c r="AE125" s="149" t="str">
        <f t="shared" si="157"/>
        <v/>
      </c>
      <c r="AF125" s="150" t="str">
        <f t="shared" si="178"/>
        <v/>
      </c>
      <c r="AG125" s="149" t="str">
        <f t="shared" si="158"/>
        <v/>
      </c>
      <c r="AH125" s="150" t="str">
        <f t="shared" si="179"/>
        <v/>
      </c>
      <c r="AI125" s="149" t="str">
        <f t="shared" si="159"/>
        <v/>
      </c>
      <c r="AJ125" s="150" t="str">
        <f t="shared" si="180"/>
        <v/>
      </c>
      <c r="AL125" s="211" t="e">
        <f t="shared" ca="1" si="181"/>
        <v>#DIV/0!</v>
      </c>
      <c r="AM125" s="70" t="e">
        <f t="shared" ca="1" si="182"/>
        <v>#DIV/0!</v>
      </c>
      <c r="AN125" s="276" t="e">
        <f t="shared" ca="1" si="183"/>
        <v>#DIV/0!</v>
      </c>
      <c r="AO125" s="276" t="e">
        <f t="shared" ca="1" si="184"/>
        <v>#DIV/0!</v>
      </c>
    </row>
    <row r="126" spans="1:41" s="142" customFormat="1" ht="21" hidden="1" customHeight="1">
      <c r="A126" s="277"/>
      <c r="B126" s="148" t="str">
        <f t="shared" si="185"/>
        <v/>
      </c>
      <c r="C126" s="149" t="str">
        <f t="shared" si="143"/>
        <v/>
      </c>
      <c r="D126" s="150" t="str">
        <f t="shared" si="164"/>
        <v/>
      </c>
      <c r="E126" s="149" t="str">
        <f t="shared" si="144"/>
        <v/>
      </c>
      <c r="F126" s="150" t="str">
        <f t="shared" si="165"/>
        <v/>
      </c>
      <c r="G126" s="149" t="str">
        <f t="shared" ca="1" si="145"/>
        <v/>
      </c>
      <c r="H126" s="150" t="str">
        <f t="shared" si="166"/>
        <v/>
      </c>
      <c r="I126" s="149" t="str">
        <f t="shared" ca="1" si="146"/>
        <v/>
      </c>
      <c r="J126" s="150" t="str">
        <f t="shared" si="167"/>
        <v/>
      </c>
      <c r="K126" s="149" t="str">
        <f t="shared" ca="1" si="147"/>
        <v/>
      </c>
      <c r="L126" s="150" t="str">
        <f t="shared" si="168"/>
        <v/>
      </c>
      <c r="M126" s="149" t="str">
        <f t="shared" ca="1" si="148"/>
        <v/>
      </c>
      <c r="N126" s="150" t="str">
        <f t="shared" si="169"/>
        <v/>
      </c>
      <c r="O126" s="149" t="str">
        <f t="shared" ca="1" si="149"/>
        <v/>
      </c>
      <c r="P126" s="150" t="str">
        <f t="shared" si="170"/>
        <v/>
      </c>
      <c r="Q126" s="149" t="str">
        <f t="shared" ca="1" si="150"/>
        <v/>
      </c>
      <c r="R126" s="150" t="str">
        <f t="shared" si="171"/>
        <v/>
      </c>
      <c r="S126" s="149" t="str">
        <f t="shared" ca="1" si="151"/>
        <v/>
      </c>
      <c r="T126" s="150" t="str">
        <f t="shared" si="172"/>
        <v/>
      </c>
      <c r="U126" s="149" t="str">
        <f t="shared" ca="1" si="152"/>
        <v/>
      </c>
      <c r="V126" s="150" t="str">
        <f t="shared" si="173"/>
        <v/>
      </c>
      <c r="W126" s="149" t="str">
        <f t="shared" ca="1" si="153"/>
        <v/>
      </c>
      <c r="X126" s="150" t="str">
        <f t="shared" si="174"/>
        <v/>
      </c>
      <c r="Y126" s="149" t="str">
        <f t="shared" ca="1" si="154"/>
        <v/>
      </c>
      <c r="Z126" s="150" t="str">
        <f t="shared" si="175"/>
        <v/>
      </c>
      <c r="AA126" s="149" t="str">
        <f t="shared" ca="1" si="155"/>
        <v/>
      </c>
      <c r="AB126" s="150" t="str">
        <f t="shared" si="176"/>
        <v/>
      </c>
      <c r="AC126" s="149" t="str">
        <f t="shared" ca="1" si="156"/>
        <v/>
      </c>
      <c r="AD126" s="150" t="str">
        <f t="shared" si="177"/>
        <v/>
      </c>
      <c r="AE126" s="149" t="str">
        <f t="shared" si="157"/>
        <v/>
      </c>
      <c r="AF126" s="150" t="str">
        <f t="shared" si="178"/>
        <v/>
      </c>
      <c r="AG126" s="149" t="str">
        <f t="shared" si="158"/>
        <v/>
      </c>
      <c r="AH126" s="150" t="str">
        <f t="shared" si="179"/>
        <v/>
      </c>
      <c r="AI126" s="149" t="str">
        <f t="shared" si="159"/>
        <v/>
      </c>
      <c r="AJ126" s="150" t="str">
        <f t="shared" si="180"/>
        <v/>
      </c>
      <c r="AL126" s="211" t="e">
        <f t="shared" ca="1" si="181"/>
        <v>#DIV/0!</v>
      </c>
      <c r="AM126" s="70" t="e">
        <f t="shared" ca="1" si="182"/>
        <v>#DIV/0!</v>
      </c>
      <c r="AN126" s="276" t="e">
        <f t="shared" ca="1" si="183"/>
        <v>#DIV/0!</v>
      </c>
      <c r="AO126" s="276" t="e">
        <f t="shared" ca="1" si="184"/>
        <v>#DIV/0!</v>
      </c>
    </row>
    <row r="127" spans="1:41" s="142" customFormat="1" ht="21" hidden="1" customHeight="1">
      <c r="A127" s="277"/>
      <c r="B127" s="148" t="str">
        <f t="shared" si="185"/>
        <v/>
      </c>
      <c r="C127" s="149" t="str">
        <f t="shared" si="143"/>
        <v/>
      </c>
      <c r="D127" s="150" t="str">
        <f t="shared" si="164"/>
        <v/>
      </c>
      <c r="E127" s="149" t="str">
        <f t="shared" si="144"/>
        <v/>
      </c>
      <c r="F127" s="150" t="str">
        <f t="shared" si="165"/>
        <v/>
      </c>
      <c r="G127" s="149" t="str">
        <f t="shared" ca="1" si="145"/>
        <v/>
      </c>
      <c r="H127" s="150" t="str">
        <f t="shared" si="166"/>
        <v/>
      </c>
      <c r="I127" s="149" t="str">
        <f t="shared" ca="1" si="146"/>
        <v/>
      </c>
      <c r="J127" s="150" t="str">
        <f t="shared" si="167"/>
        <v/>
      </c>
      <c r="K127" s="149" t="str">
        <f t="shared" ca="1" si="147"/>
        <v/>
      </c>
      <c r="L127" s="150" t="str">
        <f t="shared" si="168"/>
        <v/>
      </c>
      <c r="M127" s="149" t="str">
        <f t="shared" ca="1" si="148"/>
        <v/>
      </c>
      <c r="N127" s="150" t="str">
        <f t="shared" si="169"/>
        <v/>
      </c>
      <c r="O127" s="149" t="str">
        <f t="shared" ca="1" si="149"/>
        <v/>
      </c>
      <c r="P127" s="150" t="str">
        <f t="shared" si="170"/>
        <v/>
      </c>
      <c r="Q127" s="149" t="str">
        <f t="shared" ca="1" si="150"/>
        <v/>
      </c>
      <c r="R127" s="150" t="str">
        <f t="shared" si="171"/>
        <v/>
      </c>
      <c r="S127" s="149" t="str">
        <f t="shared" ca="1" si="151"/>
        <v/>
      </c>
      <c r="T127" s="150" t="str">
        <f t="shared" si="172"/>
        <v/>
      </c>
      <c r="U127" s="149" t="str">
        <f t="shared" ca="1" si="152"/>
        <v/>
      </c>
      <c r="V127" s="150" t="str">
        <f t="shared" si="173"/>
        <v/>
      </c>
      <c r="W127" s="149" t="str">
        <f t="shared" ca="1" si="153"/>
        <v/>
      </c>
      <c r="X127" s="150" t="str">
        <f t="shared" si="174"/>
        <v/>
      </c>
      <c r="Y127" s="149" t="str">
        <f t="shared" ca="1" si="154"/>
        <v/>
      </c>
      <c r="Z127" s="150" t="str">
        <f t="shared" si="175"/>
        <v/>
      </c>
      <c r="AA127" s="149" t="str">
        <f t="shared" ca="1" si="155"/>
        <v/>
      </c>
      <c r="AB127" s="150" t="str">
        <f t="shared" si="176"/>
        <v/>
      </c>
      <c r="AC127" s="149" t="str">
        <f t="shared" ca="1" si="156"/>
        <v/>
      </c>
      <c r="AD127" s="150" t="str">
        <f t="shared" si="177"/>
        <v/>
      </c>
      <c r="AE127" s="149" t="str">
        <f t="shared" si="157"/>
        <v/>
      </c>
      <c r="AF127" s="150" t="str">
        <f t="shared" si="178"/>
        <v/>
      </c>
      <c r="AG127" s="149" t="str">
        <f t="shared" si="158"/>
        <v/>
      </c>
      <c r="AH127" s="150" t="str">
        <f t="shared" si="179"/>
        <v/>
      </c>
      <c r="AI127" s="149" t="str">
        <f t="shared" si="159"/>
        <v/>
      </c>
      <c r="AJ127" s="150" t="str">
        <f t="shared" si="180"/>
        <v/>
      </c>
      <c r="AL127" s="211" t="e">
        <f t="shared" ca="1" si="181"/>
        <v>#DIV/0!</v>
      </c>
      <c r="AM127" s="70" t="e">
        <f t="shared" ca="1" si="182"/>
        <v>#DIV/0!</v>
      </c>
      <c r="AN127" s="276" t="e">
        <f t="shared" ca="1" si="183"/>
        <v>#DIV/0!</v>
      </c>
      <c r="AO127" s="276" t="e">
        <f t="shared" ca="1" si="184"/>
        <v>#DIV/0!</v>
      </c>
    </row>
    <row r="128" spans="1:41" s="142" customFormat="1" ht="21" hidden="1" customHeight="1">
      <c r="A128" s="277"/>
      <c r="B128" s="148" t="str">
        <f t="shared" si="185"/>
        <v/>
      </c>
      <c r="C128" s="149" t="str">
        <f t="shared" si="143"/>
        <v/>
      </c>
      <c r="D128" s="150" t="str">
        <f t="shared" si="164"/>
        <v/>
      </c>
      <c r="E128" s="149" t="str">
        <f t="shared" si="144"/>
        <v/>
      </c>
      <c r="F128" s="150" t="str">
        <f t="shared" si="165"/>
        <v/>
      </c>
      <c r="G128" s="149" t="str">
        <f t="shared" ca="1" si="145"/>
        <v/>
      </c>
      <c r="H128" s="150" t="str">
        <f t="shared" si="166"/>
        <v/>
      </c>
      <c r="I128" s="149" t="str">
        <f t="shared" ca="1" si="146"/>
        <v/>
      </c>
      <c r="J128" s="150" t="str">
        <f t="shared" si="167"/>
        <v/>
      </c>
      <c r="K128" s="149" t="str">
        <f t="shared" ca="1" si="147"/>
        <v/>
      </c>
      <c r="L128" s="150" t="str">
        <f t="shared" si="168"/>
        <v/>
      </c>
      <c r="M128" s="149" t="str">
        <f t="shared" ca="1" si="148"/>
        <v/>
      </c>
      <c r="N128" s="150" t="str">
        <f t="shared" si="169"/>
        <v/>
      </c>
      <c r="O128" s="149" t="str">
        <f t="shared" ca="1" si="149"/>
        <v/>
      </c>
      <c r="P128" s="150" t="str">
        <f t="shared" si="170"/>
        <v/>
      </c>
      <c r="Q128" s="149" t="str">
        <f t="shared" ca="1" si="150"/>
        <v/>
      </c>
      <c r="R128" s="150" t="str">
        <f t="shared" si="171"/>
        <v/>
      </c>
      <c r="S128" s="149" t="str">
        <f t="shared" ca="1" si="151"/>
        <v/>
      </c>
      <c r="T128" s="150" t="str">
        <f t="shared" si="172"/>
        <v/>
      </c>
      <c r="U128" s="149" t="str">
        <f t="shared" ca="1" si="152"/>
        <v/>
      </c>
      <c r="V128" s="150" t="str">
        <f t="shared" si="173"/>
        <v/>
      </c>
      <c r="W128" s="149" t="str">
        <f t="shared" ca="1" si="153"/>
        <v/>
      </c>
      <c r="X128" s="150" t="str">
        <f t="shared" si="174"/>
        <v/>
      </c>
      <c r="Y128" s="149" t="str">
        <f t="shared" ca="1" si="154"/>
        <v/>
      </c>
      <c r="Z128" s="150" t="str">
        <f t="shared" si="175"/>
        <v/>
      </c>
      <c r="AA128" s="149" t="str">
        <f t="shared" ca="1" si="155"/>
        <v/>
      </c>
      <c r="AB128" s="150" t="str">
        <f t="shared" si="176"/>
        <v/>
      </c>
      <c r="AC128" s="149" t="str">
        <f t="shared" ca="1" si="156"/>
        <v/>
      </c>
      <c r="AD128" s="150" t="str">
        <f t="shared" si="177"/>
        <v/>
      </c>
      <c r="AE128" s="149" t="str">
        <f t="shared" si="157"/>
        <v/>
      </c>
      <c r="AF128" s="150" t="str">
        <f t="shared" si="178"/>
        <v/>
      </c>
      <c r="AG128" s="149" t="str">
        <f t="shared" si="158"/>
        <v/>
      </c>
      <c r="AH128" s="150" t="str">
        <f t="shared" si="179"/>
        <v/>
      </c>
      <c r="AI128" s="149" t="str">
        <f t="shared" si="159"/>
        <v/>
      </c>
      <c r="AJ128" s="150" t="str">
        <f t="shared" si="180"/>
        <v/>
      </c>
      <c r="AL128" s="211" t="e">
        <f t="shared" ca="1" si="181"/>
        <v>#DIV/0!</v>
      </c>
      <c r="AM128" s="70" t="e">
        <f t="shared" ca="1" si="182"/>
        <v>#DIV/0!</v>
      </c>
      <c r="AN128" s="276" t="e">
        <f t="shared" ca="1" si="183"/>
        <v>#DIV/0!</v>
      </c>
      <c r="AO128" s="276" t="e">
        <f t="shared" ca="1" si="184"/>
        <v>#DIV/0!</v>
      </c>
    </row>
    <row r="129" spans="1:41" s="142" customFormat="1" ht="21" hidden="1" customHeight="1">
      <c r="A129" s="277"/>
      <c r="B129" s="148" t="str">
        <f t="shared" si="185"/>
        <v/>
      </c>
      <c r="C129" s="149" t="str">
        <f t="shared" si="143"/>
        <v/>
      </c>
      <c r="D129" s="150" t="str">
        <f t="shared" si="164"/>
        <v/>
      </c>
      <c r="E129" s="149" t="str">
        <f t="shared" si="144"/>
        <v/>
      </c>
      <c r="F129" s="150" t="str">
        <f t="shared" si="165"/>
        <v/>
      </c>
      <c r="G129" s="149" t="str">
        <f t="shared" ca="1" si="145"/>
        <v/>
      </c>
      <c r="H129" s="150" t="str">
        <f t="shared" si="166"/>
        <v/>
      </c>
      <c r="I129" s="149" t="str">
        <f t="shared" ca="1" si="146"/>
        <v/>
      </c>
      <c r="J129" s="150" t="str">
        <f t="shared" si="167"/>
        <v/>
      </c>
      <c r="K129" s="149" t="str">
        <f t="shared" ca="1" si="147"/>
        <v/>
      </c>
      <c r="L129" s="150" t="str">
        <f t="shared" si="168"/>
        <v/>
      </c>
      <c r="M129" s="149" t="str">
        <f t="shared" ca="1" si="148"/>
        <v/>
      </c>
      <c r="N129" s="150" t="str">
        <f t="shared" si="169"/>
        <v/>
      </c>
      <c r="O129" s="149" t="str">
        <f t="shared" ca="1" si="149"/>
        <v/>
      </c>
      <c r="P129" s="150" t="str">
        <f t="shared" si="170"/>
        <v/>
      </c>
      <c r="Q129" s="149" t="str">
        <f t="shared" ca="1" si="150"/>
        <v/>
      </c>
      <c r="R129" s="150" t="str">
        <f t="shared" si="171"/>
        <v/>
      </c>
      <c r="S129" s="149" t="str">
        <f t="shared" ca="1" si="151"/>
        <v/>
      </c>
      <c r="T129" s="150" t="str">
        <f t="shared" si="172"/>
        <v/>
      </c>
      <c r="U129" s="149" t="str">
        <f t="shared" ca="1" si="152"/>
        <v/>
      </c>
      <c r="V129" s="150" t="str">
        <f t="shared" si="173"/>
        <v/>
      </c>
      <c r="W129" s="149" t="str">
        <f t="shared" ca="1" si="153"/>
        <v/>
      </c>
      <c r="X129" s="150" t="str">
        <f t="shared" si="174"/>
        <v/>
      </c>
      <c r="Y129" s="149" t="str">
        <f t="shared" ca="1" si="154"/>
        <v/>
      </c>
      <c r="Z129" s="150" t="str">
        <f t="shared" si="175"/>
        <v/>
      </c>
      <c r="AA129" s="149" t="str">
        <f t="shared" ca="1" si="155"/>
        <v/>
      </c>
      <c r="AB129" s="150" t="str">
        <f t="shared" si="176"/>
        <v/>
      </c>
      <c r="AC129" s="149" t="str">
        <f t="shared" ca="1" si="156"/>
        <v/>
      </c>
      <c r="AD129" s="150" t="str">
        <f t="shared" si="177"/>
        <v/>
      </c>
      <c r="AE129" s="149" t="str">
        <f t="shared" si="157"/>
        <v/>
      </c>
      <c r="AF129" s="150" t="str">
        <f t="shared" si="178"/>
        <v/>
      </c>
      <c r="AG129" s="149" t="str">
        <f t="shared" si="158"/>
        <v/>
      </c>
      <c r="AH129" s="150" t="str">
        <f t="shared" si="179"/>
        <v/>
      </c>
      <c r="AI129" s="149" t="str">
        <f t="shared" si="159"/>
        <v/>
      </c>
      <c r="AJ129" s="150" t="str">
        <f t="shared" si="180"/>
        <v/>
      </c>
      <c r="AL129" s="211" t="e">
        <f t="shared" ca="1" si="181"/>
        <v>#DIV/0!</v>
      </c>
      <c r="AM129" s="70" t="e">
        <f t="shared" ca="1" si="182"/>
        <v>#DIV/0!</v>
      </c>
      <c r="AN129" s="276" t="e">
        <f t="shared" ca="1" si="183"/>
        <v>#DIV/0!</v>
      </c>
      <c r="AO129" s="276" t="e">
        <f t="shared" ca="1" si="184"/>
        <v>#DIV/0!</v>
      </c>
    </row>
    <row r="130" spans="1:41" s="142" customFormat="1" ht="21" hidden="1" customHeight="1">
      <c r="A130" s="277"/>
      <c r="B130" s="148" t="str">
        <f t="shared" si="185"/>
        <v/>
      </c>
      <c r="C130" s="149" t="str">
        <f t="shared" si="143"/>
        <v/>
      </c>
      <c r="D130" s="150" t="str">
        <f t="shared" si="164"/>
        <v/>
      </c>
      <c r="E130" s="149" t="str">
        <f t="shared" si="144"/>
        <v/>
      </c>
      <c r="F130" s="150" t="str">
        <f t="shared" si="165"/>
        <v/>
      </c>
      <c r="G130" s="149" t="str">
        <f t="shared" ca="1" si="145"/>
        <v/>
      </c>
      <c r="H130" s="150" t="str">
        <f t="shared" si="166"/>
        <v/>
      </c>
      <c r="I130" s="149" t="str">
        <f t="shared" ca="1" si="146"/>
        <v/>
      </c>
      <c r="J130" s="150" t="str">
        <f t="shared" si="167"/>
        <v/>
      </c>
      <c r="K130" s="149" t="str">
        <f t="shared" ca="1" si="147"/>
        <v/>
      </c>
      <c r="L130" s="150" t="str">
        <f t="shared" si="168"/>
        <v/>
      </c>
      <c r="M130" s="149" t="str">
        <f t="shared" ca="1" si="148"/>
        <v/>
      </c>
      <c r="N130" s="150" t="str">
        <f t="shared" si="169"/>
        <v/>
      </c>
      <c r="O130" s="149" t="str">
        <f t="shared" ca="1" si="149"/>
        <v/>
      </c>
      <c r="P130" s="150" t="str">
        <f t="shared" si="170"/>
        <v/>
      </c>
      <c r="Q130" s="149" t="str">
        <f t="shared" ca="1" si="150"/>
        <v/>
      </c>
      <c r="R130" s="150" t="str">
        <f t="shared" si="171"/>
        <v/>
      </c>
      <c r="S130" s="149" t="str">
        <f t="shared" ca="1" si="151"/>
        <v/>
      </c>
      <c r="T130" s="150" t="str">
        <f t="shared" si="172"/>
        <v/>
      </c>
      <c r="U130" s="149" t="str">
        <f t="shared" ca="1" si="152"/>
        <v/>
      </c>
      <c r="V130" s="150" t="str">
        <f t="shared" si="173"/>
        <v/>
      </c>
      <c r="W130" s="149" t="str">
        <f t="shared" ca="1" si="153"/>
        <v/>
      </c>
      <c r="X130" s="150" t="str">
        <f t="shared" si="174"/>
        <v/>
      </c>
      <c r="Y130" s="149" t="str">
        <f t="shared" ca="1" si="154"/>
        <v/>
      </c>
      <c r="Z130" s="150" t="str">
        <f t="shared" si="175"/>
        <v/>
      </c>
      <c r="AA130" s="149" t="str">
        <f t="shared" ca="1" si="155"/>
        <v/>
      </c>
      <c r="AB130" s="150" t="str">
        <f t="shared" si="176"/>
        <v/>
      </c>
      <c r="AC130" s="149" t="str">
        <f t="shared" ca="1" si="156"/>
        <v/>
      </c>
      <c r="AD130" s="150" t="str">
        <f t="shared" si="177"/>
        <v/>
      </c>
      <c r="AE130" s="149" t="str">
        <f t="shared" si="157"/>
        <v/>
      </c>
      <c r="AF130" s="150" t="str">
        <f t="shared" si="178"/>
        <v/>
      </c>
      <c r="AG130" s="149" t="str">
        <f t="shared" si="158"/>
        <v/>
      </c>
      <c r="AH130" s="150" t="str">
        <f t="shared" si="179"/>
        <v/>
      </c>
      <c r="AI130" s="149" t="str">
        <f t="shared" si="159"/>
        <v/>
      </c>
      <c r="AJ130" s="150" t="str">
        <f t="shared" si="180"/>
        <v/>
      </c>
      <c r="AL130" s="211" t="e">
        <f t="shared" ca="1" si="181"/>
        <v>#DIV/0!</v>
      </c>
      <c r="AM130" s="70" t="e">
        <f t="shared" ca="1" si="182"/>
        <v>#DIV/0!</v>
      </c>
      <c r="AN130" s="276" t="e">
        <f t="shared" ca="1" si="183"/>
        <v>#DIV/0!</v>
      </c>
      <c r="AO130" s="276" t="e">
        <f t="shared" ca="1" si="184"/>
        <v>#DIV/0!</v>
      </c>
    </row>
    <row r="131" spans="1:41" s="142" customFormat="1" ht="21" hidden="1" customHeight="1">
      <c r="A131" s="277"/>
      <c r="B131" s="148" t="str">
        <f t="shared" si="185"/>
        <v/>
      </c>
      <c r="C131" s="149" t="str">
        <f t="shared" si="143"/>
        <v/>
      </c>
      <c r="D131" s="150" t="str">
        <f t="shared" si="164"/>
        <v/>
      </c>
      <c r="E131" s="149" t="str">
        <f t="shared" si="144"/>
        <v/>
      </c>
      <c r="F131" s="150" t="str">
        <f t="shared" si="165"/>
        <v/>
      </c>
      <c r="G131" s="149" t="str">
        <f t="shared" ca="1" si="145"/>
        <v/>
      </c>
      <c r="H131" s="150" t="str">
        <f t="shared" si="166"/>
        <v/>
      </c>
      <c r="I131" s="149" t="str">
        <f t="shared" ca="1" si="146"/>
        <v/>
      </c>
      <c r="J131" s="150" t="str">
        <f t="shared" si="167"/>
        <v/>
      </c>
      <c r="K131" s="149" t="str">
        <f t="shared" ca="1" si="147"/>
        <v/>
      </c>
      <c r="L131" s="150" t="str">
        <f t="shared" si="168"/>
        <v/>
      </c>
      <c r="M131" s="149" t="str">
        <f t="shared" ca="1" si="148"/>
        <v/>
      </c>
      <c r="N131" s="150" t="str">
        <f t="shared" si="169"/>
        <v/>
      </c>
      <c r="O131" s="149" t="str">
        <f t="shared" ca="1" si="149"/>
        <v/>
      </c>
      <c r="P131" s="150" t="str">
        <f t="shared" si="170"/>
        <v/>
      </c>
      <c r="Q131" s="149" t="str">
        <f t="shared" ca="1" si="150"/>
        <v/>
      </c>
      <c r="R131" s="150" t="str">
        <f t="shared" si="171"/>
        <v/>
      </c>
      <c r="S131" s="149" t="str">
        <f t="shared" ca="1" si="151"/>
        <v/>
      </c>
      <c r="T131" s="150" t="str">
        <f t="shared" si="172"/>
        <v/>
      </c>
      <c r="U131" s="149" t="str">
        <f t="shared" ca="1" si="152"/>
        <v/>
      </c>
      <c r="V131" s="150" t="str">
        <f t="shared" si="173"/>
        <v/>
      </c>
      <c r="W131" s="149" t="str">
        <f t="shared" ca="1" si="153"/>
        <v/>
      </c>
      <c r="X131" s="150" t="str">
        <f t="shared" si="174"/>
        <v/>
      </c>
      <c r="Y131" s="149" t="str">
        <f t="shared" ca="1" si="154"/>
        <v/>
      </c>
      <c r="Z131" s="150" t="str">
        <f t="shared" si="175"/>
        <v/>
      </c>
      <c r="AA131" s="149" t="str">
        <f t="shared" ca="1" si="155"/>
        <v/>
      </c>
      <c r="AB131" s="150" t="str">
        <f t="shared" si="176"/>
        <v/>
      </c>
      <c r="AC131" s="149" t="str">
        <f t="shared" ca="1" si="156"/>
        <v/>
      </c>
      <c r="AD131" s="150" t="str">
        <f t="shared" si="177"/>
        <v/>
      </c>
      <c r="AE131" s="149" t="str">
        <f t="shared" si="157"/>
        <v/>
      </c>
      <c r="AF131" s="150" t="str">
        <f t="shared" si="178"/>
        <v/>
      </c>
      <c r="AG131" s="149" t="str">
        <f t="shared" si="158"/>
        <v/>
      </c>
      <c r="AH131" s="150" t="str">
        <f t="shared" si="179"/>
        <v/>
      </c>
      <c r="AI131" s="149" t="str">
        <f t="shared" si="159"/>
        <v/>
      </c>
      <c r="AJ131" s="150" t="str">
        <f t="shared" si="180"/>
        <v/>
      </c>
      <c r="AL131" s="211" t="e">
        <f t="shared" ca="1" si="181"/>
        <v>#DIV/0!</v>
      </c>
      <c r="AM131" s="70" t="e">
        <f t="shared" ca="1" si="182"/>
        <v>#DIV/0!</v>
      </c>
      <c r="AN131" s="276" t="e">
        <f t="shared" ca="1" si="183"/>
        <v>#DIV/0!</v>
      </c>
      <c r="AO131" s="276" t="e">
        <f t="shared" ca="1" si="184"/>
        <v>#DIV/0!</v>
      </c>
    </row>
    <row r="132" spans="1:41" s="142" customFormat="1" ht="21" hidden="1" customHeight="1">
      <c r="A132" s="277"/>
      <c r="B132" s="148" t="str">
        <f t="shared" si="185"/>
        <v/>
      </c>
      <c r="C132" s="149" t="str">
        <f t="shared" si="143"/>
        <v/>
      </c>
      <c r="D132" s="150" t="str">
        <f t="shared" si="164"/>
        <v/>
      </c>
      <c r="E132" s="149" t="str">
        <f t="shared" si="144"/>
        <v/>
      </c>
      <c r="F132" s="150" t="str">
        <f t="shared" si="165"/>
        <v/>
      </c>
      <c r="G132" s="149" t="str">
        <f t="shared" ca="1" si="145"/>
        <v/>
      </c>
      <c r="H132" s="150" t="str">
        <f t="shared" si="166"/>
        <v/>
      </c>
      <c r="I132" s="149" t="str">
        <f t="shared" ca="1" si="146"/>
        <v/>
      </c>
      <c r="J132" s="150" t="str">
        <f t="shared" si="167"/>
        <v/>
      </c>
      <c r="K132" s="149" t="str">
        <f t="shared" ca="1" si="147"/>
        <v/>
      </c>
      <c r="L132" s="150" t="str">
        <f t="shared" si="168"/>
        <v/>
      </c>
      <c r="M132" s="149" t="str">
        <f t="shared" ca="1" si="148"/>
        <v/>
      </c>
      <c r="N132" s="150" t="str">
        <f t="shared" si="169"/>
        <v/>
      </c>
      <c r="O132" s="149" t="str">
        <f t="shared" ca="1" si="149"/>
        <v/>
      </c>
      <c r="P132" s="150" t="str">
        <f t="shared" si="170"/>
        <v/>
      </c>
      <c r="Q132" s="149" t="str">
        <f t="shared" ca="1" si="150"/>
        <v/>
      </c>
      <c r="R132" s="150" t="str">
        <f t="shared" si="171"/>
        <v/>
      </c>
      <c r="S132" s="149" t="str">
        <f t="shared" ca="1" si="151"/>
        <v/>
      </c>
      <c r="T132" s="150" t="str">
        <f t="shared" si="172"/>
        <v/>
      </c>
      <c r="U132" s="149" t="str">
        <f t="shared" ca="1" si="152"/>
        <v/>
      </c>
      <c r="V132" s="150" t="str">
        <f t="shared" si="173"/>
        <v/>
      </c>
      <c r="W132" s="149" t="str">
        <f t="shared" ca="1" si="153"/>
        <v/>
      </c>
      <c r="X132" s="150" t="str">
        <f t="shared" si="174"/>
        <v/>
      </c>
      <c r="Y132" s="149" t="str">
        <f t="shared" ca="1" si="154"/>
        <v/>
      </c>
      <c r="Z132" s="150" t="str">
        <f t="shared" si="175"/>
        <v/>
      </c>
      <c r="AA132" s="149" t="str">
        <f t="shared" ca="1" si="155"/>
        <v/>
      </c>
      <c r="AB132" s="150" t="str">
        <f t="shared" si="176"/>
        <v/>
      </c>
      <c r="AC132" s="149" t="str">
        <f t="shared" ca="1" si="156"/>
        <v/>
      </c>
      <c r="AD132" s="150" t="str">
        <f t="shared" si="177"/>
        <v/>
      </c>
      <c r="AE132" s="149" t="str">
        <f t="shared" si="157"/>
        <v/>
      </c>
      <c r="AF132" s="150" t="str">
        <f t="shared" si="178"/>
        <v/>
      </c>
      <c r="AG132" s="149" t="str">
        <f t="shared" si="158"/>
        <v/>
      </c>
      <c r="AH132" s="150" t="str">
        <f t="shared" si="179"/>
        <v/>
      </c>
      <c r="AI132" s="149" t="str">
        <f t="shared" si="159"/>
        <v/>
      </c>
      <c r="AJ132" s="150" t="str">
        <f t="shared" si="180"/>
        <v/>
      </c>
      <c r="AL132" s="211" t="e">
        <f t="shared" ca="1" si="181"/>
        <v>#DIV/0!</v>
      </c>
      <c r="AM132" s="70" t="e">
        <f t="shared" ca="1" si="182"/>
        <v>#DIV/0!</v>
      </c>
      <c r="AN132" s="276" t="e">
        <f t="shared" ca="1" si="183"/>
        <v>#DIV/0!</v>
      </c>
      <c r="AO132" s="276" t="e">
        <f t="shared" ca="1" si="184"/>
        <v>#DIV/0!</v>
      </c>
    </row>
    <row r="133" spans="1:41" s="142" customFormat="1" ht="21" hidden="1" customHeight="1">
      <c r="A133" s="277"/>
      <c r="B133" s="148" t="str">
        <f t="shared" si="185"/>
        <v/>
      </c>
      <c r="C133" s="149" t="str">
        <f t="shared" si="143"/>
        <v/>
      </c>
      <c r="D133" s="150" t="str">
        <f t="shared" si="164"/>
        <v/>
      </c>
      <c r="E133" s="149" t="str">
        <f t="shared" si="144"/>
        <v/>
      </c>
      <c r="F133" s="150" t="str">
        <f t="shared" si="165"/>
        <v/>
      </c>
      <c r="G133" s="149" t="str">
        <f t="shared" ca="1" si="145"/>
        <v/>
      </c>
      <c r="H133" s="150" t="str">
        <f t="shared" si="166"/>
        <v/>
      </c>
      <c r="I133" s="149" t="str">
        <f t="shared" ca="1" si="146"/>
        <v/>
      </c>
      <c r="J133" s="150" t="str">
        <f t="shared" si="167"/>
        <v/>
      </c>
      <c r="K133" s="149" t="str">
        <f t="shared" ca="1" si="147"/>
        <v/>
      </c>
      <c r="L133" s="150" t="str">
        <f t="shared" si="168"/>
        <v/>
      </c>
      <c r="M133" s="149" t="str">
        <f t="shared" ca="1" si="148"/>
        <v/>
      </c>
      <c r="N133" s="150" t="str">
        <f t="shared" si="169"/>
        <v/>
      </c>
      <c r="O133" s="149" t="str">
        <f t="shared" ca="1" si="149"/>
        <v/>
      </c>
      <c r="P133" s="150" t="str">
        <f t="shared" si="170"/>
        <v/>
      </c>
      <c r="Q133" s="149" t="str">
        <f t="shared" ca="1" si="150"/>
        <v/>
      </c>
      <c r="R133" s="150" t="str">
        <f t="shared" si="171"/>
        <v/>
      </c>
      <c r="S133" s="149" t="str">
        <f t="shared" ca="1" si="151"/>
        <v/>
      </c>
      <c r="T133" s="150" t="str">
        <f t="shared" si="172"/>
        <v/>
      </c>
      <c r="U133" s="149" t="str">
        <f t="shared" ca="1" si="152"/>
        <v/>
      </c>
      <c r="V133" s="150" t="str">
        <f t="shared" si="173"/>
        <v/>
      </c>
      <c r="W133" s="149" t="str">
        <f t="shared" ca="1" si="153"/>
        <v/>
      </c>
      <c r="X133" s="150" t="str">
        <f t="shared" si="174"/>
        <v/>
      </c>
      <c r="Y133" s="149" t="str">
        <f t="shared" ca="1" si="154"/>
        <v/>
      </c>
      <c r="Z133" s="150" t="str">
        <f t="shared" si="175"/>
        <v/>
      </c>
      <c r="AA133" s="149" t="str">
        <f t="shared" ca="1" si="155"/>
        <v/>
      </c>
      <c r="AB133" s="150" t="str">
        <f t="shared" si="176"/>
        <v/>
      </c>
      <c r="AC133" s="149" t="str">
        <f t="shared" ca="1" si="156"/>
        <v/>
      </c>
      <c r="AD133" s="150" t="str">
        <f t="shared" si="177"/>
        <v/>
      </c>
      <c r="AE133" s="149" t="str">
        <f t="shared" si="157"/>
        <v/>
      </c>
      <c r="AF133" s="150" t="str">
        <f t="shared" si="178"/>
        <v/>
      </c>
      <c r="AG133" s="149" t="str">
        <f t="shared" si="158"/>
        <v/>
      </c>
      <c r="AH133" s="150" t="str">
        <f t="shared" si="179"/>
        <v/>
      </c>
      <c r="AI133" s="149" t="str">
        <f t="shared" si="159"/>
        <v/>
      </c>
      <c r="AJ133" s="150" t="str">
        <f t="shared" si="180"/>
        <v/>
      </c>
      <c r="AL133" s="211" t="e">
        <f t="shared" ca="1" si="181"/>
        <v>#DIV/0!</v>
      </c>
      <c r="AM133" s="70" t="e">
        <f t="shared" ca="1" si="182"/>
        <v>#DIV/0!</v>
      </c>
      <c r="AN133" s="276" t="e">
        <f t="shared" ca="1" si="183"/>
        <v>#DIV/0!</v>
      </c>
      <c r="AO133" s="276" t="e">
        <f t="shared" ca="1" si="184"/>
        <v>#DIV/0!</v>
      </c>
    </row>
    <row r="134" spans="1:41" s="142" customFormat="1" ht="21" hidden="1" customHeight="1">
      <c r="A134" s="277"/>
      <c r="B134" s="148" t="str">
        <f t="shared" si="185"/>
        <v/>
      </c>
      <c r="C134" s="149" t="str">
        <f t="shared" si="143"/>
        <v/>
      </c>
      <c r="D134" s="150" t="str">
        <f t="shared" si="164"/>
        <v/>
      </c>
      <c r="E134" s="149" t="str">
        <f t="shared" si="144"/>
        <v/>
      </c>
      <c r="F134" s="150" t="str">
        <f t="shared" si="165"/>
        <v/>
      </c>
      <c r="G134" s="149" t="str">
        <f t="shared" ca="1" si="145"/>
        <v/>
      </c>
      <c r="H134" s="150" t="str">
        <f t="shared" si="166"/>
        <v/>
      </c>
      <c r="I134" s="149" t="str">
        <f t="shared" ca="1" si="146"/>
        <v/>
      </c>
      <c r="J134" s="150" t="str">
        <f t="shared" si="167"/>
        <v/>
      </c>
      <c r="K134" s="149" t="str">
        <f t="shared" ca="1" si="147"/>
        <v/>
      </c>
      <c r="L134" s="150" t="str">
        <f t="shared" si="168"/>
        <v/>
      </c>
      <c r="M134" s="149" t="str">
        <f t="shared" ca="1" si="148"/>
        <v/>
      </c>
      <c r="N134" s="150" t="str">
        <f t="shared" si="169"/>
        <v/>
      </c>
      <c r="O134" s="149" t="str">
        <f t="shared" ca="1" si="149"/>
        <v/>
      </c>
      <c r="P134" s="150" t="str">
        <f t="shared" si="170"/>
        <v/>
      </c>
      <c r="Q134" s="149" t="str">
        <f t="shared" ca="1" si="150"/>
        <v/>
      </c>
      <c r="R134" s="150" t="str">
        <f t="shared" si="171"/>
        <v/>
      </c>
      <c r="S134" s="149" t="str">
        <f t="shared" ca="1" si="151"/>
        <v/>
      </c>
      <c r="T134" s="150" t="str">
        <f t="shared" si="172"/>
        <v/>
      </c>
      <c r="U134" s="149" t="str">
        <f t="shared" ca="1" si="152"/>
        <v/>
      </c>
      <c r="V134" s="150" t="str">
        <f t="shared" si="173"/>
        <v/>
      </c>
      <c r="W134" s="149" t="str">
        <f t="shared" ca="1" si="153"/>
        <v/>
      </c>
      <c r="X134" s="150" t="str">
        <f t="shared" si="174"/>
        <v/>
      </c>
      <c r="Y134" s="149" t="str">
        <f t="shared" ca="1" si="154"/>
        <v/>
      </c>
      <c r="Z134" s="150" t="str">
        <f t="shared" si="175"/>
        <v/>
      </c>
      <c r="AA134" s="149" t="str">
        <f t="shared" ca="1" si="155"/>
        <v/>
      </c>
      <c r="AB134" s="150" t="str">
        <f t="shared" si="176"/>
        <v/>
      </c>
      <c r="AC134" s="149" t="str">
        <f t="shared" ca="1" si="156"/>
        <v/>
      </c>
      <c r="AD134" s="150" t="str">
        <f t="shared" si="177"/>
        <v/>
      </c>
      <c r="AE134" s="149" t="str">
        <f t="shared" si="157"/>
        <v/>
      </c>
      <c r="AF134" s="150" t="str">
        <f t="shared" si="178"/>
        <v/>
      </c>
      <c r="AG134" s="149" t="str">
        <f t="shared" si="158"/>
        <v/>
      </c>
      <c r="AH134" s="150" t="str">
        <f t="shared" si="179"/>
        <v/>
      </c>
      <c r="AI134" s="149" t="str">
        <f t="shared" si="159"/>
        <v/>
      </c>
      <c r="AJ134" s="150" t="str">
        <f t="shared" si="180"/>
        <v/>
      </c>
      <c r="AL134" s="211" t="e">
        <f t="shared" ca="1" si="181"/>
        <v>#DIV/0!</v>
      </c>
      <c r="AM134" s="70" t="e">
        <f t="shared" ca="1" si="182"/>
        <v>#DIV/0!</v>
      </c>
      <c r="AN134" s="276" t="e">
        <f t="shared" ca="1" si="183"/>
        <v>#DIV/0!</v>
      </c>
      <c r="AO134" s="276" t="e">
        <f t="shared" ca="1" si="184"/>
        <v>#DIV/0!</v>
      </c>
    </row>
    <row r="135" spans="1:41" s="142" customFormat="1" ht="26.25" hidden="1" customHeight="1">
      <c r="A135" s="277"/>
      <c r="B135" s="148" t="str">
        <f t="shared" si="185"/>
        <v/>
      </c>
      <c r="C135" s="149" t="str">
        <f t="shared" si="143"/>
        <v/>
      </c>
      <c r="D135" s="150" t="str">
        <f t="shared" si="164"/>
        <v/>
      </c>
      <c r="E135" s="149" t="str">
        <f t="shared" si="144"/>
        <v/>
      </c>
      <c r="F135" s="150" t="str">
        <f t="shared" si="165"/>
        <v/>
      </c>
      <c r="G135" s="149" t="str">
        <f t="shared" ca="1" si="145"/>
        <v/>
      </c>
      <c r="H135" s="150" t="str">
        <f t="shared" si="166"/>
        <v/>
      </c>
      <c r="I135" s="149" t="str">
        <f t="shared" ca="1" si="146"/>
        <v/>
      </c>
      <c r="J135" s="150" t="str">
        <f t="shared" si="167"/>
        <v/>
      </c>
      <c r="K135" s="149" t="str">
        <f t="shared" ca="1" si="147"/>
        <v/>
      </c>
      <c r="L135" s="150" t="str">
        <f t="shared" si="168"/>
        <v/>
      </c>
      <c r="M135" s="149" t="str">
        <f t="shared" ca="1" si="148"/>
        <v/>
      </c>
      <c r="N135" s="150" t="str">
        <f t="shared" si="169"/>
        <v/>
      </c>
      <c r="O135" s="149" t="str">
        <f t="shared" ca="1" si="149"/>
        <v/>
      </c>
      <c r="P135" s="150" t="str">
        <f t="shared" si="170"/>
        <v/>
      </c>
      <c r="Q135" s="149" t="str">
        <f t="shared" ca="1" si="150"/>
        <v/>
      </c>
      <c r="R135" s="150" t="str">
        <f t="shared" si="171"/>
        <v/>
      </c>
      <c r="S135" s="149" t="str">
        <f t="shared" ca="1" si="151"/>
        <v/>
      </c>
      <c r="T135" s="150" t="str">
        <f t="shared" si="172"/>
        <v/>
      </c>
      <c r="U135" s="149" t="str">
        <f t="shared" ca="1" si="152"/>
        <v/>
      </c>
      <c r="V135" s="150" t="str">
        <f t="shared" si="173"/>
        <v/>
      </c>
      <c r="W135" s="149" t="str">
        <f t="shared" ca="1" si="153"/>
        <v/>
      </c>
      <c r="X135" s="150" t="str">
        <f t="shared" si="174"/>
        <v/>
      </c>
      <c r="Y135" s="149" t="str">
        <f t="shared" ca="1" si="154"/>
        <v/>
      </c>
      <c r="Z135" s="150" t="str">
        <f t="shared" si="175"/>
        <v/>
      </c>
      <c r="AA135" s="149" t="str">
        <f t="shared" ca="1" si="155"/>
        <v/>
      </c>
      <c r="AB135" s="150" t="str">
        <f t="shared" si="176"/>
        <v/>
      </c>
      <c r="AC135" s="149" t="str">
        <f t="shared" ca="1" si="156"/>
        <v/>
      </c>
      <c r="AD135" s="150" t="str">
        <f t="shared" si="177"/>
        <v/>
      </c>
      <c r="AE135" s="149" t="str">
        <f t="shared" si="157"/>
        <v/>
      </c>
      <c r="AF135" s="150" t="str">
        <f t="shared" si="178"/>
        <v/>
      </c>
      <c r="AG135" s="149" t="str">
        <f t="shared" si="158"/>
        <v/>
      </c>
      <c r="AH135" s="150" t="str">
        <f t="shared" si="179"/>
        <v/>
      </c>
      <c r="AI135" s="149" t="str">
        <f t="shared" si="159"/>
        <v/>
      </c>
      <c r="AJ135" s="150" t="str">
        <f t="shared" si="180"/>
        <v/>
      </c>
      <c r="AL135" s="211" t="e">
        <f t="shared" ca="1" si="181"/>
        <v>#DIV/0!</v>
      </c>
      <c r="AM135" s="70" t="e">
        <f t="shared" ca="1" si="182"/>
        <v>#DIV/0!</v>
      </c>
      <c r="AN135" s="276" t="e">
        <f t="shared" ca="1" si="183"/>
        <v>#DIV/0!</v>
      </c>
      <c r="AO135" s="276" t="e">
        <f t="shared" ca="1" si="184"/>
        <v>#DIV/0!</v>
      </c>
    </row>
    <row r="136" spans="1:41" ht="24.75" hidden="1" customHeight="1">
      <c r="A136" s="277"/>
      <c r="B136" s="148" t="str">
        <f t="shared" ref="B136:B140" si="186">IF(A136="","",IF($K$4="Media aritmética",ROUND(AVERAGE(C136,E136,G136,I136,K136,M136,O136,Q136,S136,U136,W136,Y136,AA136,AC136,AE136,AG136,AI136),2),ROUND(_xlfn.STDEV.P(C136,E136,G136,I136,K136,M136,O136,Q136,S136,U136,W136,Y136,AA136,AC136,AE136,AG136,AI136),2)))</f>
        <v/>
      </c>
      <c r="C136" s="149" t="str">
        <f t="shared" si="143"/>
        <v/>
      </c>
      <c r="D136" s="150" t="str">
        <f t="shared" ref="D136:D140" si="187">IF($A136="","",IF(C136="","",IF($K$4="Media aritmética",(C136&lt;=$B136)*($G$5/$B$5)+(C136&gt;$B136)*0,IF(AND(ROUND(AVERAGE($C136,$E136,$G136,$I136,$K136,$M136,$O136,$Q136,$S136,$U136,$W136,$Y136,$AA136,$AC136,$AE136,$AG136,$AI136),2)-$B136/2&lt;=C136,(ROUND(AVERAGE($C136,$E136,$G136,$I136,$K136,$M136,$O136,$Q136,$S136,$U136,$W136,$Y136,$AA136,$AC136,$AE136,$AG136,$AI136),2)+$B136/2&gt;=C136)),($G$5/$B$5),0))))</f>
        <v/>
      </c>
      <c r="E136" s="149" t="str">
        <f t="shared" si="144"/>
        <v/>
      </c>
      <c r="F136" s="150" t="str">
        <f t="shared" ref="F136:F140" si="188">IF($A136="","",IF(E136="","",IF($K$4="Media aritmética",(E136&lt;=$B136)*($G$5/$B$5)+(E136&gt;$B136)*0,IF(AND(ROUND(AVERAGE($C136,$E136,$G136,$I136,$K136,$M136,$O136,$Q136,$S136,$U136,$W136,$Y136,$AA136,$AC136,$AE136,$AG136,$AI136),2)-$B136/2&lt;=E136,(ROUND(AVERAGE($C136,$E136,$G136,$I136,$K136,$M136,$O136,$Q136,$S136,$U136,$W136,$Y136,$AA136,$AC136,$AE136,$AG136,$AI136),2)+$B136/2&gt;=E136)),($G$5/$B$5),0))))</f>
        <v/>
      </c>
      <c r="G136" s="149" t="str">
        <f t="shared" ca="1" si="145"/>
        <v/>
      </c>
      <c r="H136" s="150" t="str">
        <f t="shared" ref="H136:H140" si="189">IF($A136="","",IF(G136="","",IF($K$4="Media aritmética",(G136&lt;=$B136)*($G$5/$B$5)+(G136&gt;$B136)*0,IF(AND(ROUND(AVERAGE($C136,$E136,$G136,$I136,$K136,$M136,$O136,$Q136,$S136,$U136,$W136,$Y136,$AA136,$AC136,$AE136,$AG136,$AI136),2)-$B136/2&lt;=G136,(ROUND(AVERAGE($C136,$E136,$G136,$I136,$K136,$M136,$O136,$Q136,$S136,$U136,$W136,$Y136,$AA136,$AC136,$AE136,$AG136,$AI136),2)+$B136/2&gt;=G136)),($G$5/$B$5),0))))</f>
        <v/>
      </c>
      <c r="I136" s="149" t="str">
        <f t="shared" ca="1" si="146"/>
        <v/>
      </c>
      <c r="J136" s="150" t="str">
        <f t="shared" ref="J136:J140" si="190">IF($A136="","",IF(I136="","",IF($K$4="Media aritmética",(I136&lt;=$B136)*($G$5/$B$5)+(I136&gt;$B136)*0,IF(AND(ROUND(AVERAGE($C136,$E136,$G136,$I136,$K136,$M136,$O136,$Q136,$S136,$U136,$W136,$Y136,$AA136,$AC136,$AE136,$AG136,$AI136),2)-$B136/2&lt;=I136,(ROUND(AVERAGE($C136,$E136,$G136,$I136,$K136,$M136,$O136,$Q136,$S136,$U136,$W136,$Y136,$AA136,$AC136,$AE136,$AG136,$AI136),2)+$B136/2&gt;=I136)),($G$5/$B$5),0))))</f>
        <v/>
      </c>
      <c r="K136" s="149" t="str">
        <f t="shared" ca="1" si="147"/>
        <v/>
      </c>
      <c r="L136" s="150" t="str">
        <f t="shared" ref="L136:L140" si="191">IF($A136="","",IF(K136="","",IF($K$4="Media aritmética",(K136&lt;=$B136)*($G$5/$B$5)+(K136&gt;$B136)*0,IF(AND(ROUND(AVERAGE($C136,$E136,$G136,$I136,$K136,$M136,$O136,$Q136,$S136,$U136,$W136,$Y136,$AA136,$AC136,$AE136,$AG136,$AI136),2)-$B136/2&lt;=K136,(ROUND(AVERAGE($C136,$E136,$G136,$I136,$K136,$M136,$O136,$Q136,$S136,$U136,$W136,$Y136,$AA136,$AC136,$AE136,$AG136,$AI136),2)+$B136/2&gt;=K136)),($G$5/$B$5),0))))</f>
        <v/>
      </c>
      <c r="M136" s="149" t="str">
        <f t="shared" ca="1" si="148"/>
        <v/>
      </c>
      <c r="N136" s="150" t="str">
        <f t="shared" ref="N136:N140" si="192">IF($A136="","",IF(M136="","",IF($K$4="Media aritmética",(M136&lt;=$B136)*($G$5/$B$5)+(M136&gt;$B136)*0,IF(AND(ROUND(AVERAGE($C136,$E136,$G136,$I136,$K136,$M136,$O136,$Q136,$S136,$U136,$W136,$Y136,$AA136,$AC136,$AE136,$AG136,$AI136),2)-$B136/2&lt;=M136,(ROUND(AVERAGE($C136,$E136,$G136,$I136,$K136,$M136,$O136,$Q136,$S136,$U136,$W136,$Y136,$AA136,$AC136,$AE136,$AG136,$AI136),2)+$B136/2&gt;=M136)),($G$5/$B$5),0))))</f>
        <v/>
      </c>
      <c r="O136" s="149" t="str">
        <f t="shared" ca="1" si="149"/>
        <v/>
      </c>
      <c r="P136" s="150" t="str">
        <f t="shared" ref="P136:P140" si="193">IF($A136="","",IF(O136="","",IF($K$4="Media aritmética",(O136&lt;=$B136)*($G$5/$B$5)+(O136&gt;$B136)*0,IF(AND(ROUND(AVERAGE($C136,$E136,$G136,$I136,$K136,$M136,$O136,$Q136,$S136,$U136,$W136,$Y136,$AA136,$AC136,$AE136,$AG136,$AI136),2)-$B136/2&lt;=O136,(ROUND(AVERAGE($C136,$E136,$G136,$I136,$K136,$M136,$O136,$Q136,$S136,$U136,$W136,$Y136,$AA136,$AC136,$AE136,$AG136,$AI136),2)+$B136/2&gt;=O136)),($G$5/$B$5),0))))</f>
        <v/>
      </c>
      <c r="Q136" s="149" t="str">
        <f t="shared" ca="1" si="150"/>
        <v/>
      </c>
      <c r="R136" s="150" t="str">
        <f t="shared" ref="R136:R140" si="194">IF($A136="","",IF(Q136="","",IF($K$4="Media aritmética",(Q136&lt;=$B136)*($G$5/$B$5)+(Q136&gt;$B136)*0,IF(AND(ROUND(AVERAGE($C136,$E136,$G136,$I136,$K136,$M136,$O136,$Q136,$S136,$U136,$W136,$Y136,$AA136,$AC136,$AE136,$AG136,$AI136),2)-$B136/2&lt;=Q136,(ROUND(AVERAGE($C136,$E136,$G136,$I136,$K136,$M136,$O136,$Q136,$S136,$U136,$W136,$Y136,$AA136,$AC136,$AE136,$AG136,$AI136),2)+$B136/2&gt;=Q136)),($G$5/$B$5),0))))</f>
        <v/>
      </c>
      <c r="S136" s="149" t="str">
        <f t="shared" ca="1" si="151"/>
        <v/>
      </c>
      <c r="T136" s="150" t="str">
        <f t="shared" ref="T136:T140" si="195">IF($A136="","",IF(S136="","",IF($K$4="Media aritmética",(S136&lt;=$B136)*($G$5/$B$5)+(S136&gt;$B136)*0,IF(AND(ROUND(AVERAGE($C136,$E136,$G136,$I136,$K136,$M136,$O136,$Q136,$S136,$U136,$W136,$Y136,$AA136,$AC136,$AE136,$AG136,$AI136),2)-$B136/2&lt;=S136,(ROUND(AVERAGE($C136,$E136,$G136,$I136,$K136,$M136,$O136,$Q136,$S136,$U136,$W136,$Y136,$AA136,$AC136,$AE136,$AG136,$AI136),2)+$B136/2&gt;=S136)),($G$5/$B$5),0))))</f>
        <v/>
      </c>
      <c r="U136" s="149" t="str">
        <f t="shared" ca="1" si="152"/>
        <v/>
      </c>
      <c r="V136" s="150" t="str">
        <f t="shared" ref="V136:V140" si="196">IF($A136="","",IF(U136="","",IF($K$4="Media aritmética",(U136&lt;=$B136)*($G$5/$B$5)+(U136&gt;$B136)*0,IF(AND(ROUND(AVERAGE($C136,$E136,$G136,$I136,$K136,$M136,$O136,$Q136,$S136,$U136,$W136,$Y136,$AA136,$AC136,$AE136,$AG136,$AI136),2)-$B136/2&lt;=U136,(ROUND(AVERAGE($C136,$E136,$G136,$I136,$K136,$M136,$O136,$Q136,$S136,$U136,$W136,$Y136,$AA136,$AC136,$AE136,$AG136,$AI136),2)+$B136/2&gt;=U136)),($G$5/$B$5),0))))</f>
        <v/>
      </c>
      <c r="W136" s="149" t="str">
        <f t="shared" ca="1" si="153"/>
        <v/>
      </c>
      <c r="X136" s="150" t="str">
        <f t="shared" ref="X136:X140" si="197">IF($A136="","",IF(W136="","",IF($K$4="Media aritmética",(W136&lt;=$B136)*($G$5/$B$5)+(W136&gt;$B136)*0,IF(AND(ROUND(AVERAGE($C136,$E136,$G136,$I136,$K136,$M136,$O136,$Q136,$S136,$U136,$W136,$Y136,$AA136,$AC136,$AE136,$AG136,$AI136),2)-$B136/2&lt;=W136,(ROUND(AVERAGE($C136,$E136,$G136,$I136,$K136,$M136,$O136,$Q136,$S136,$U136,$W136,$Y136,$AA136,$AC136,$AE136,$AG136,$AI136),2)+$B136/2&gt;=W136)),($G$5/$B$5),0))))</f>
        <v/>
      </c>
      <c r="Y136" s="149" t="str">
        <f t="shared" ca="1" si="154"/>
        <v/>
      </c>
      <c r="Z136" s="150" t="str">
        <f t="shared" ref="Z136:Z140" si="198">IF($A136="","",IF(Y136="","",IF($K$4="Media aritmética",(Y136&lt;=$B136)*($G$5/$B$5)+(Y136&gt;$B136)*0,IF(AND(ROUND(AVERAGE($C136,$E136,$G136,$I136,$K136,$M136,$O136,$Q136,$S136,$U136,$W136,$Y136,$AA136,$AC136,$AE136,$AG136,$AI136),2)-$B136/2&lt;=Y136,(ROUND(AVERAGE($C136,$E136,$G136,$I136,$K136,$M136,$O136,$Q136,$S136,$U136,$W136,$Y136,$AA136,$AC136,$AE136,$AG136,$AI136),2)+$B136/2&gt;=Y136)),($G$5/$B$5),0))))</f>
        <v/>
      </c>
      <c r="AA136" s="149" t="str">
        <f t="shared" ca="1" si="155"/>
        <v/>
      </c>
      <c r="AB136" s="150" t="str">
        <f t="shared" ref="AB136:AB140" si="199">IF($A136="","",IF(AA136="","",IF($K$4="Media aritmética",(AA136&lt;=$B136)*($G$5/$B$5)+(AA136&gt;$B136)*0,IF(AND(ROUND(AVERAGE($C136,$E136,$G136,$I136,$K136,$M136,$O136,$Q136,$S136,$U136,$W136,$Y136,$AA136,$AC136,$AE136,$AG136,$AI136),2)-$B136/2&lt;=AA136,(ROUND(AVERAGE($C136,$E136,$G136,$I136,$K136,$M136,$O136,$Q136,$S136,$U136,$W136,$Y136,$AA136,$AC136,$AE136,$AG136,$AI136),2)+$B136/2&gt;=AA136)),($G$5/$B$5),0))))</f>
        <v/>
      </c>
      <c r="AC136" s="149" t="str">
        <f t="shared" ca="1" si="156"/>
        <v/>
      </c>
      <c r="AD136" s="150" t="str">
        <f t="shared" ref="AD136:AD140" si="200">IF($A136="","",IF(AC136="","",IF($K$4="Media aritmética",(AC136&lt;=$B136)*($G$5/$B$5)+(AC136&gt;$B136)*0,IF(AND(ROUND(AVERAGE($C136,$E136,$G136,$I136,$K136,$M136,$O136,$Q136,$S136,$U136,$W136,$Y136,$AA136,$AC136,$AE136,$AG136,$AI136),2)-$B136/2&lt;=AC136,(ROUND(AVERAGE($C136,$E136,$G136,$I136,$K136,$M136,$O136,$Q136,$S136,$U136,$W136,$Y136,$AA136,$AC136,$AE136,$AG136,$AI136),2)+$B136/2&gt;=AC136)),($G$5/$B$5),0))))</f>
        <v/>
      </c>
      <c r="AL136" s="211" t="e">
        <f t="shared" ca="1" si="181"/>
        <v>#DIV/0!</v>
      </c>
      <c r="AM136" s="70" t="e">
        <f t="shared" ca="1" si="182"/>
        <v>#DIV/0!</v>
      </c>
      <c r="AN136" s="276" t="e">
        <f t="shared" ca="1" si="183"/>
        <v>#DIV/0!</v>
      </c>
      <c r="AO136" s="276" t="e">
        <f t="shared" ca="1" si="184"/>
        <v>#DIV/0!</v>
      </c>
    </row>
    <row r="137" spans="1:41" ht="21" hidden="1" customHeight="1">
      <c r="A137" s="277"/>
      <c r="B137" s="148" t="str">
        <f t="shared" si="186"/>
        <v/>
      </c>
      <c r="C137" s="149" t="str">
        <f t="shared" si="143"/>
        <v/>
      </c>
      <c r="D137" s="150" t="str">
        <f t="shared" si="187"/>
        <v/>
      </c>
      <c r="E137" s="149" t="str">
        <f t="shared" si="144"/>
        <v/>
      </c>
      <c r="F137" s="150" t="str">
        <f t="shared" si="188"/>
        <v/>
      </c>
      <c r="G137" s="149" t="str">
        <f t="shared" ca="1" si="145"/>
        <v/>
      </c>
      <c r="H137" s="150" t="str">
        <f t="shared" si="189"/>
        <v/>
      </c>
      <c r="I137" s="149" t="str">
        <f t="shared" ca="1" si="146"/>
        <v/>
      </c>
      <c r="J137" s="150" t="str">
        <f t="shared" si="190"/>
        <v/>
      </c>
      <c r="K137" s="149" t="str">
        <f t="shared" ca="1" si="147"/>
        <v/>
      </c>
      <c r="L137" s="150" t="str">
        <f t="shared" si="191"/>
        <v/>
      </c>
      <c r="M137" s="149" t="str">
        <f t="shared" ca="1" si="148"/>
        <v/>
      </c>
      <c r="N137" s="150" t="str">
        <f t="shared" si="192"/>
        <v/>
      </c>
      <c r="O137" s="149" t="str">
        <f t="shared" ref="O137:O140" ca="1" si="201">IF($O$8="Habilitado",IF($A137="","",ROUND(VLOOKUP($A137,OFERENTE_7,15,FALSE),2)),"")</f>
        <v/>
      </c>
      <c r="P137" s="150" t="str">
        <f t="shared" si="193"/>
        <v/>
      </c>
      <c r="Q137" s="149" t="str">
        <f t="shared" ca="1" si="150"/>
        <v/>
      </c>
      <c r="R137" s="150" t="str">
        <f t="shared" si="194"/>
        <v/>
      </c>
      <c r="S137" s="149" t="str">
        <f t="shared" ca="1" si="151"/>
        <v/>
      </c>
      <c r="T137" s="150" t="str">
        <f t="shared" si="195"/>
        <v/>
      </c>
      <c r="U137" s="149" t="str">
        <f t="shared" ca="1" si="152"/>
        <v/>
      </c>
      <c r="V137" s="150" t="str">
        <f t="shared" si="196"/>
        <v/>
      </c>
      <c r="W137" s="149" t="str">
        <f t="shared" ca="1" si="153"/>
        <v/>
      </c>
      <c r="X137" s="150" t="str">
        <f t="shared" si="197"/>
        <v/>
      </c>
      <c r="Y137" s="149" t="str">
        <f t="shared" ca="1" si="154"/>
        <v/>
      </c>
      <c r="Z137" s="150" t="str">
        <f t="shared" si="198"/>
        <v/>
      </c>
      <c r="AA137" s="149" t="str">
        <f t="shared" ca="1" si="155"/>
        <v/>
      </c>
      <c r="AB137" s="150" t="str">
        <f t="shared" si="199"/>
        <v/>
      </c>
      <c r="AC137" s="149" t="str">
        <f t="shared" ca="1" si="156"/>
        <v/>
      </c>
      <c r="AD137" s="150" t="str">
        <f t="shared" si="200"/>
        <v/>
      </c>
      <c r="AL137" s="211" t="e">
        <f t="shared" ca="1" si="181"/>
        <v>#DIV/0!</v>
      </c>
      <c r="AM137" s="70" t="e">
        <f t="shared" ca="1" si="182"/>
        <v>#DIV/0!</v>
      </c>
      <c r="AN137" s="276" t="e">
        <f t="shared" ca="1" si="183"/>
        <v>#DIV/0!</v>
      </c>
      <c r="AO137" s="276" t="e">
        <f t="shared" ca="1" si="184"/>
        <v>#DIV/0!</v>
      </c>
    </row>
    <row r="138" spans="1:41" ht="24.75" hidden="1" customHeight="1">
      <c r="A138" s="277"/>
      <c r="B138" s="148" t="str">
        <f t="shared" si="186"/>
        <v/>
      </c>
      <c r="C138" s="149" t="str">
        <f t="shared" si="143"/>
        <v/>
      </c>
      <c r="D138" s="150" t="str">
        <f t="shared" si="187"/>
        <v/>
      </c>
      <c r="E138" s="149" t="str">
        <f t="shared" si="144"/>
        <v/>
      </c>
      <c r="F138" s="150" t="str">
        <f t="shared" si="188"/>
        <v/>
      </c>
      <c r="G138" s="149" t="str">
        <f t="shared" ca="1" si="145"/>
        <v/>
      </c>
      <c r="H138" s="150" t="str">
        <f t="shared" si="189"/>
        <v/>
      </c>
      <c r="I138" s="149" t="str">
        <f t="shared" ca="1" si="146"/>
        <v/>
      </c>
      <c r="J138" s="150" t="str">
        <f t="shared" si="190"/>
        <v/>
      </c>
      <c r="K138" s="149" t="str">
        <f t="shared" ca="1" si="147"/>
        <v/>
      </c>
      <c r="L138" s="150" t="str">
        <f t="shared" si="191"/>
        <v/>
      </c>
      <c r="M138" s="149" t="str">
        <f t="shared" ca="1" si="148"/>
        <v/>
      </c>
      <c r="N138" s="150" t="str">
        <f t="shared" si="192"/>
        <v/>
      </c>
      <c r="O138" s="149" t="str">
        <f t="shared" ca="1" si="201"/>
        <v/>
      </c>
      <c r="P138" s="150" t="str">
        <f t="shared" si="193"/>
        <v/>
      </c>
      <c r="Q138" s="149" t="str">
        <f t="shared" ca="1" si="150"/>
        <v/>
      </c>
      <c r="R138" s="150" t="str">
        <f t="shared" si="194"/>
        <v/>
      </c>
      <c r="S138" s="149" t="str">
        <f t="shared" ca="1" si="151"/>
        <v/>
      </c>
      <c r="T138" s="150" t="str">
        <f t="shared" si="195"/>
        <v/>
      </c>
      <c r="U138" s="149" t="str">
        <f t="shared" ca="1" si="152"/>
        <v/>
      </c>
      <c r="V138" s="150" t="str">
        <f t="shared" si="196"/>
        <v/>
      </c>
      <c r="W138" s="149" t="str">
        <f t="shared" ca="1" si="153"/>
        <v/>
      </c>
      <c r="X138" s="150" t="str">
        <f t="shared" si="197"/>
        <v/>
      </c>
      <c r="Y138" s="149" t="str">
        <f t="shared" ca="1" si="154"/>
        <v/>
      </c>
      <c r="Z138" s="150" t="str">
        <f t="shared" si="198"/>
        <v/>
      </c>
      <c r="AA138" s="149" t="str">
        <f t="shared" ca="1" si="155"/>
        <v/>
      </c>
      <c r="AB138" s="150" t="str">
        <f t="shared" si="199"/>
        <v/>
      </c>
      <c r="AC138" s="149" t="str">
        <f t="shared" ca="1" si="156"/>
        <v/>
      </c>
      <c r="AD138" s="150" t="str">
        <f t="shared" si="200"/>
        <v/>
      </c>
      <c r="AL138" s="211" t="e">
        <f t="shared" ca="1" si="181"/>
        <v>#DIV/0!</v>
      </c>
      <c r="AM138" s="70" t="e">
        <f t="shared" ca="1" si="182"/>
        <v>#DIV/0!</v>
      </c>
      <c r="AN138" s="276" t="e">
        <f t="shared" ca="1" si="183"/>
        <v>#DIV/0!</v>
      </c>
      <c r="AO138" s="276" t="e">
        <f t="shared" ca="1" si="184"/>
        <v>#DIV/0!</v>
      </c>
    </row>
    <row r="139" spans="1:41" ht="22.5" hidden="1" customHeight="1">
      <c r="A139" s="277"/>
      <c r="B139" s="148" t="str">
        <f t="shared" si="186"/>
        <v/>
      </c>
      <c r="C139" s="149" t="str">
        <f t="shared" si="143"/>
        <v/>
      </c>
      <c r="D139" s="150" t="str">
        <f t="shared" si="187"/>
        <v/>
      </c>
      <c r="E139" s="149" t="str">
        <f t="shared" si="144"/>
        <v/>
      </c>
      <c r="F139" s="150" t="str">
        <f t="shared" si="188"/>
        <v/>
      </c>
      <c r="G139" s="149" t="str">
        <f t="shared" ca="1" si="145"/>
        <v/>
      </c>
      <c r="H139" s="150" t="str">
        <f t="shared" si="189"/>
        <v/>
      </c>
      <c r="I139" s="149" t="str">
        <f t="shared" ca="1" si="146"/>
        <v/>
      </c>
      <c r="J139" s="150" t="str">
        <f t="shared" si="190"/>
        <v/>
      </c>
      <c r="K139" s="149" t="str">
        <f t="shared" ca="1" si="147"/>
        <v/>
      </c>
      <c r="L139" s="150" t="str">
        <f t="shared" si="191"/>
        <v/>
      </c>
      <c r="M139" s="149" t="str">
        <f t="shared" ca="1" si="148"/>
        <v/>
      </c>
      <c r="N139" s="150" t="str">
        <f t="shared" si="192"/>
        <v/>
      </c>
      <c r="O139" s="149" t="str">
        <f t="shared" ca="1" si="201"/>
        <v/>
      </c>
      <c r="P139" s="150" t="str">
        <f t="shared" si="193"/>
        <v/>
      </c>
      <c r="Q139" s="149" t="str">
        <f t="shared" ca="1" si="150"/>
        <v/>
      </c>
      <c r="R139" s="150" t="str">
        <f t="shared" si="194"/>
        <v/>
      </c>
      <c r="S139" s="149" t="str">
        <f t="shared" ca="1" si="151"/>
        <v/>
      </c>
      <c r="T139" s="150" t="str">
        <f t="shared" si="195"/>
        <v/>
      </c>
      <c r="U139" s="149" t="str">
        <f t="shared" ca="1" si="152"/>
        <v/>
      </c>
      <c r="V139" s="150" t="str">
        <f t="shared" si="196"/>
        <v/>
      </c>
      <c r="W139" s="149" t="str">
        <f t="shared" ca="1" si="153"/>
        <v/>
      </c>
      <c r="X139" s="150" t="str">
        <f t="shared" si="197"/>
        <v/>
      </c>
      <c r="Y139" s="149" t="str">
        <f t="shared" ca="1" si="154"/>
        <v/>
      </c>
      <c r="Z139" s="150" t="str">
        <f t="shared" si="198"/>
        <v/>
      </c>
      <c r="AA139" s="149" t="str">
        <f t="shared" ca="1" si="155"/>
        <v/>
      </c>
      <c r="AB139" s="150" t="str">
        <f t="shared" si="199"/>
        <v/>
      </c>
      <c r="AC139" s="149" t="str">
        <f t="shared" ca="1" si="156"/>
        <v/>
      </c>
      <c r="AD139" s="150" t="str">
        <f t="shared" si="200"/>
        <v/>
      </c>
      <c r="AL139" s="211" t="e">
        <f t="shared" ca="1" si="181"/>
        <v>#DIV/0!</v>
      </c>
      <c r="AM139" s="70" t="e">
        <f t="shared" ca="1" si="182"/>
        <v>#DIV/0!</v>
      </c>
      <c r="AN139" s="276" t="e">
        <f t="shared" ca="1" si="183"/>
        <v>#DIV/0!</v>
      </c>
      <c r="AO139" s="276" t="e">
        <f t="shared" ca="1" si="184"/>
        <v>#DIV/0!</v>
      </c>
    </row>
    <row r="140" spans="1:41" ht="22.5" hidden="1" customHeight="1">
      <c r="A140" s="277"/>
      <c r="B140" s="148" t="str">
        <f t="shared" si="186"/>
        <v/>
      </c>
      <c r="C140" s="149" t="str">
        <f t="shared" si="143"/>
        <v/>
      </c>
      <c r="D140" s="150" t="str">
        <f t="shared" si="187"/>
        <v/>
      </c>
      <c r="E140" s="149" t="str">
        <f t="shared" si="144"/>
        <v/>
      </c>
      <c r="F140" s="150" t="str">
        <f t="shared" si="188"/>
        <v/>
      </c>
      <c r="G140" s="149" t="str">
        <f t="shared" ca="1" si="145"/>
        <v/>
      </c>
      <c r="H140" s="150" t="str">
        <f t="shared" si="189"/>
        <v/>
      </c>
      <c r="I140" s="149" t="str">
        <f t="shared" ca="1" si="146"/>
        <v/>
      </c>
      <c r="J140" s="150" t="str">
        <f t="shared" si="190"/>
        <v/>
      </c>
      <c r="K140" s="149" t="str">
        <f t="shared" ca="1" si="147"/>
        <v/>
      </c>
      <c r="L140" s="150" t="str">
        <f t="shared" si="191"/>
        <v/>
      </c>
      <c r="M140" s="149" t="str">
        <f t="shared" ca="1" si="148"/>
        <v/>
      </c>
      <c r="N140" s="150" t="str">
        <f t="shared" si="192"/>
        <v/>
      </c>
      <c r="O140" s="149" t="str">
        <f t="shared" ca="1" si="201"/>
        <v/>
      </c>
      <c r="P140" s="150" t="str">
        <f t="shared" si="193"/>
        <v/>
      </c>
      <c r="Q140" s="149" t="str">
        <f t="shared" ca="1" si="150"/>
        <v/>
      </c>
      <c r="R140" s="150" t="str">
        <f t="shared" si="194"/>
        <v/>
      </c>
      <c r="S140" s="149" t="str">
        <f t="shared" ca="1" si="151"/>
        <v/>
      </c>
      <c r="T140" s="150" t="str">
        <f t="shared" si="195"/>
        <v/>
      </c>
      <c r="U140" s="149" t="str">
        <f t="shared" ca="1" si="152"/>
        <v/>
      </c>
      <c r="V140" s="150" t="str">
        <f t="shared" si="196"/>
        <v/>
      </c>
      <c r="W140" s="149" t="str">
        <f t="shared" ca="1" si="153"/>
        <v/>
      </c>
      <c r="X140" s="150" t="str">
        <f t="shared" si="197"/>
        <v/>
      </c>
      <c r="Y140" s="149" t="str">
        <f t="shared" ca="1" si="154"/>
        <v/>
      </c>
      <c r="Z140" s="150" t="str">
        <f t="shared" si="198"/>
        <v/>
      </c>
      <c r="AA140" s="149" t="str">
        <f t="shared" ca="1" si="155"/>
        <v/>
      </c>
      <c r="AB140" s="150" t="str">
        <f t="shared" si="199"/>
        <v/>
      </c>
      <c r="AC140" s="149" t="str">
        <f t="shared" ca="1" si="156"/>
        <v/>
      </c>
      <c r="AD140" s="150" t="str">
        <f t="shared" si="200"/>
        <v/>
      </c>
      <c r="AL140" s="211" t="e">
        <f t="shared" ca="1" si="181"/>
        <v>#DIV/0!</v>
      </c>
      <c r="AM140" s="70" t="e">
        <f t="shared" ca="1" si="182"/>
        <v>#DIV/0!</v>
      </c>
      <c r="AN140" s="276" t="e">
        <f t="shared" ca="1" si="183"/>
        <v>#DIV/0!</v>
      </c>
      <c r="AO140" s="276" t="e">
        <f t="shared" ca="1" si="184"/>
        <v>#DIV/0!</v>
      </c>
    </row>
  </sheetData>
  <mergeCells count="99">
    <mergeCell ref="AE11:AF11"/>
    <mergeCell ref="AG11:AH11"/>
    <mergeCell ref="AI11:AJ11"/>
    <mergeCell ref="A103:C103"/>
    <mergeCell ref="S11:T11"/>
    <mergeCell ref="U11:V11"/>
    <mergeCell ref="W11:X11"/>
    <mergeCell ref="Y11:Z11"/>
    <mergeCell ref="AA11:AB11"/>
    <mergeCell ref="AC11:AD11"/>
    <mergeCell ref="A11:B11"/>
    <mergeCell ref="C11:D11"/>
    <mergeCell ref="E11:F11"/>
    <mergeCell ref="G11:H11"/>
    <mergeCell ref="I11:J11"/>
    <mergeCell ref="K11:L11"/>
    <mergeCell ref="M11:N11"/>
    <mergeCell ref="O11:P11"/>
    <mergeCell ref="Q11:R11"/>
    <mergeCell ref="AA10:AB10"/>
    <mergeCell ref="AC10:AD10"/>
    <mergeCell ref="AE10:AF10"/>
    <mergeCell ref="AG10:AH10"/>
    <mergeCell ref="AI10:AJ10"/>
    <mergeCell ref="O10:P10"/>
    <mergeCell ref="Q10:R10"/>
    <mergeCell ref="S10:T10"/>
    <mergeCell ref="U10:V10"/>
    <mergeCell ref="W10:X10"/>
    <mergeCell ref="Y10:Z10"/>
    <mergeCell ref="K10:L10"/>
    <mergeCell ref="M10:N10"/>
    <mergeCell ref="W9:X9"/>
    <mergeCell ref="Y9:Z9"/>
    <mergeCell ref="AA9:AB9"/>
    <mergeCell ref="K9:L9"/>
    <mergeCell ref="M9:N9"/>
    <mergeCell ref="Q9:R9"/>
    <mergeCell ref="S9:T9"/>
    <mergeCell ref="U9:V9"/>
    <mergeCell ref="A10:B10"/>
    <mergeCell ref="C10:D10"/>
    <mergeCell ref="E10:F10"/>
    <mergeCell ref="G10:H10"/>
    <mergeCell ref="I10:J10"/>
    <mergeCell ref="AE8:AF8"/>
    <mergeCell ref="AI9:AJ9"/>
    <mergeCell ref="AC9:AD9"/>
    <mergeCell ref="AE9:AF9"/>
    <mergeCell ref="AG9:AH9"/>
    <mergeCell ref="AI8:AJ8"/>
    <mergeCell ref="AC8:AD8"/>
    <mergeCell ref="AG8:AH8"/>
    <mergeCell ref="W8:X8"/>
    <mergeCell ref="Y8:Z8"/>
    <mergeCell ref="AA8:AB8"/>
    <mergeCell ref="A9:B9"/>
    <mergeCell ref="C9:D9"/>
    <mergeCell ref="E9:F9"/>
    <mergeCell ref="G9:H9"/>
    <mergeCell ref="I9:J9"/>
    <mergeCell ref="C8:D8"/>
    <mergeCell ref="E8:F8"/>
    <mergeCell ref="G8:H8"/>
    <mergeCell ref="O9:P9"/>
    <mergeCell ref="K8:L8"/>
    <mergeCell ref="M8:N8"/>
    <mergeCell ref="O8:P8"/>
    <mergeCell ref="Q8:R8"/>
    <mergeCell ref="A7:A8"/>
    <mergeCell ref="C7:D7"/>
    <mergeCell ref="E7:F7"/>
    <mergeCell ref="G7:H7"/>
    <mergeCell ref="AI7:AJ7"/>
    <mergeCell ref="M7:N7"/>
    <mergeCell ref="O7:P7"/>
    <mergeCell ref="Q7:R7"/>
    <mergeCell ref="S7:T7"/>
    <mergeCell ref="U7:V7"/>
    <mergeCell ref="W7:X7"/>
    <mergeCell ref="Y7:Z7"/>
    <mergeCell ref="AA7:AB7"/>
    <mergeCell ref="AC7:AD7"/>
    <mergeCell ref="AE7:AF7"/>
    <mergeCell ref="AG7:AH7"/>
    <mergeCell ref="A1:Z1"/>
    <mergeCell ref="A3:B3"/>
    <mergeCell ref="E3:H3"/>
    <mergeCell ref="K3:M3"/>
    <mergeCell ref="E4:F4"/>
    <mergeCell ref="G4:H4"/>
    <mergeCell ref="K4:M5"/>
    <mergeCell ref="E5:F5"/>
    <mergeCell ref="G5:H5"/>
    <mergeCell ref="I7:J7"/>
    <mergeCell ref="I8:J8"/>
    <mergeCell ref="S8:T8"/>
    <mergeCell ref="U8:V8"/>
    <mergeCell ref="K7:L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I19"/>
  <sheetViews>
    <sheetView topLeftCell="A4" zoomScale="70" zoomScaleNormal="70" workbookViewId="0">
      <selection activeCell="I7" sqref="I7"/>
    </sheetView>
  </sheetViews>
  <sheetFormatPr baseColWidth="10" defaultColWidth="11.5" defaultRowHeight="15"/>
  <cols>
    <col min="1" max="1" width="11.5" style="70"/>
    <col min="2" max="2" width="77.5" style="70" customWidth="1"/>
    <col min="3" max="3" width="25.5" style="70" customWidth="1"/>
    <col min="4" max="4" width="23.5" style="138" customWidth="1"/>
    <col min="5" max="5" width="20.6640625" style="138" customWidth="1"/>
    <col min="6" max="6" width="24" style="139" customWidth="1"/>
    <col min="7" max="7" width="26.33203125" style="139" customWidth="1"/>
    <col min="8" max="8" width="20.6640625" style="70" customWidth="1"/>
    <col min="9" max="9" width="76.33203125" style="70" customWidth="1"/>
    <col min="10" max="32" width="20.6640625" style="70" customWidth="1"/>
    <col min="33" max="16384" width="11.5" style="70"/>
  </cols>
  <sheetData>
    <row r="3" spans="1:9" ht="28">
      <c r="A3" s="128" t="s">
        <v>109</v>
      </c>
      <c r="B3" s="129"/>
      <c r="C3" s="129"/>
      <c r="D3" s="129"/>
      <c r="E3" s="129"/>
      <c r="F3" s="129"/>
      <c r="G3" s="129"/>
      <c r="H3" s="129"/>
      <c r="I3" s="130"/>
    </row>
    <row r="4" spans="1:9" ht="84">
      <c r="A4" s="131" t="s">
        <v>2</v>
      </c>
      <c r="B4" s="132" t="s">
        <v>3</v>
      </c>
      <c r="C4" s="131" t="s">
        <v>112</v>
      </c>
      <c r="D4" s="131" t="s">
        <v>115</v>
      </c>
      <c r="E4" s="131" t="s">
        <v>110</v>
      </c>
      <c r="F4" s="131" t="s">
        <v>111</v>
      </c>
      <c r="G4" s="131" t="s">
        <v>135</v>
      </c>
      <c r="H4" s="133" t="s">
        <v>113</v>
      </c>
      <c r="I4" s="131" t="s">
        <v>114</v>
      </c>
    </row>
    <row r="5" spans="1:9" ht="189">
      <c r="A5" s="134">
        <v>1</v>
      </c>
      <c r="B5" s="135" t="str">
        <f t="shared" ref="B5:B11" si="0">VLOOKUP(A5,LISTA_OFERENTES,2,FALSE)</f>
        <v>KER INGENIERIA S.A.S.</v>
      </c>
      <c r="C5" s="284" t="s">
        <v>319</v>
      </c>
      <c r="D5" s="284"/>
      <c r="E5" s="284"/>
      <c r="F5" s="284" t="str">
        <f t="shared" ref="F5" si="1">VLOOKUP(A5,R_COMERCIALES,3,FALSE)</f>
        <v xml:space="preserve"> </v>
      </c>
      <c r="G5" s="284"/>
      <c r="H5" s="137"/>
      <c r="I5" s="282" t="s">
        <v>308</v>
      </c>
    </row>
    <row r="6" spans="1:9" ht="168">
      <c r="A6" s="134">
        <v>2</v>
      </c>
      <c r="B6" s="135" t="str">
        <f t="shared" si="0"/>
        <v>UNIÓN TEMPORAL SUPERVISOR 2021</v>
      </c>
      <c r="C6" s="284" t="s">
        <v>319</v>
      </c>
      <c r="D6" s="284"/>
      <c r="E6" s="284"/>
      <c r="F6" s="284" t="str">
        <f t="shared" ref="F6:F11" si="2">VLOOKUP(A6,R_COMERCIALES,3,FALSE)</f>
        <v xml:space="preserve"> </v>
      </c>
      <c r="G6" s="284"/>
      <c r="H6" s="137"/>
      <c r="I6" s="190" t="s">
        <v>309</v>
      </c>
    </row>
    <row r="7" spans="1:9" ht="131.25" customHeight="1">
      <c r="A7" s="134">
        <v>3</v>
      </c>
      <c r="B7" s="135" t="str">
        <f t="shared" si="0"/>
        <v>PreVeo S.A.S.</v>
      </c>
      <c r="C7" s="284" t="s">
        <v>318</v>
      </c>
      <c r="D7" s="284" t="str">
        <f t="shared" ref="D7:D18" ca="1" si="3">VLOOKUP(A7,EXPERIENCIA,4,FALSE)</f>
        <v>H</v>
      </c>
      <c r="E7" s="284" t="str">
        <f t="shared" ref="E7:E18" si="4">VLOOKUP(A7,C_FINANCIERA,3,FALSE)</f>
        <v>H</v>
      </c>
      <c r="F7" s="284" t="s">
        <v>318</v>
      </c>
      <c r="G7" s="284" t="s">
        <v>319</v>
      </c>
      <c r="H7" s="137" t="str">
        <f t="shared" ref="H7:H18" ca="1" si="5">IF(AND(C7="H",D7="H",E7="H",F7="H",G7="H"),"H","NH")</f>
        <v>NH</v>
      </c>
      <c r="I7" s="190" t="s">
        <v>334</v>
      </c>
    </row>
    <row r="8" spans="1:9" ht="141" customHeight="1">
      <c r="A8" s="134">
        <v>4</v>
      </c>
      <c r="B8" s="135" t="str">
        <f t="shared" si="0"/>
        <v>INTERVE S.A.S.</v>
      </c>
      <c r="C8" s="284" t="s">
        <v>318</v>
      </c>
      <c r="D8" s="284" t="str">
        <f t="shared" ca="1" si="3"/>
        <v>H</v>
      </c>
      <c r="E8" s="284" t="str">
        <f t="shared" si="4"/>
        <v>H</v>
      </c>
      <c r="F8" s="284" t="s">
        <v>318</v>
      </c>
      <c r="G8" s="284" t="s">
        <v>319</v>
      </c>
      <c r="H8" s="137" t="str">
        <f t="shared" ca="1" si="5"/>
        <v>NH</v>
      </c>
      <c r="I8" s="282" t="s">
        <v>335</v>
      </c>
    </row>
    <row r="9" spans="1:9" ht="23" hidden="1">
      <c r="A9" s="134">
        <v>5</v>
      </c>
      <c r="B9" s="135">
        <f t="shared" si="0"/>
        <v>0</v>
      </c>
      <c r="C9" s="136"/>
      <c r="D9" s="136" t="str">
        <f t="shared" ca="1" si="3"/>
        <v>NH</v>
      </c>
      <c r="E9" s="136" t="str">
        <f t="shared" si="4"/>
        <v>NH</v>
      </c>
      <c r="F9" s="136" t="str">
        <f t="shared" si="2"/>
        <v xml:space="preserve"> </v>
      </c>
      <c r="G9" s="136" t="e">
        <f t="shared" ref="G9:G18" si="6">VLOOKUP(A9,EST_UNI,3,FALSE)</f>
        <v>#N/A</v>
      </c>
      <c r="H9" s="137" t="e">
        <f t="shared" ca="1" si="5"/>
        <v>#N/A</v>
      </c>
      <c r="I9" s="190"/>
    </row>
    <row r="10" spans="1:9" ht="23" hidden="1">
      <c r="A10" s="134">
        <v>6</v>
      </c>
      <c r="B10" s="135">
        <f t="shared" si="0"/>
        <v>0</v>
      </c>
      <c r="C10" s="136"/>
      <c r="D10" s="136" t="str">
        <f t="shared" ca="1" si="3"/>
        <v>NH</v>
      </c>
      <c r="E10" s="136" t="str">
        <f t="shared" si="4"/>
        <v>NH</v>
      </c>
      <c r="F10" s="136" t="str">
        <f t="shared" si="2"/>
        <v xml:space="preserve"> </v>
      </c>
      <c r="G10" s="136" t="e">
        <f t="shared" si="6"/>
        <v>#N/A</v>
      </c>
      <c r="H10" s="137" t="e">
        <f t="shared" ca="1" si="5"/>
        <v>#N/A</v>
      </c>
      <c r="I10" s="190"/>
    </row>
    <row r="11" spans="1:9" ht="23" hidden="1">
      <c r="A11" s="134">
        <v>7</v>
      </c>
      <c r="B11" s="135">
        <f t="shared" si="0"/>
        <v>0</v>
      </c>
      <c r="C11" s="284"/>
      <c r="D11" s="284" t="str">
        <f t="shared" ca="1" si="3"/>
        <v>NH</v>
      </c>
      <c r="E11" s="284" t="str">
        <f t="shared" si="4"/>
        <v>NH</v>
      </c>
      <c r="F11" s="284" t="str">
        <f t="shared" si="2"/>
        <v xml:space="preserve"> </v>
      </c>
      <c r="G11" s="284" t="e">
        <f t="shared" si="6"/>
        <v>#N/A</v>
      </c>
      <c r="H11" s="137" t="e">
        <f t="shared" ca="1" si="5"/>
        <v>#N/A</v>
      </c>
      <c r="I11" s="283"/>
    </row>
    <row r="12" spans="1:9" ht="23" hidden="1">
      <c r="A12" s="134">
        <v>8</v>
      </c>
      <c r="B12" s="135">
        <f t="shared" ref="B12:B14" si="7">VLOOKUP(A12,LISTA_OFERENTES,2,FALSE)</f>
        <v>0</v>
      </c>
      <c r="C12" s="136"/>
      <c r="D12" s="136" t="str">
        <f t="shared" ca="1" si="3"/>
        <v>NH</v>
      </c>
      <c r="E12" s="136" t="str">
        <f t="shared" si="4"/>
        <v>NH</v>
      </c>
      <c r="F12" s="136" t="str">
        <f t="shared" ref="F12:F14" si="8">VLOOKUP(A12,R_COMERCIALES,3,FALSE)</f>
        <v xml:space="preserve"> </v>
      </c>
      <c r="G12" s="136" t="e">
        <f t="shared" si="6"/>
        <v>#N/A</v>
      </c>
      <c r="H12" s="137" t="e">
        <f t="shared" ca="1" si="5"/>
        <v>#N/A</v>
      </c>
      <c r="I12" s="190"/>
    </row>
    <row r="13" spans="1:9" ht="23" hidden="1">
      <c r="A13" s="134">
        <v>9</v>
      </c>
      <c r="B13" s="135">
        <f t="shared" si="7"/>
        <v>0</v>
      </c>
      <c r="C13" s="136"/>
      <c r="D13" s="136" t="str">
        <f t="shared" ca="1" si="3"/>
        <v>NH</v>
      </c>
      <c r="E13" s="136" t="str">
        <f t="shared" si="4"/>
        <v>NH</v>
      </c>
      <c r="F13" s="136" t="str">
        <f t="shared" si="8"/>
        <v xml:space="preserve"> </v>
      </c>
      <c r="G13" s="136" t="e">
        <f t="shared" si="6"/>
        <v>#N/A</v>
      </c>
      <c r="H13" s="137" t="e">
        <f t="shared" ca="1" si="5"/>
        <v>#N/A</v>
      </c>
      <c r="I13" s="190"/>
    </row>
    <row r="14" spans="1:9" ht="23" hidden="1">
      <c r="A14" s="134">
        <v>10</v>
      </c>
      <c r="B14" s="135">
        <f t="shared" si="7"/>
        <v>0</v>
      </c>
      <c r="C14" s="136"/>
      <c r="D14" s="136" t="str">
        <f t="shared" ca="1" si="3"/>
        <v>NH</v>
      </c>
      <c r="E14" s="136" t="str">
        <f t="shared" si="4"/>
        <v>NH</v>
      </c>
      <c r="F14" s="136" t="str">
        <f t="shared" si="8"/>
        <v xml:space="preserve"> </v>
      </c>
      <c r="G14" s="136" t="e">
        <f t="shared" si="6"/>
        <v>#N/A</v>
      </c>
      <c r="H14" s="137" t="e">
        <f t="shared" ca="1" si="5"/>
        <v>#N/A</v>
      </c>
      <c r="I14" s="190"/>
    </row>
    <row r="15" spans="1:9" ht="23" hidden="1">
      <c r="A15" s="134">
        <v>11</v>
      </c>
      <c r="B15" s="135">
        <f t="shared" ref="B15:B18" si="9">VLOOKUP(A15,LISTA_OFERENTES,2,FALSE)</f>
        <v>0</v>
      </c>
      <c r="C15" s="136"/>
      <c r="D15" s="136" t="str">
        <f t="shared" ca="1" si="3"/>
        <v>NH</v>
      </c>
      <c r="E15" s="136" t="str">
        <f t="shared" si="4"/>
        <v>NH</v>
      </c>
      <c r="F15" s="136" t="str">
        <f t="shared" ref="F15:F18" si="10">VLOOKUP(A15,R_COMERCIALES,3,FALSE)</f>
        <v xml:space="preserve"> </v>
      </c>
      <c r="G15" s="136" t="e">
        <f t="shared" si="6"/>
        <v>#N/A</v>
      </c>
      <c r="H15" s="137" t="e">
        <f t="shared" ca="1" si="5"/>
        <v>#N/A</v>
      </c>
      <c r="I15" s="190"/>
    </row>
    <row r="16" spans="1:9" ht="23" hidden="1">
      <c r="A16" s="134">
        <v>12</v>
      </c>
      <c r="B16" s="135">
        <f t="shared" si="9"/>
        <v>0</v>
      </c>
      <c r="C16" s="136"/>
      <c r="D16" s="136" t="str">
        <f t="shared" ca="1" si="3"/>
        <v>NH</v>
      </c>
      <c r="E16" s="136" t="str">
        <f t="shared" si="4"/>
        <v>NH</v>
      </c>
      <c r="F16" s="136" t="str">
        <f t="shared" si="10"/>
        <v xml:space="preserve"> </v>
      </c>
      <c r="G16" s="136" t="e">
        <f t="shared" si="6"/>
        <v>#N/A</v>
      </c>
      <c r="H16" s="137" t="e">
        <f t="shared" ca="1" si="5"/>
        <v>#N/A</v>
      </c>
      <c r="I16" s="190"/>
    </row>
    <row r="17" spans="1:9" ht="23" hidden="1">
      <c r="A17" s="134">
        <v>13</v>
      </c>
      <c r="B17" s="135">
        <f t="shared" si="9"/>
        <v>0</v>
      </c>
      <c r="C17" s="284"/>
      <c r="D17" s="284" t="str">
        <f t="shared" ca="1" si="3"/>
        <v>NH</v>
      </c>
      <c r="E17" s="284" t="str">
        <f t="shared" si="4"/>
        <v>NH</v>
      </c>
      <c r="F17" s="284" t="str">
        <f t="shared" si="10"/>
        <v xml:space="preserve"> </v>
      </c>
      <c r="G17" s="284" t="e">
        <f t="shared" si="6"/>
        <v>#N/A</v>
      </c>
      <c r="H17" s="137" t="e">
        <f t="shared" ca="1" si="5"/>
        <v>#N/A</v>
      </c>
      <c r="I17" s="282"/>
    </row>
    <row r="18" spans="1:9" ht="23" hidden="1">
      <c r="A18" s="134">
        <v>14</v>
      </c>
      <c r="B18" s="135">
        <f t="shared" si="9"/>
        <v>0</v>
      </c>
      <c r="C18" s="136"/>
      <c r="D18" s="136" t="str">
        <f t="shared" ca="1" si="3"/>
        <v>NH</v>
      </c>
      <c r="E18" s="136" t="str">
        <f t="shared" si="4"/>
        <v>NH</v>
      </c>
      <c r="F18" s="136" t="str">
        <f t="shared" si="10"/>
        <v xml:space="preserve"> </v>
      </c>
      <c r="G18" s="136" t="e">
        <f t="shared" si="6"/>
        <v>#N/A</v>
      </c>
      <c r="H18" s="137" t="e">
        <f t="shared" ca="1" si="5"/>
        <v>#N/A</v>
      </c>
      <c r="I18" s="190"/>
    </row>
    <row r="19" spans="1:9" ht="20">
      <c r="D19" s="136"/>
    </row>
  </sheetData>
  <sheetProtection algorithmName="SHA-512" hashValue="awWb/bQw31e6dL00xV8kboUBlLsMeftIaKC9xwpAxoeFPG/+BF6cl71tmNRDr+hhdf9XkDgpPpUaFqyDrf4z7g==" saltValue="fccOsr9rBWiwRCppsL6uQg==" spinCount="100000" sheet="1" objects="1" scenarios="1"/>
  <conditionalFormatting sqref="H5:H18">
    <cfRule type="cellIs" dxfId="14" priority="25" operator="equal">
      <formula>"NH"</formula>
    </cfRule>
    <cfRule type="cellIs" dxfId="13" priority="26" operator="equal">
      <formula>"H"</formula>
    </cfRule>
  </conditionalFormatting>
  <conditionalFormatting sqref="E6:E18">
    <cfRule type="cellIs" dxfId="12" priority="24" operator="equal">
      <formula>"NH"</formula>
    </cfRule>
  </conditionalFormatting>
  <conditionalFormatting sqref="G6:G18">
    <cfRule type="cellIs" dxfId="11" priority="22" operator="equal">
      <formula>"NH"</formula>
    </cfRule>
  </conditionalFormatting>
  <conditionalFormatting sqref="F6:F14">
    <cfRule type="cellIs" dxfId="10" priority="19" operator="equal">
      <formula>"NH"</formula>
    </cfRule>
  </conditionalFormatting>
  <conditionalFormatting sqref="F15:F18">
    <cfRule type="cellIs" dxfId="9" priority="13" operator="equal">
      <formula>"NH"</formula>
    </cfRule>
  </conditionalFormatting>
  <conditionalFormatting sqref="C5:C18">
    <cfRule type="cellIs" dxfId="8" priority="7" operator="equal">
      <formula>"NH"</formula>
    </cfRule>
  </conditionalFormatting>
  <conditionalFormatting sqref="D6:D19">
    <cfRule type="cellIs" dxfId="7" priority="6" operator="equal">
      <formula>"NH"</formula>
    </cfRule>
  </conditionalFormatting>
  <conditionalFormatting sqref="E5">
    <cfRule type="cellIs" dxfId="6" priority="4" operator="equal">
      <formula>"NH"</formula>
    </cfRule>
  </conditionalFormatting>
  <conditionalFormatting sqref="G5">
    <cfRule type="cellIs" dxfId="5" priority="3" operator="equal">
      <formula>"NH"</formula>
    </cfRule>
  </conditionalFormatting>
  <conditionalFormatting sqref="F5">
    <cfRule type="cellIs" dxfId="4" priority="2" operator="equal">
      <formula>"NH"</formula>
    </cfRule>
  </conditionalFormatting>
  <conditionalFormatting sqref="D5">
    <cfRule type="cellIs" dxfId="3" priority="1" operator="equal">
      <formula>"NH"</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V41"/>
  <sheetViews>
    <sheetView showGridLines="0" tabSelected="1" topLeftCell="G13" zoomScaleNormal="100" workbookViewId="0">
      <selection activeCell="H15" sqref="H15"/>
    </sheetView>
  </sheetViews>
  <sheetFormatPr baseColWidth="10" defaultColWidth="11.5" defaultRowHeight="16"/>
  <cols>
    <col min="1" max="1" width="4.5" style="81" customWidth="1"/>
    <col min="2" max="2" width="6.1640625" style="81" customWidth="1"/>
    <col min="3" max="3" width="17" style="81" customWidth="1"/>
    <col min="4" max="4" width="16" style="81" customWidth="1"/>
    <col min="5" max="5" width="5.5" style="81" customWidth="1"/>
    <col min="6" max="6" width="10" style="81" customWidth="1"/>
    <col min="7" max="7" width="17" style="81" customWidth="1"/>
    <col min="8" max="8" width="23.5" style="81" customWidth="1"/>
    <col min="9" max="9" width="11.33203125" style="81" bestFit="1" customWidth="1"/>
    <col min="10" max="10" width="13.1640625" style="81" bestFit="1" customWidth="1"/>
    <col min="11" max="11" width="20.5" style="81" customWidth="1"/>
    <col min="12" max="13" width="10" style="81" customWidth="1"/>
    <col min="14" max="14" width="10.1640625" style="81" customWidth="1"/>
    <col min="15" max="15" width="13.83203125" style="81" customWidth="1"/>
    <col min="16" max="16" width="18.83203125" style="81" customWidth="1"/>
    <col min="17" max="17" width="18.5" style="81" customWidth="1"/>
    <col min="18" max="18" width="35" style="81" customWidth="1"/>
    <col min="19" max="19" width="13.6640625" style="80" customWidth="1"/>
    <col min="20" max="20" width="8.33203125" style="80" customWidth="1"/>
    <col min="21" max="22" width="13.6640625" style="81" hidden="1" customWidth="1"/>
    <col min="23" max="16384" width="11.5" style="81"/>
  </cols>
  <sheetData>
    <row r="2" spans="2:22" ht="25.5" customHeight="1">
      <c r="B2" s="873" t="str">
        <f>+'1_ENTREGA'!A1</f>
        <v>UNIVERSIDAD DE ANTIOQUIA</v>
      </c>
      <c r="C2" s="874"/>
      <c r="D2" s="874"/>
      <c r="E2" s="874"/>
      <c r="F2" s="874"/>
      <c r="G2" s="874"/>
      <c r="H2" s="874"/>
      <c r="I2" s="874"/>
      <c r="J2" s="874"/>
      <c r="K2" s="874"/>
      <c r="L2" s="874"/>
      <c r="M2" s="874"/>
      <c r="N2" s="874"/>
      <c r="O2" s="874"/>
      <c r="P2" s="874"/>
      <c r="Q2" s="874"/>
      <c r="R2" s="875"/>
    </row>
    <row r="3" spans="2:22" ht="48" customHeight="1">
      <c r="B3" s="876" t="str">
        <f>+'1_ENTREGA'!A2</f>
        <v>Invitación Pública N°  VA-036-2021</v>
      </c>
      <c r="C3" s="877"/>
      <c r="D3" s="877"/>
      <c r="E3" s="877"/>
      <c r="F3" s="877"/>
      <c r="G3" s="877"/>
      <c r="H3" s="877"/>
      <c r="I3" s="877"/>
      <c r="J3" s="877"/>
      <c r="K3" s="877"/>
      <c r="L3" s="877"/>
      <c r="M3" s="877"/>
      <c r="N3" s="877"/>
      <c r="O3" s="877"/>
      <c r="P3" s="877"/>
      <c r="Q3" s="877"/>
      <c r="R3" s="878"/>
    </row>
    <row r="4" spans="2:22" ht="69" customHeight="1">
      <c r="B4" s="876"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 la Nueva Infraestructura Ciudadela Luis Javier Arroyave Morales etapa 1, ubicada en el Municipio de Medellín.</v>
      </c>
      <c r="C4" s="877"/>
      <c r="D4" s="877"/>
      <c r="E4" s="877"/>
      <c r="F4" s="877"/>
      <c r="G4" s="877"/>
      <c r="H4" s="877"/>
      <c r="I4" s="877"/>
      <c r="J4" s="877"/>
      <c r="K4" s="877"/>
      <c r="L4" s="877"/>
      <c r="M4" s="877"/>
      <c r="N4" s="877"/>
      <c r="O4" s="877"/>
      <c r="P4" s="877"/>
      <c r="Q4" s="877"/>
      <c r="R4" s="878"/>
    </row>
    <row r="5" spans="2:22" ht="26.25" customHeight="1">
      <c r="B5" s="879" t="s">
        <v>68</v>
      </c>
      <c r="C5" s="880"/>
      <c r="D5" s="880"/>
      <c r="E5" s="880"/>
      <c r="F5" s="880"/>
      <c r="G5" s="880"/>
      <c r="H5" s="880"/>
      <c r="I5" s="880"/>
      <c r="J5" s="880"/>
      <c r="K5" s="880"/>
      <c r="L5" s="880"/>
      <c r="M5" s="880"/>
      <c r="N5" s="880"/>
      <c r="O5" s="880"/>
      <c r="P5" s="880"/>
      <c r="Q5" s="880"/>
      <c r="R5" s="881"/>
    </row>
    <row r="6" spans="2:22" ht="17" thickBot="1">
      <c r="B6" s="82"/>
      <c r="C6" s="82"/>
      <c r="D6" s="82"/>
      <c r="E6" s="82"/>
      <c r="F6" s="82"/>
      <c r="G6" s="82"/>
      <c r="H6" s="82"/>
      <c r="I6" s="82"/>
      <c r="J6" s="82"/>
      <c r="K6" s="82"/>
      <c r="L6" s="82"/>
      <c r="M6" s="82"/>
      <c r="N6" s="82"/>
      <c r="O6" s="82"/>
      <c r="P6" s="82"/>
      <c r="Q6" s="82"/>
    </row>
    <row r="7" spans="2:22" ht="18" customHeight="1" thickBot="1">
      <c r="B7" s="882" t="s">
        <v>69</v>
      </c>
      <c r="C7" s="882"/>
      <c r="D7" s="192"/>
      <c r="E7" s="883" t="s">
        <v>70</v>
      </c>
      <c r="F7" s="883"/>
      <c r="G7" s="883"/>
      <c r="H7" s="884" t="s">
        <v>71</v>
      </c>
      <c r="I7" s="884"/>
      <c r="J7" s="884"/>
      <c r="K7" s="884"/>
      <c r="L7" s="884"/>
      <c r="M7" s="466"/>
      <c r="N7" s="82"/>
      <c r="O7" s="82"/>
      <c r="P7" s="83" t="s">
        <v>72</v>
      </c>
      <c r="Q7" s="84">
        <f>'6.2.2.1. EXPERIENCIA GRAL'!N6</f>
        <v>672323975</v>
      </c>
      <c r="R7" s="153"/>
      <c r="S7" s="154"/>
    </row>
    <row r="8" spans="2:22" ht="20.25" customHeight="1" thickBot="1">
      <c r="B8" s="868" t="s">
        <v>73</v>
      </c>
      <c r="C8" s="868"/>
      <c r="D8" s="193"/>
      <c r="E8" s="194">
        <v>1</v>
      </c>
      <c r="F8" s="869" t="s">
        <v>74</v>
      </c>
      <c r="G8" s="869"/>
      <c r="H8" s="468">
        <f>IF(($D$7-TRUNC($D$7))&lt;=0.5,1,2)</f>
        <v>1</v>
      </c>
      <c r="I8" s="870" t="str">
        <f>IF(H8=3,VLOOKUP(H8,$E$8:$F$9,2,FALSE),IF(H8=2,VLOOKUP(H8,$E$8:$F$9,2,FALSE),IF(H8=1,VLOOKUP(H8,$E$8:$F$9,2,FALSE),"NINGUNO")))</f>
        <v>Media aritmética</v>
      </c>
      <c r="J8" s="870"/>
      <c r="K8" s="871" t="str">
        <f ca="1">IFERROR(IF($I$8="Media aritmética",ROUND(SUM(G14:G27)/Q8,2),ROUND(_xlfn.STDEV.P(G14:G27),2)),"")</f>
        <v/>
      </c>
      <c r="L8" s="871"/>
      <c r="M8" s="467"/>
      <c r="N8" s="152" t="str">
        <f ca="1">IFERROR(IF($I$8="Media aritmética",ROUND(SUM(H14:H30)/Q8,4),ROUND(_xlfn.STDEV.P(H14:H30),4)),"")</f>
        <v/>
      </c>
      <c r="O8" s="82"/>
      <c r="P8" s="85" t="s">
        <v>75</v>
      </c>
      <c r="Q8" s="86">
        <f ca="1">IFERROR(COUNTIF(F14:F30,"H"),0)</f>
        <v>0</v>
      </c>
      <c r="R8" s="153"/>
    </row>
    <row r="9" spans="2:22" ht="54" customHeight="1" thickBot="1">
      <c r="B9" s="872" t="s">
        <v>76</v>
      </c>
      <c r="C9" s="872"/>
      <c r="D9" s="195">
        <v>254364937</v>
      </c>
      <c r="E9" s="194">
        <v>2</v>
      </c>
      <c r="F9" s="869" t="s">
        <v>77</v>
      </c>
      <c r="G9" s="869"/>
      <c r="H9" s="82"/>
      <c r="I9" s="82"/>
      <c r="J9" s="82"/>
      <c r="K9" s="82"/>
      <c r="L9" s="82"/>
      <c r="M9" s="82"/>
      <c r="N9" s="82"/>
      <c r="O9" s="87"/>
      <c r="P9" s="82"/>
      <c r="Q9" s="82"/>
    </row>
    <row r="10" spans="2:22" ht="40.5" customHeight="1" thickBot="1">
      <c r="B10" s="872" t="s">
        <v>209</v>
      </c>
      <c r="C10" s="872"/>
      <c r="D10" s="408">
        <v>2.19</v>
      </c>
      <c r="E10" s="82"/>
      <c r="F10" s="82"/>
      <c r="G10" s="82"/>
      <c r="H10" s="82"/>
      <c r="I10" s="82"/>
      <c r="J10" s="82"/>
      <c r="K10" s="82"/>
      <c r="L10" s="82"/>
      <c r="M10" s="82"/>
      <c r="N10" s="82"/>
      <c r="O10" s="82"/>
      <c r="P10" s="82"/>
      <c r="Q10" s="82"/>
    </row>
    <row r="11" spans="2:22" ht="28.5" customHeight="1">
      <c r="B11" s="82"/>
      <c r="C11" s="82"/>
      <c r="D11" s="88"/>
      <c r="E11" s="82"/>
      <c r="F11" s="82"/>
      <c r="G11" s="82"/>
      <c r="I11" s="892" t="s">
        <v>78</v>
      </c>
      <c r="J11" s="893"/>
      <c r="K11" s="893"/>
      <c r="L11" s="894"/>
      <c r="M11" s="289"/>
      <c r="N11" s="89" t="s">
        <v>58</v>
      </c>
      <c r="O11" s="82"/>
    </row>
    <row r="12" spans="2:22" ht="18" customHeight="1">
      <c r="B12" s="90"/>
      <c r="C12" s="87"/>
      <c r="D12" s="90"/>
      <c r="E12" s="87"/>
      <c r="F12" s="91" t="s">
        <v>79</v>
      </c>
      <c r="G12" s="87"/>
      <c r="I12" s="196">
        <v>100</v>
      </c>
      <c r="J12" s="196">
        <v>120</v>
      </c>
      <c r="K12" s="196">
        <v>80</v>
      </c>
      <c r="L12" s="196">
        <v>100</v>
      </c>
      <c r="M12" s="196">
        <v>100</v>
      </c>
      <c r="N12" s="89">
        <f>+SUM(I12:M12)</f>
        <v>500</v>
      </c>
      <c r="O12" s="82"/>
    </row>
    <row r="13" spans="2:22" ht="47.25" customHeight="1">
      <c r="B13" s="92" t="s">
        <v>80</v>
      </c>
      <c r="C13" s="892" t="s">
        <v>81</v>
      </c>
      <c r="D13" s="893"/>
      <c r="E13" s="894"/>
      <c r="F13" s="93" t="s">
        <v>82</v>
      </c>
      <c r="G13" s="92" t="s">
        <v>83</v>
      </c>
      <c r="H13" s="92" t="s">
        <v>207</v>
      </c>
      <c r="I13" s="94" t="s">
        <v>84</v>
      </c>
      <c r="J13" s="94" t="s">
        <v>85</v>
      </c>
      <c r="K13" s="94" t="s">
        <v>86</v>
      </c>
      <c r="L13" s="94" t="s">
        <v>87</v>
      </c>
      <c r="M13" s="94" t="s">
        <v>208</v>
      </c>
      <c r="N13" s="95" t="s">
        <v>88</v>
      </c>
      <c r="O13" s="95" t="s">
        <v>89</v>
      </c>
      <c r="P13" s="892" t="s">
        <v>90</v>
      </c>
      <c r="Q13" s="893"/>
      <c r="R13" s="894"/>
      <c r="U13" s="885" t="s">
        <v>91</v>
      </c>
      <c r="V13" s="885"/>
    </row>
    <row r="14" spans="2:22" s="103" customFormat="1" ht="100" customHeight="1">
      <c r="B14" s="96">
        <f>+IF('[1]1_ENTREGA'!A8="","",'[1]1_ENTREGA'!A8)</f>
        <v>1</v>
      </c>
      <c r="C14" s="886" t="str">
        <f>IF(B14="","",VLOOKUP(B14,LISTA_OFERENTES,2,FALSE))</f>
        <v>KER INGENIERIA S.A.S.</v>
      </c>
      <c r="D14" s="887"/>
      <c r="E14" s="888"/>
      <c r="F14" s="97" t="str">
        <f t="shared" ref="F14:F30" si="0">IFERROR(IF(VLOOKUP(B14,ESTATUS,8,FALSE)=0, " ",VLOOKUP(B14,ESTATUS,8,FALSE))," ")</f>
        <v xml:space="preserve"> </v>
      </c>
      <c r="G14" s="98"/>
      <c r="H14" s="99"/>
      <c r="I14" s="100"/>
      <c r="J14" s="100"/>
      <c r="K14" s="100"/>
      <c r="L14" s="100"/>
      <c r="M14" s="100"/>
      <c r="N14" s="101"/>
      <c r="O14" s="102" t="str">
        <f t="shared" ref="O14:O30" si="1">IFERROR(IF(OR(F14=" ",F14="NH")," ",VLOOKUP(N14,ORDEN,2,FALSE))," ")</f>
        <v xml:space="preserve"> </v>
      </c>
      <c r="P14" s="889" t="str">
        <f>+RESUMEN!I5</f>
        <v>Se rechaza propuesta comercial según lo establecido en el numeral 16 Rechazo y eliminación de propuestas comerciales, inciso, 16.3 Se presente de forma extemporánea, en un lugar o medio diferente al indicado o luego de la fecha y hora fijadas para el cierre de la invitación.
16.18 El OFERENTE no presente la Garantía de Seriedad de la propuesta o no cumpla con lo estipulado para dicha garantía.</v>
      </c>
      <c r="Q14" s="890"/>
      <c r="R14" s="891"/>
      <c r="U14" s="104">
        <f t="shared" ref="U14:U30" ca="1" si="2">IFERROR(LARGE($N$14:$N$30,V14)," ")</f>
        <v>100</v>
      </c>
      <c r="V14" s="105">
        <v>1</v>
      </c>
    </row>
    <row r="15" spans="2:22" s="103" customFormat="1" ht="100" customHeight="1">
      <c r="B15" s="96">
        <f>+IF('[1]1_ENTREGA'!A9="","",'[1]1_ENTREGA'!A9)</f>
        <v>2</v>
      </c>
      <c r="C15" s="886" t="str">
        <f t="shared" ref="C15:C29" si="3">IF(B15="","",VLOOKUP(B15,LISTA_OFERENTES,2,FALSE))</f>
        <v>UNIÓN TEMPORAL SUPERVISOR 2021</v>
      </c>
      <c r="D15" s="887"/>
      <c r="E15" s="888"/>
      <c r="F15" s="97" t="str">
        <f t="shared" si="0"/>
        <v xml:space="preserve"> </v>
      </c>
      <c r="G15" s="98"/>
      <c r="H15" s="99"/>
      <c r="I15" s="100"/>
      <c r="J15" s="100"/>
      <c r="K15" s="100"/>
      <c r="L15" s="100"/>
      <c r="M15" s="100"/>
      <c r="N15" s="101"/>
      <c r="O15" s="102" t="str">
        <f t="shared" si="1"/>
        <v xml:space="preserve"> </v>
      </c>
      <c r="P15" s="889" t="str">
        <f>+RESUMEN!I6</f>
        <v>Se rechaza la propuesta conforme al numeral 6.1 de los términos de referencia: " En el presente proceso podrán participar: personas jurídicas en forma individual ". y el numeral 16 Rechazo y eliminación de propuestas comerciales, inciso, 16.3 Se presente de forma extemporánea, en un lugar o medio diferente al indicado o luego de la fecha y hora fijadas para el cierre de la invitación.</v>
      </c>
      <c r="Q15" s="890"/>
      <c r="R15" s="891"/>
      <c r="U15" s="104">
        <f t="shared" ca="1" si="2"/>
        <v>100</v>
      </c>
      <c r="V15" s="105">
        <v>2</v>
      </c>
    </row>
    <row r="16" spans="2:22" s="103" customFormat="1" ht="100" customHeight="1">
      <c r="B16" s="96">
        <f>+IF('[1]1_ENTREGA'!A10="","",'[1]1_ENTREGA'!A10)</f>
        <v>3</v>
      </c>
      <c r="C16" s="886" t="str">
        <f t="shared" si="3"/>
        <v>PreVeo S.A.S.</v>
      </c>
      <c r="D16" s="887"/>
      <c r="E16" s="888"/>
      <c r="F16" s="97" t="str">
        <f t="shared" ca="1" si="0"/>
        <v>NH</v>
      </c>
      <c r="G16" s="98" t="str">
        <f t="shared" ref="G16:G30" ca="1" si="4">IF(OR(F16="NH",F16=""),"",IF(VLOOKUP(B16,V_UNITARIOS,3,FALSE)&gt;$D$9,"REVISAR",ROUND(VLOOKUP(B16,V_UNITARIOS,3,FALSE),0)))</f>
        <v/>
      </c>
      <c r="H16" s="99" t="str">
        <f t="shared" ref="H16:H30" ca="1" si="5">IF(OR(F16="NH",F16=""),"",IF(VLOOKUP(B16,AU,2,FALSE)&gt;$D$10,"REVISAR",VLOOKUP(B16,AU,2,FALSE)))</f>
        <v/>
      </c>
      <c r="I16" s="100" t="str">
        <f t="shared" ref="I16:I31" ca="1" si="6">IF(G16="","",IF($I$8="Media aritmética",(G16&lt;=$K$8)*100+(G16&gt;$K$8)*0,IF(AND((AVERAGE($G$14:$G$27)-$K$8/2&lt;=G16),(G16&lt;=(AVERAGE($G$14:$G$27)+$K$8/2))),100,0)))</f>
        <v/>
      </c>
      <c r="J16" s="100" t="str">
        <f t="shared" ref="J16:J30" ca="1" si="7">+IF(F16="H",HLOOKUP(B16,PT_2,3,FALSE),"")</f>
        <v/>
      </c>
      <c r="K16" s="100" t="str">
        <f t="shared" ref="K16:K30" ca="1" si="8">+IF(F16="H",HLOOKUP(B16,PT_2,4,FALSE),"")</f>
        <v/>
      </c>
      <c r="L16" s="100" t="str">
        <f t="shared" ref="L16:L30" ca="1" si="9">IF(F16="H",($L$12*(MIN($H$14:$H$27)/H16))," ")</f>
        <v xml:space="preserve"> </v>
      </c>
      <c r="M16" s="100"/>
      <c r="N16" s="101" t="str">
        <f t="shared" ref="N16:N30" ca="1" si="10">IF(OR(F16="",F16="NH"),"",SUM(I16:M16))</f>
        <v/>
      </c>
      <c r="O16" s="102" t="str">
        <f t="shared" ca="1" si="1"/>
        <v xml:space="preserve"> </v>
      </c>
      <c r="P16" s="889" t="str">
        <f>+RESUMEN!I7</f>
        <v>Si bien los requisitos del numeral 6.2.3 son subsanables, no se les requiere a los proponentes por existir causal de rechazo de la oferta, toda vez que el factor multiplicador de la propuesta presentada, establecido en el numeral 14.2.1 de los Términos de Referencia, dicho valor no podrá superar el 2,19</v>
      </c>
      <c r="Q16" s="890"/>
      <c r="R16" s="891"/>
      <c r="U16" s="104">
        <f t="shared" ca="1" si="2"/>
        <v>100</v>
      </c>
      <c r="V16" s="105">
        <v>3</v>
      </c>
    </row>
    <row r="17" spans="2:22" s="103" customFormat="1" ht="100" customHeight="1">
      <c r="B17" s="96">
        <f>+IF('[1]1_ENTREGA'!A11="","",'[1]1_ENTREGA'!A11)</f>
        <v>4</v>
      </c>
      <c r="C17" s="886" t="str">
        <f t="shared" si="3"/>
        <v>INTERVE S.A.S.</v>
      </c>
      <c r="D17" s="887"/>
      <c r="E17" s="888"/>
      <c r="F17" s="97" t="str">
        <f t="shared" ca="1" si="0"/>
        <v>NH</v>
      </c>
      <c r="G17" s="98" t="str">
        <f t="shared" ca="1" si="4"/>
        <v/>
      </c>
      <c r="H17" s="99" t="str">
        <f t="shared" ca="1" si="5"/>
        <v/>
      </c>
      <c r="I17" s="100" t="str">
        <f t="shared" ca="1" si="6"/>
        <v/>
      </c>
      <c r="J17" s="100" t="str">
        <f t="shared" ca="1" si="7"/>
        <v/>
      </c>
      <c r="K17" s="100" t="str">
        <f t="shared" ca="1" si="8"/>
        <v/>
      </c>
      <c r="L17" s="100" t="str">
        <f t="shared" ca="1" si="9"/>
        <v xml:space="preserve"> </v>
      </c>
      <c r="M17" s="100"/>
      <c r="N17" s="101" t="str">
        <f t="shared" ca="1" si="10"/>
        <v/>
      </c>
      <c r="O17" s="102" t="str">
        <f t="shared" ca="1" si="1"/>
        <v xml:space="preserve"> </v>
      </c>
      <c r="P17" s="889" t="str">
        <f>+RESUMEN!I8</f>
        <v>Si bien los requisitos del numeral 6.2.3 son subsanables, no se les requiere a los proponentes, por existir causal de rechazo de la oferta, toda vez que el factor multiplicador de la propuesta presentada, establecido en el numeral 14.2.1 de los Términos de Referencia, dicho valor no podrá superar el 2,19</v>
      </c>
      <c r="Q17" s="890"/>
      <c r="R17" s="891"/>
      <c r="U17" s="104">
        <f t="shared" ca="1" si="2"/>
        <v>100</v>
      </c>
      <c r="V17" s="105">
        <v>4</v>
      </c>
    </row>
    <row r="18" spans="2:22" s="103" customFormat="1" ht="17" hidden="1">
      <c r="B18" s="96">
        <f>+IF('[1]1_ENTREGA'!A12="","",'[1]1_ENTREGA'!A12)</f>
        <v>5</v>
      </c>
      <c r="C18" s="886">
        <f t="shared" si="3"/>
        <v>0</v>
      </c>
      <c r="D18" s="887"/>
      <c r="E18" s="888"/>
      <c r="F18" s="97" t="str">
        <f t="shared" ca="1" si="0"/>
        <v xml:space="preserve"> </v>
      </c>
      <c r="G18" s="98">
        <f t="shared" ca="1" si="4"/>
        <v>0</v>
      </c>
      <c r="H18" s="99">
        <f t="shared" ca="1" si="5"/>
        <v>0</v>
      </c>
      <c r="I18" s="100">
        <f t="shared" ca="1" si="6"/>
        <v>100</v>
      </c>
      <c r="J18" s="100" t="str">
        <f t="shared" ca="1" si="7"/>
        <v/>
      </c>
      <c r="K18" s="100" t="str">
        <f t="shared" ca="1" si="8"/>
        <v/>
      </c>
      <c r="L18" s="100" t="str">
        <f t="shared" ca="1" si="9"/>
        <v xml:space="preserve"> </v>
      </c>
      <c r="M18" s="100"/>
      <c r="N18" s="101">
        <f t="shared" ca="1" si="10"/>
        <v>100</v>
      </c>
      <c r="O18" s="102" t="str">
        <f t="shared" ca="1" si="1"/>
        <v xml:space="preserve"> </v>
      </c>
      <c r="P18" s="889">
        <f>+RESUMEN!I9</f>
        <v>0</v>
      </c>
      <c r="Q18" s="890"/>
      <c r="R18" s="891"/>
      <c r="U18" s="104">
        <f t="shared" ca="1" si="2"/>
        <v>100</v>
      </c>
      <c r="V18" s="105">
        <v>5</v>
      </c>
    </row>
    <row r="19" spans="2:22" s="103" customFormat="1" ht="17" hidden="1">
      <c r="B19" s="96">
        <f>+IF('[1]1_ENTREGA'!A13="","",'[1]1_ENTREGA'!A13)</f>
        <v>6</v>
      </c>
      <c r="C19" s="886">
        <f t="shared" si="3"/>
        <v>0</v>
      </c>
      <c r="D19" s="887"/>
      <c r="E19" s="888"/>
      <c r="F19" s="97" t="str">
        <f t="shared" ca="1" si="0"/>
        <v xml:space="preserve"> </v>
      </c>
      <c r="G19" s="98">
        <f t="shared" ca="1" si="4"/>
        <v>0</v>
      </c>
      <c r="H19" s="99">
        <f t="shared" ca="1" si="5"/>
        <v>0</v>
      </c>
      <c r="I19" s="100">
        <f t="shared" ca="1" si="6"/>
        <v>100</v>
      </c>
      <c r="J19" s="100" t="str">
        <f t="shared" ca="1" si="7"/>
        <v/>
      </c>
      <c r="K19" s="100" t="str">
        <f t="shared" ca="1" si="8"/>
        <v/>
      </c>
      <c r="L19" s="100" t="str">
        <f t="shared" ca="1" si="9"/>
        <v xml:space="preserve"> </v>
      </c>
      <c r="M19" s="100"/>
      <c r="N19" s="101">
        <f t="shared" ca="1" si="10"/>
        <v>100</v>
      </c>
      <c r="O19" s="102" t="str">
        <f t="shared" ca="1" si="1"/>
        <v xml:space="preserve"> </v>
      </c>
      <c r="P19" s="889">
        <f>+RESUMEN!I10</f>
        <v>0</v>
      </c>
      <c r="Q19" s="890"/>
      <c r="R19" s="891"/>
      <c r="U19" s="104">
        <f t="shared" ca="1" si="2"/>
        <v>100</v>
      </c>
      <c r="V19" s="105">
        <v>6</v>
      </c>
    </row>
    <row r="20" spans="2:22" s="103" customFormat="1" ht="109.5" hidden="1" customHeight="1">
      <c r="B20" s="96">
        <f>+IF('[1]1_ENTREGA'!A14="","",'[1]1_ENTREGA'!A14)</f>
        <v>7</v>
      </c>
      <c r="C20" s="886">
        <f t="shared" si="3"/>
        <v>0</v>
      </c>
      <c r="D20" s="887"/>
      <c r="E20" s="888"/>
      <c r="F20" s="97" t="str">
        <f t="shared" ca="1" si="0"/>
        <v xml:space="preserve"> </v>
      </c>
      <c r="G20" s="98">
        <f t="shared" ca="1" si="4"/>
        <v>0</v>
      </c>
      <c r="H20" s="99">
        <f t="shared" ca="1" si="5"/>
        <v>0</v>
      </c>
      <c r="I20" s="100">
        <f t="shared" ca="1" si="6"/>
        <v>100</v>
      </c>
      <c r="J20" s="100" t="str">
        <f t="shared" ca="1" si="7"/>
        <v/>
      </c>
      <c r="K20" s="100" t="str">
        <f t="shared" ca="1" si="8"/>
        <v/>
      </c>
      <c r="L20" s="100" t="str">
        <f t="shared" ca="1" si="9"/>
        <v xml:space="preserve"> </v>
      </c>
      <c r="M20" s="100"/>
      <c r="N20" s="101">
        <f t="shared" ca="1" si="10"/>
        <v>100</v>
      </c>
      <c r="O20" s="102" t="str">
        <f t="shared" ca="1" si="1"/>
        <v xml:space="preserve"> </v>
      </c>
      <c r="P20" s="895">
        <f>+RESUMEN!I11</f>
        <v>0</v>
      </c>
      <c r="Q20" s="896"/>
      <c r="R20" s="897"/>
      <c r="U20" s="104">
        <f t="shared" ca="1" si="2"/>
        <v>100</v>
      </c>
      <c r="V20" s="105">
        <v>7</v>
      </c>
    </row>
    <row r="21" spans="2:22" s="103" customFormat="1" ht="17" hidden="1">
      <c r="B21" s="96">
        <f>+IF('[1]1_ENTREGA'!A15="","",'[1]1_ENTREGA'!A15)</f>
        <v>8</v>
      </c>
      <c r="C21" s="886">
        <f t="shared" si="3"/>
        <v>0</v>
      </c>
      <c r="D21" s="887"/>
      <c r="E21" s="888"/>
      <c r="F21" s="97" t="str">
        <f t="shared" ca="1" si="0"/>
        <v xml:space="preserve"> </v>
      </c>
      <c r="G21" s="98">
        <f t="shared" ca="1" si="4"/>
        <v>0</v>
      </c>
      <c r="H21" s="99">
        <f t="shared" ca="1" si="5"/>
        <v>0</v>
      </c>
      <c r="I21" s="100">
        <f t="shared" ca="1" si="6"/>
        <v>100</v>
      </c>
      <c r="J21" s="100" t="str">
        <f t="shared" ca="1" si="7"/>
        <v/>
      </c>
      <c r="K21" s="100" t="str">
        <f t="shared" ca="1" si="8"/>
        <v/>
      </c>
      <c r="L21" s="100" t="str">
        <f t="shared" ca="1" si="9"/>
        <v xml:space="preserve"> </v>
      </c>
      <c r="M21" s="100"/>
      <c r="N21" s="101">
        <f t="shared" ca="1" si="10"/>
        <v>100</v>
      </c>
      <c r="O21" s="102" t="str">
        <f t="shared" ca="1" si="1"/>
        <v xml:space="preserve"> </v>
      </c>
      <c r="P21" s="889">
        <f>+RESUMEN!I12</f>
        <v>0</v>
      </c>
      <c r="Q21" s="890"/>
      <c r="R21" s="891"/>
      <c r="U21" s="104">
        <f t="shared" ca="1" si="2"/>
        <v>100</v>
      </c>
      <c r="V21" s="105">
        <v>8</v>
      </c>
    </row>
    <row r="22" spans="2:22" s="103" customFormat="1" ht="15" hidden="1" customHeight="1">
      <c r="B22" s="96">
        <f>+IF('[1]1_ENTREGA'!A16="","",'[1]1_ENTREGA'!A16)</f>
        <v>9</v>
      </c>
      <c r="C22" s="886">
        <f t="shared" si="3"/>
        <v>0</v>
      </c>
      <c r="D22" s="887"/>
      <c r="E22" s="888"/>
      <c r="F22" s="97" t="str">
        <f t="shared" ca="1" si="0"/>
        <v xml:space="preserve"> </v>
      </c>
      <c r="G22" s="98">
        <f t="shared" ca="1" si="4"/>
        <v>0</v>
      </c>
      <c r="H22" s="99">
        <f t="shared" ca="1" si="5"/>
        <v>0</v>
      </c>
      <c r="I22" s="100">
        <f t="shared" ca="1" si="6"/>
        <v>100</v>
      </c>
      <c r="J22" s="100" t="str">
        <f t="shared" ca="1" si="7"/>
        <v/>
      </c>
      <c r="K22" s="100" t="str">
        <f t="shared" ca="1" si="8"/>
        <v/>
      </c>
      <c r="L22" s="100" t="str">
        <f t="shared" ca="1" si="9"/>
        <v xml:space="preserve"> </v>
      </c>
      <c r="M22" s="100"/>
      <c r="N22" s="101">
        <f t="shared" ca="1" si="10"/>
        <v>100</v>
      </c>
      <c r="O22" s="102" t="str">
        <f t="shared" ca="1" si="1"/>
        <v xml:space="preserve"> </v>
      </c>
      <c r="P22" s="889">
        <f>+RESUMEN!I13</f>
        <v>0</v>
      </c>
      <c r="Q22" s="890"/>
      <c r="R22" s="891"/>
      <c r="U22" s="104">
        <f t="shared" ca="1" si="2"/>
        <v>100</v>
      </c>
      <c r="V22" s="105">
        <v>9</v>
      </c>
    </row>
    <row r="23" spans="2:22" s="103" customFormat="1" ht="17" hidden="1">
      <c r="B23" s="96">
        <f>+IF('[1]1_ENTREGA'!A17="","",'[1]1_ENTREGA'!A17)</f>
        <v>10</v>
      </c>
      <c r="C23" s="886">
        <f t="shared" si="3"/>
        <v>0</v>
      </c>
      <c r="D23" s="887"/>
      <c r="E23" s="888"/>
      <c r="F23" s="97" t="str">
        <f t="shared" ca="1" si="0"/>
        <v xml:space="preserve"> </v>
      </c>
      <c r="G23" s="98">
        <f t="shared" ca="1" si="4"/>
        <v>0</v>
      </c>
      <c r="H23" s="99">
        <f t="shared" ca="1" si="5"/>
        <v>0</v>
      </c>
      <c r="I23" s="100">
        <f t="shared" ca="1" si="6"/>
        <v>100</v>
      </c>
      <c r="J23" s="100" t="str">
        <f t="shared" ca="1" si="7"/>
        <v/>
      </c>
      <c r="K23" s="100" t="str">
        <f t="shared" ca="1" si="8"/>
        <v/>
      </c>
      <c r="L23" s="100" t="str">
        <f t="shared" ca="1" si="9"/>
        <v xml:space="preserve"> </v>
      </c>
      <c r="M23" s="100"/>
      <c r="N23" s="101">
        <f t="shared" ca="1" si="10"/>
        <v>100</v>
      </c>
      <c r="O23" s="102" t="str">
        <f t="shared" ca="1" si="1"/>
        <v xml:space="preserve"> </v>
      </c>
      <c r="P23" s="889">
        <f>+RESUMEN!I14</f>
        <v>0</v>
      </c>
      <c r="Q23" s="890"/>
      <c r="R23" s="891"/>
      <c r="U23" s="104">
        <f t="shared" ca="1" si="2"/>
        <v>100</v>
      </c>
      <c r="V23" s="105">
        <v>10</v>
      </c>
    </row>
    <row r="24" spans="2:22" s="103" customFormat="1" ht="17" hidden="1">
      <c r="B24" s="96">
        <f>+IF('[1]1_ENTREGA'!A18="","",'[1]1_ENTREGA'!A18)</f>
        <v>11</v>
      </c>
      <c r="C24" s="886">
        <f t="shared" si="3"/>
        <v>0</v>
      </c>
      <c r="D24" s="887"/>
      <c r="E24" s="888"/>
      <c r="F24" s="97" t="str">
        <f t="shared" ca="1" si="0"/>
        <v xml:space="preserve"> </v>
      </c>
      <c r="G24" s="98">
        <f t="shared" ca="1" si="4"/>
        <v>0</v>
      </c>
      <c r="H24" s="99">
        <f t="shared" ca="1" si="5"/>
        <v>0</v>
      </c>
      <c r="I24" s="100">
        <f t="shared" ca="1" si="6"/>
        <v>100</v>
      </c>
      <c r="J24" s="100" t="str">
        <f t="shared" ca="1" si="7"/>
        <v/>
      </c>
      <c r="K24" s="100" t="str">
        <f t="shared" ca="1" si="8"/>
        <v/>
      </c>
      <c r="L24" s="100" t="str">
        <f t="shared" ca="1" si="9"/>
        <v xml:space="preserve"> </v>
      </c>
      <c r="M24" s="100"/>
      <c r="N24" s="101">
        <f t="shared" ca="1" si="10"/>
        <v>100</v>
      </c>
      <c r="O24" s="102" t="str">
        <f t="shared" ca="1" si="1"/>
        <v xml:space="preserve"> </v>
      </c>
      <c r="P24" s="889">
        <f>+RESUMEN!I15</f>
        <v>0</v>
      </c>
      <c r="Q24" s="890"/>
      <c r="R24" s="891"/>
      <c r="U24" s="104">
        <f t="shared" ca="1" si="2"/>
        <v>100</v>
      </c>
      <c r="V24" s="105">
        <v>11</v>
      </c>
    </row>
    <row r="25" spans="2:22" s="103" customFormat="1" ht="17" hidden="1">
      <c r="B25" s="96">
        <f>+IF('[1]1_ENTREGA'!A19="","",'[1]1_ENTREGA'!A19)</f>
        <v>12</v>
      </c>
      <c r="C25" s="886">
        <f t="shared" si="3"/>
        <v>0</v>
      </c>
      <c r="D25" s="887"/>
      <c r="E25" s="888"/>
      <c r="F25" s="97" t="str">
        <f t="shared" ca="1" si="0"/>
        <v xml:space="preserve"> </v>
      </c>
      <c r="G25" s="98">
        <f t="shared" ca="1" si="4"/>
        <v>0</v>
      </c>
      <c r="H25" s="99">
        <f t="shared" ca="1" si="5"/>
        <v>0</v>
      </c>
      <c r="I25" s="100">
        <f t="shared" ca="1" si="6"/>
        <v>100</v>
      </c>
      <c r="J25" s="100" t="str">
        <f t="shared" ca="1" si="7"/>
        <v/>
      </c>
      <c r="K25" s="100" t="str">
        <f t="shared" ca="1" si="8"/>
        <v/>
      </c>
      <c r="L25" s="100" t="str">
        <f t="shared" ca="1" si="9"/>
        <v xml:space="preserve"> </v>
      </c>
      <c r="M25" s="100"/>
      <c r="N25" s="101">
        <f t="shared" ca="1" si="10"/>
        <v>100</v>
      </c>
      <c r="O25" s="102" t="str">
        <f t="shared" ca="1" si="1"/>
        <v xml:space="preserve"> </v>
      </c>
      <c r="P25" s="889">
        <f>+RESUMEN!I16</f>
        <v>0</v>
      </c>
      <c r="Q25" s="890"/>
      <c r="R25" s="891"/>
      <c r="U25" s="104">
        <f t="shared" ca="1" si="2"/>
        <v>100</v>
      </c>
      <c r="V25" s="105">
        <v>12</v>
      </c>
    </row>
    <row r="26" spans="2:22" s="103" customFormat="1" ht="147" hidden="1" customHeight="1">
      <c r="B26" s="96">
        <f>+IF('[1]1_ENTREGA'!A20="","",'[1]1_ENTREGA'!A20)</f>
        <v>13</v>
      </c>
      <c r="C26" s="886">
        <f t="shared" si="3"/>
        <v>0</v>
      </c>
      <c r="D26" s="887"/>
      <c r="E26" s="888"/>
      <c r="F26" s="97" t="str">
        <f t="shared" ca="1" si="0"/>
        <v xml:space="preserve"> </v>
      </c>
      <c r="G26" s="98">
        <f t="shared" ca="1" si="4"/>
        <v>0</v>
      </c>
      <c r="H26" s="99">
        <f t="shared" ca="1" si="5"/>
        <v>0</v>
      </c>
      <c r="I26" s="100">
        <f t="shared" ca="1" si="6"/>
        <v>100</v>
      </c>
      <c r="J26" s="100" t="str">
        <f t="shared" ca="1" si="7"/>
        <v/>
      </c>
      <c r="K26" s="100" t="str">
        <f t="shared" ca="1" si="8"/>
        <v/>
      </c>
      <c r="L26" s="100" t="str">
        <f t="shared" ca="1" si="9"/>
        <v xml:space="preserve"> </v>
      </c>
      <c r="M26" s="100"/>
      <c r="N26" s="101">
        <f t="shared" ca="1" si="10"/>
        <v>100</v>
      </c>
      <c r="O26" s="102" t="str">
        <f t="shared" ca="1" si="1"/>
        <v xml:space="preserve"> </v>
      </c>
      <c r="P26" s="889">
        <f>+RESUMEN!I17</f>
        <v>0</v>
      </c>
      <c r="Q26" s="890"/>
      <c r="R26" s="891"/>
      <c r="U26" s="104">
        <f t="shared" ca="1" si="2"/>
        <v>100</v>
      </c>
      <c r="V26" s="105">
        <v>13</v>
      </c>
    </row>
    <row r="27" spans="2:22" s="103" customFormat="1" ht="17" hidden="1">
      <c r="B27" s="96">
        <f>+IF('[1]1_ENTREGA'!A21="","",'[1]1_ENTREGA'!A21)</f>
        <v>14</v>
      </c>
      <c r="C27" s="886">
        <f t="shared" si="3"/>
        <v>0</v>
      </c>
      <c r="D27" s="887"/>
      <c r="E27" s="888"/>
      <c r="F27" s="97" t="str">
        <f t="shared" ca="1" si="0"/>
        <v xml:space="preserve"> </v>
      </c>
      <c r="G27" s="98">
        <f t="shared" ca="1" si="4"/>
        <v>0</v>
      </c>
      <c r="H27" s="99">
        <f t="shared" ca="1" si="5"/>
        <v>0</v>
      </c>
      <c r="I27" s="100">
        <f t="shared" ca="1" si="6"/>
        <v>100</v>
      </c>
      <c r="J27" s="100" t="str">
        <f t="shared" ca="1" si="7"/>
        <v/>
      </c>
      <c r="K27" s="100" t="str">
        <f t="shared" ca="1" si="8"/>
        <v/>
      </c>
      <c r="L27" s="100" t="str">
        <f t="shared" ca="1" si="9"/>
        <v xml:space="preserve"> </v>
      </c>
      <c r="M27" s="100"/>
      <c r="N27" s="101">
        <f t="shared" ca="1" si="10"/>
        <v>100</v>
      </c>
      <c r="O27" s="102" t="str">
        <f t="shared" ca="1" si="1"/>
        <v xml:space="preserve"> </v>
      </c>
      <c r="P27" s="889">
        <f>+RESUMEN!I18</f>
        <v>0</v>
      </c>
      <c r="Q27" s="890"/>
      <c r="R27" s="891"/>
      <c r="U27" s="104" t="str">
        <f t="shared" ca="1" si="2"/>
        <v xml:space="preserve"> </v>
      </c>
      <c r="V27" s="105">
        <v>14</v>
      </c>
    </row>
    <row r="28" spans="2:22" s="103" customFormat="1" ht="17" hidden="1">
      <c r="B28" s="96">
        <f>+IF('[1]1_ENTREGA'!A22="","",'[1]1_ENTREGA'!A22)</f>
        <v>15</v>
      </c>
      <c r="C28" s="886">
        <f t="shared" si="3"/>
        <v>0</v>
      </c>
      <c r="D28" s="887"/>
      <c r="E28" s="888"/>
      <c r="F28" s="97" t="str">
        <f t="shared" si="0"/>
        <v xml:space="preserve"> </v>
      </c>
      <c r="G28" s="98">
        <f t="shared" ca="1" si="4"/>
        <v>0</v>
      </c>
      <c r="H28" s="99" t="e">
        <f t="shared" si="5"/>
        <v>#N/A</v>
      </c>
      <c r="I28" s="100">
        <f t="shared" ca="1" si="6"/>
        <v>100</v>
      </c>
      <c r="J28" s="100" t="str">
        <f t="shared" si="7"/>
        <v/>
      </c>
      <c r="K28" s="100" t="str">
        <f t="shared" si="8"/>
        <v/>
      </c>
      <c r="L28" s="100" t="str">
        <f t="shared" si="9"/>
        <v xml:space="preserve"> </v>
      </c>
      <c r="M28" s="100"/>
      <c r="N28" s="101">
        <f t="shared" ca="1" si="10"/>
        <v>100</v>
      </c>
      <c r="O28" s="102" t="str">
        <f t="shared" si="1"/>
        <v xml:space="preserve"> </v>
      </c>
      <c r="P28" s="898"/>
      <c r="Q28" s="899"/>
      <c r="R28" s="900"/>
      <c r="U28" s="104" t="str">
        <f t="shared" ca="1" si="2"/>
        <v xml:space="preserve"> </v>
      </c>
      <c r="V28" s="105">
        <v>15</v>
      </c>
    </row>
    <row r="29" spans="2:22" s="103" customFormat="1" ht="17" hidden="1">
      <c r="B29" s="96">
        <f>+IF('[1]1_ENTREGA'!A23="","",'[1]1_ENTREGA'!A23)</f>
        <v>16</v>
      </c>
      <c r="C29" s="886">
        <f t="shared" si="3"/>
        <v>0</v>
      </c>
      <c r="D29" s="887"/>
      <c r="E29" s="888"/>
      <c r="F29" s="97" t="str">
        <f t="shared" si="0"/>
        <v xml:space="preserve"> </v>
      </c>
      <c r="G29" s="98">
        <f t="shared" ca="1" si="4"/>
        <v>0</v>
      </c>
      <c r="H29" s="99" t="e">
        <f t="shared" si="5"/>
        <v>#N/A</v>
      </c>
      <c r="I29" s="100">
        <f t="shared" ca="1" si="6"/>
        <v>100</v>
      </c>
      <c r="J29" s="100" t="str">
        <f t="shared" si="7"/>
        <v/>
      </c>
      <c r="K29" s="100" t="str">
        <f t="shared" si="8"/>
        <v/>
      </c>
      <c r="L29" s="100" t="str">
        <f t="shared" si="9"/>
        <v xml:space="preserve"> </v>
      </c>
      <c r="M29" s="100"/>
      <c r="N29" s="101">
        <f t="shared" ca="1" si="10"/>
        <v>100</v>
      </c>
      <c r="O29" s="102" t="str">
        <f t="shared" si="1"/>
        <v xml:space="preserve"> </v>
      </c>
      <c r="P29" s="898"/>
      <c r="Q29" s="899"/>
      <c r="R29" s="900"/>
      <c r="U29" s="104" t="str">
        <f t="shared" ca="1" si="2"/>
        <v xml:space="preserve"> </v>
      </c>
      <c r="V29" s="105">
        <v>16</v>
      </c>
    </row>
    <row r="30" spans="2:22" s="103" customFormat="1" ht="17" hidden="1">
      <c r="B30" s="96">
        <f>+IF('[1]1_ENTREGA'!A24="","",'[1]1_ENTREGA'!A24)</f>
        <v>17</v>
      </c>
      <c r="C30" s="886">
        <f t="shared" ref="C30" si="11">IF(B30="","",VLOOKUP(B30,LISTA_OFERENTES,2,FALSE))</f>
        <v>0</v>
      </c>
      <c r="D30" s="887"/>
      <c r="E30" s="888"/>
      <c r="F30" s="97" t="str">
        <f t="shared" si="0"/>
        <v xml:space="preserve"> </v>
      </c>
      <c r="G30" s="98">
        <f t="shared" ca="1" si="4"/>
        <v>0</v>
      </c>
      <c r="H30" s="99" t="e">
        <f t="shared" si="5"/>
        <v>#N/A</v>
      </c>
      <c r="I30" s="100">
        <f t="shared" ca="1" si="6"/>
        <v>100</v>
      </c>
      <c r="J30" s="100" t="str">
        <f t="shared" si="7"/>
        <v/>
      </c>
      <c r="K30" s="100" t="str">
        <f t="shared" si="8"/>
        <v/>
      </c>
      <c r="L30" s="100" t="str">
        <f t="shared" si="9"/>
        <v xml:space="preserve"> </v>
      </c>
      <c r="M30" s="100"/>
      <c r="N30" s="101">
        <f t="shared" ca="1" si="10"/>
        <v>100</v>
      </c>
      <c r="O30" s="102" t="str">
        <f t="shared" si="1"/>
        <v xml:space="preserve"> </v>
      </c>
      <c r="P30" s="197"/>
      <c r="Q30" s="198"/>
      <c r="R30" s="199"/>
      <c r="U30" s="104" t="str">
        <f t="shared" ca="1" si="2"/>
        <v xml:space="preserve"> </v>
      </c>
      <c r="V30" s="105">
        <v>17</v>
      </c>
    </row>
    <row r="31" spans="2:22">
      <c r="G31" s="210"/>
      <c r="I31" s="81" t="str">
        <f t="shared" si="6"/>
        <v/>
      </c>
    </row>
    <row r="32" spans="2:22">
      <c r="F32" s="81" t="s">
        <v>92</v>
      </c>
    </row>
    <row r="33" spans="7:13" ht="12" customHeight="1"/>
    <row r="34" spans="7:13" hidden="1">
      <c r="G34" s="81" t="s">
        <v>158</v>
      </c>
      <c r="H34" s="205">
        <f ca="1">AVERAGE(G14:G27)</f>
        <v>0</v>
      </c>
    </row>
    <row r="35" spans="7:13" hidden="1">
      <c r="G35" s="81" t="s">
        <v>159</v>
      </c>
      <c r="H35" s="205">
        <f ca="1">_xlfn.STDEV.P(G14:G27)</f>
        <v>0</v>
      </c>
      <c r="K35" s="285"/>
      <c r="L35" s="106"/>
      <c r="M35" s="106"/>
    </row>
    <row r="36" spans="7:13" hidden="1">
      <c r="G36" s="81" t="s">
        <v>148</v>
      </c>
      <c r="H36" s="205">
        <f ca="1">+H34+(H35/2)</f>
        <v>0</v>
      </c>
      <c r="I36" s="205"/>
      <c r="J36" s="205"/>
      <c r="K36" s="205"/>
    </row>
    <row r="37" spans="7:13" hidden="1">
      <c r="G37" s="81" t="s">
        <v>149</v>
      </c>
      <c r="H37" s="205">
        <f ca="1">H34-(H35/2)</f>
        <v>0</v>
      </c>
      <c r="K37" s="205"/>
    </row>
    <row r="39" spans="7:13">
      <c r="G39" s="206"/>
    </row>
    <row r="40" spans="7:13">
      <c r="G40" s="206"/>
    </row>
    <row r="41" spans="7:13">
      <c r="G41" s="207"/>
    </row>
  </sheetData>
  <sheetProtection algorithmName="SHA-512" hashValue="9HFZuFnvmSeaarJPUF2iy0hcTWhu9AF5PqrPyWojXqUI0G1qvaY6FGBUJndHJNCwayUPk8vFfiLTJPXShsYhuQ==" saltValue="+JOu6JRgRQIpWKsyCrQRTw==" spinCount="100000" sheet="1" objects="1" scenarios="1"/>
  <mergeCells count="51">
    <mergeCell ref="C30:E30"/>
    <mergeCell ref="C27:E27"/>
    <mergeCell ref="P27:R27"/>
    <mergeCell ref="C28:E28"/>
    <mergeCell ref="P28:R28"/>
    <mergeCell ref="C29:E29"/>
    <mergeCell ref="P29:R29"/>
    <mergeCell ref="C24:E24"/>
    <mergeCell ref="P24:R24"/>
    <mergeCell ref="C25:E25"/>
    <mergeCell ref="P25:R25"/>
    <mergeCell ref="C26:E26"/>
    <mergeCell ref="P26:R26"/>
    <mergeCell ref="C21:E21"/>
    <mergeCell ref="P21:R21"/>
    <mergeCell ref="C22:E22"/>
    <mergeCell ref="P22:R22"/>
    <mergeCell ref="C23:E23"/>
    <mergeCell ref="P23:R23"/>
    <mergeCell ref="C18:E18"/>
    <mergeCell ref="P18:R18"/>
    <mergeCell ref="C19:E19"/>
    <mergeCell ref="P19:R19"/>
    <mergeCell ref="C20:E20"/>
    <mergeCell ref="P20:R20"/>
    <mergeCell ref="B10:C10"/>
    <mergeCell ref="I11:L11"/>
    <mergeCell ref="C13:E13"/>
    <mergeCell ref="P13:R13"/>
    <mergeCell ref="C17:E17"/>
    <mergeCell ref="P17:R17"/>
    <mergeCell ref="U13:V13"/>
    <mergeCell ref="C15:E15"/>
    <mergeCell ref="P15:R15"/>
    <mergeCell ref="C16:E16"/>
    <mergeCell ref="P16:R16"/>
    <mergeCell ref="C14:E14"/>
    <mergeCell ref="P14:R14"/>
    <mergeCell ref="B2:R2"/>
    <mergeCell ref="B3:R3"/>
    <mergeCell ref="B4:R4"/>
    <mergeCell ref="B5:R5"/>
    <mergeCell ref="B7:C7"/>
    <mergeCell ref="E7:G7"/>
    <mergeCell ref="H7:L7"/>
    <mergeCell ref="B8:C8"/>
    <mergeCell ref="F8:G8"/>
    <mergeCell ref="I8:J8"/>
    <mergeCell ref="K8:L8"/>
    <mergeCell ref="B9:C9"/>
    <mergeCell ref="F9:G9"/>
  </mergeCells>
  <conditionalFormatting sqref="O14:O30">
    <cfRule type="cellIs" dxfId="2" priority="3" operator="equal">
      <formula>1</formula>
    </cfRule>
  </conditionalFormatting>
  <conditionalFormatting sqref="F14:F30">
    <cfRule type="cellIs" dxfId="1" priority="1" operator="equal">
      <formula>"NH"</formula>
    </cfRule>
    <cfRule type="cellIs" dxfId="0" priority="2" operator="equal">
      <formula>"H"</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opLeftCell="A4" zoomScale="85" zoomScaleNormal="85" workbookViewId="0">
      <selection activeCell="I9" sqref="I9"/>
    </sheetView>
  </sheetViews>
  <sheetFormatPr baseColWidth="10" defaultColWidth="11.5" defaultRowHeight="14"/>
  <cols>
    <col min="1" max="1" width="3.5" style="8" bestFit="1" customWidth="1"/>
    <col min="2" max="2" width="36.1640625" style="8" customWidth="1"/>
    <col min="3" max="3" width="45.5" style="8" customWidth="1"/>
    <col min="4" max="4" width="23" style="8" customWidth="1"/>
    <col min="5" max="5" width="22.6640625" style="8" customWidth="1"/>
    <col min="6" max="6" width="24" style="8" customWidth="1"/>
    <col min="7" max="7" width="20.5" style="8" customWidth="1"/>
    <col min="8" max="8" width="28.5" style="8" customWidth="1"/>
    <col min="9" max="9" width="40.1640625" style="8" customWidth="1"/>
    <col min="10" max="16384" width="11.5" style="8"/>
  </cols>
  <sheetData>
    <row r="1" spans="1:10" ht="34.5" customHeight="1">
      <c r="A1" s="518"/>
      <c r="B1" s="520" t="s">
        <v>0</v>
      </c>
      <c r="C1" s="520"/>
      <c r="D1" s="520"/>
      <c r="E1" s="520"/>
      <c r="F1" s="520"/>
      <c r="G1" s="520"/>
      <c r="H1" s="520"/>
      <c r="I1" s="521"/>
    </row>
    <row r="2" spans="1:10" ht="32.25" customHeight="1">
      <c r="A2" s="519"/>
      <c r="B2" s="522" t="str">
        <f>+'1_ENTREGA'!A2</f>
        <v>Invitación Pública N°  VA-036-2021</v>
      </c>
      <c r="C2" s="522"/>
      <c r="D2" s="522"/>
      <c r="E2" s="522"/>
      <c r="F2" s="522"/>
      <c r="G2" s="522"/>
      <c r="H2" s="522"/>
      <c r="I2" s="523"/>
    </row>
    <row r="3" spans="1:10" ht="70.5" customHeight="1">
      <c r="A3" s="519"/>
      <c r="B3" s="524"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 la Nueva Infraestructura Ciudadela Luis Javier Arroyave Morales etapa 1, ubicada en el Municipio de Medellín.</v>
      </c>
      <c r="C3" s="524"/>
      <c r="D3" s="524"/>
      <c r="E3" s="524"/>
      <c r="F3" s="524"/>
      <c r="G3" s="524"/>
      <c r="H3" s="524"/>
      <c r="I3" s="525"/>
    </row>
    <row r="4" spans="1:10" ht="18" customHeight="1">
      <c r="A4" s="526" t="s">
        <v>5</v>
      </c>
      <c r="B4" s="527"/>
      <c r="C4" s="527"/>
      <c r="D4" s="527"/>
      <c r="E4" s="527"/>
      <c r="F4" s="527"/>
      <c r="G4" s="527"/>
      <c r="H4" s="527"/>
      <c r="I4" s="528"/>
    </row>
    <row r="5" spans="1:10" ht="33" customHeight="1">
      <c r="A5" s="529" t="s">
        <v>167</v>
      </c>
      <c r="B5" s="530"/>
      <c r="C5" s="531"/>
      <c r="D5" s="161"/>
      <c r="E5" s="9"/>
      <c r="F5" s="9"/>
      <c r="G5" s="9"/>
      <c r="H5" s="9"/>
      <c r="I5" s="10"/>
    </row>
    <row r="6" spans="1:10" ht="33" customHeight="1" thickBot="1">
      <c r="A6" s="532" t="s">
        <v>168</v>
      </c>
      <c r="B6" s="533"/>
      <c r="C6" s="534"/>
      <c r="D6" s="212"/>
      <c r="E6" s="213"/>
      <c r="F6" s="213"/>
      <c r="G6" s="213"/>
      <c r="H6" s="213"/>
      <c r="I6" s="214"/>
    </row>
    <row r="7" spans="1:10" ht="30">
      <c r="A7" s="219" t="s">
        <v>6</v>
      </c>
      <c r="B7" s="224" t="s">
        <v>7</v>
      </c>
      <c r="C7" s="225" t="s">
        <v>8</v>
      </c>
      <c r="D7" s="223" t="s">
        <v>9</v>
      </c>
      <c r="E7" s="223" t="s">
        <v>131</v>
      </c>
      <c r="F7" s="223" t="s">
        <v>170</v>
      </c>
      <c r="G7" s="223" t="s">
        <v>171</v>
      </c>
      <c r="H7" s="223" t="s">
        <v>172</v>
      </c>
      <c r="I7" s="226" t="s">
        <v>10</v>
      </c>
    </row>
    <row r="8" spans="1:10" ht="133.5" customHeight="1">
      <c r="A8" s="220">
        <f>IF('[1]1_ENTREGA'!A8="","",'[1]1_ENTREGA'!A8)</f>
        <v>1</v>
      </c>
      <c r="B8" s="301">
        <v>44473.644884259258</v>
      </c>
      <c r="C8" s="203" t="str">
        <f t="shared" ref="C8:C21" si="0">IF(A8="","",VLOOKUP(A8,LISTA_OFERENTES,2,FALSE))</f>
        <v>KER INGENIERIA S.A.S.</v>
      </c>
      <c r="D8" s="222">
        <v>900427442</v>
      </c>
      <c r="E8" s="300">
        <v>100002</v>
      </c>
      <c r="F8" s="298">
        <v>164838000</v>
      </c>
      <c r="G8" s="297" t="s">
        <v>176</v>
      </c>
      <c r="H8" s="298">
        <v>531229328</v>
      </c>
      <c r="I8" s="203" t="s">
        <v>322</v>
      </c>
    </row>
    <row r="9" spans="1:10" ht="134.25" customHeight="1">
      <c r="A9" s="220">
        <f>IF('[1]1_ENTREGA'!A9="","",'[1]1_ENTREGA'!A9)</f>
        <v>2</v>
      </c>
      <c r="B9" s="301">
        <v>44480.404814814814</v>
      </c>
      <c r="C9" s="203" t="str">
        <f>IF(A9="","",VLOOKUP(A9,LISTA_OFERENTES,2,FALSE))</f>
        <v>UNIÓN TEMPORAL SUPERVISOR 2021</v>
      </c>
      <c r="D9" s="222">
        <v>52553958</v>
      </c>
      <c r="E9" s="300" t="s">
        <v>177</v>
      </c>
      <c r="F9" s="298">
        <v>254318325</v>
      </c>
      <c r="G9" s="297" t="s">
        <v>173</v>
      </c>
      <c r="H9" s="299">
        <v>670870987.08000004</v>
      </c>
      <c r="I9" s="203" t="s">
        <v>267</v>
      </c>
    </row>
    <row r="10" spans="1:10" ht="28.5" customHeight="1">
      <c r="A10" s="220">
        <f>IF('[1]1_ENTREGA'!A10="","",'[1]1_ENTREGA'!A10)</f>
        <v>3</v>
      </c>
      <c r="B10" s="301">
        <v>44480.52447916667</v>
      </c>
      <c r="C10" s="203" t="str">
        <f t="shared" si="0"/>
        <v>PreVeo S.A.S.</v>
      </c>
      <c r="D10" s="222">
        <v>9003464841</v>
      </c>
      <c r="E10" s="300" t="s">
        <v>178</v>
      </c>
      <c r="F10" s="298">
        <v>216526278</v>
      </c>
      <c r="G10" s="297" t="s">
        <v>174</v>
      </c>
      <c r="H10" s="298">
        <v>667717654</v>
      </c>
      <c r="I10" s="203"/>
    </row>
    <row r="11" spans="1:10" ht="21.75" customHeight="1">
      <c r="A11" s="220">
        <f>IF('[1]1_ENTREGA'!A11="","",'[1]1_ENTREGA'!A11)</f>
        <v>4</v>
      </c>
      <c r="B11" s="301">
        <v>44480.585763888892</v>
      </c>
      <c r="C11" s="203" t="str">
        <f t="shared" si="0"/>
        <v>INTERVE S.A.S.</v>
      </c>
      <c r="D11" s="222">
        <v>8909206568</v>
      </c>
      <c r="E11" s="300">
        <v>100152466</v>
      </c>
      <c r="F11" s="298">
        <v>228608250</v>
      </c>
      <c r="G11" s="297" t="s">
        <v>175</v>
      </c>
      <c r="H11" s="298">
        <v>660997162</v>
      </c>
      <c r="I11" s="203"/>
      <c r="J11" s="160"/>
    </row>
    <row r="12" spans="1:10" ht="28.5" hidden="1" customHeight="1" thickBot="1">
      <c r="A12" s="220">
        <f>IF('[1]1_ENTREGA'!A12="","",'[1]1_ENTREGA'!A12)</f>
        <v>5</v>
      </c>
      <c r="B12" s="290"/>
      <c r="C12" s="291">
        <f t="shared" si="0"/>
        <v>0</v>
      </c>
      <c r="D12" s="292"/>
      <c r="E12" s="232"/>
      <c r="F12" s="293"/>
      <c r="G12" s="294"/>
      <c r="H12" s="295"/>
      <c r="I12" s="296"/>
      <c r="J12" s="160"/>
    </row>
    <row r="13" spans="1:10" ht="28.5" hidden="1" customHeight="1" thickBot="1">
      <c r="A13" s="220">
        <f>IF('[1]1_ENTREGA'!A13="","",'[1]1_ENTREGA'!A13)</f>
        <v>6</v>
      </c>
      <c r="B13" s="227"/>
      <c r="C13" s="203">
        <f t="shared" si="0"/>
        <v>0</v>
      </c>
      <c r="D13" s="222"/>
      <c r="E13" s="232"/>
      <c r="F13" s="215"/>
      <c r="G13" s="231"/>
      <c r="H13" s="216"/>
      <c r="I13" s="217"/>
    </row>
    <row r="14" spans="1:10" ht="28.5" hidden="1" customHeight="1" thickBot="1">
      <c r="A14" s="220">
        <f>IF('[1]1_ENTREGA'!A14="","",'[1]1_ENTREGA'!A14)</f>
        <v>7</v>
      </c>
      <c r="B14" s="227"/>
      <c r="C14" s="203">
        <f t="shared" si="0"/>
        <v>0</v>
      </c>
      <c r="D14" s="222"/>
      <c r="E14" s="232"/>
      <c r="F14" s="215"/>
      <c r="G14" s="231"/>
      <c r="H14" s="216"/>
      <c r="I14" s="217"/>
    </row>
    <row r="15" spans="1:10" ht="28.5" hidden="1" customHeight="1" thickBot="1">
      <c r="A15" s="220">
        <f>IF('[1]1_ENTREGA'!A15="","",'[1]1_ENTREGA'!A15)</f>
        <v>8</v>
      </c>
      <c r="B15" s="227"/>
      <c r="C15" s="203">
        <f t="shared" si="0"/>
        <v>0</v>
      </c>
      <c r="D15" s="222"/>
      <c r="E15" s="232"/>
      <c r="F15" s="215"/>
      <c r="G15" s="231"/>
      <c r="H15" s="216"/>
      <c r="I15" s="217"/>
    </row>
    <row r="16" spans="1:10" ht="28.5" hidden="1" customHeight="1" thickBot="1">
      <c r="A16" s="220">
        <f>IF('[1]1_ENTREGA'!A16="","",'[1]1_ENTREGA'!A16)</f>
        <v>9</v>
      </c>
      <c r="B16" s="227"/>
      <c r="C16" s="203">
        <f t="shared" si="0"/>
        <v>0</v>
      </c>
      <c r="D16" s="222"/>
      <c r="E16" s="232"/>
      <c r="F16" s="215"/>
      <c r="G16" s="231"/>
      <c r="H16" s="216"/>
      <c r="I16" s="217"/>
    </row>
    <row r="17" spans="1:9" ht="28.5" hidden="1" customHeight="1" thickBot="1">
      <c r="A17" s="220">
        <f>IF('[1]1_ENTREGA'!A17="","",'[1]1_ENTREGA'!A17)</f>
        <v>10</v>
      </c>
      <c r="B17" s="227"/>
      <c r="C17" s="203">
        <f t="shared" si="0"/>
        <v>0</v>
      </c>
      <c r="D17" s="222"/>
      <c r="E17" s="232"/>
      <c r="F17" s="215"/>
      <c r="G17" s="231"/>
      <c r="H17" s="216"/>
      <c r="I17" s="217"/>
    </row>
    <row r="18" spans="1:9" ht="28.5" hidden="1" customHeight="1" thickBot="1">
      <c r="A18" s="220">
        <f>IF('[1]1_ENTREGA'!A18="","",'[1]1_ENTREGA'!A18)</f>
        <v>11</v>
      </c>
      <c r="B18" s="227"/>
      <c r="C18" s="203">
        <f t="shared" si="0"/>
        <v>0</v>
      </c>
      <c r="D18" s="222"/>
      <c r="E18" s="233"/>
      <c r="F18" s="215"/>
      <c r="G18" s="231"/>
      <c r="H18" s="216"/>
      <c r="I18" s="217"/>
    </row>
    <row r="19" spans="1:9" ht="28.5" hidden="1" customHeight="1" thickBot="1">
      <c r="A19" s="220">
        <f>IF('[1]1_ENTREGA'!A19="","",'[1]1_ENTREGA'!A19)</f>
        <v>12</v>
      </c>
      <c r="B19" s="227"/>
      <c r="C19" s="203">
        <f t="shared" si="0"/>
        <v>0</v>
      </c>
      <c r="D19" s="222"/>
      <c r="E19" s="232"/>
      <c r="F19" s="215"/>
      <c r="G19" s="231"/>
      <c r="H19" s="216"/>
      <c r="I19" s="217"/>
    </row>
    <row r="20" spans="1:9" ht="28.5" hidden="1" customHeight="1" thickBot="1">
      <c r="A20" s="220">
        <f>IF('[1]1_ENTREGA'!A20="","",'[1]1_ENTREGA'!A20)</f>
        <v>13</v>
      </c>
      <c r="B20" s="227"/>
      <c r="C20" s="203">
        <f t="shared" si="0"/>
        <v>0</v>
      </c>
      <c r="D20" s="222"/>
      <c r="E20" s="232"/>
      <c r="F20" s="215"/>
      <c r="G20" s="231"/>
      <c r="H20" s="216"/>
      <c r="I20" s="217"/>
    </row>
    <row r="21" spans="1:9" ht="28.5" hidden="1" customHeight="1" thickBot="1">
      <c r="A21" s="221">
        <f>IF('[1]1_ENTREGA'!A21="","",'[1]1_ENTREGA'!A21)</f>
        <v>14</v>
      </c>
      <c r="B21" s="228"/>
      <c r="C21" s="229">
        <f t="shared" si="0"/>
        <v>0</v>
      </c>
      <c r="D21" s="230"/>
      <c r="E21" s="232"/>
      <c r="F21" s="215"/>
      <c r="G21" s="231"/>
      <c r="H21" s="216"/>
      <c r="I21" s="218"/>
    </row>
    <row r="22" spans="1:9" ht="15" thickBot="1">
      <c r="A22" s="11"/>
      <c r="B22" s="11"/>
      <c r="C22" s="11"/>
      <c r="D22" s="11"/>
      <c r="E22" s="11"/>
      <c r="F22" s="11"/>
      <c r="G22" s="11"/>
      <c r="H22" s="11"/>
      <c r="I22" s="11"/>
    </row>
    <row r="23" spans="1:9" ht="56.25" customHeight="1" thickBot="1">
      <c r="A23" s="514" t="s">
        <v>169</v>
      </c>
      <c r="B23" s="515"/>
      <c r="C23" s="515"/>
      <c r="D23" s="516"/>
      <c r="E23" s="516"/>
      <c r="F23" s="516"/>
      <c r="G23" s="516"/>
      <c r="H23" s="516"/>
      <c r="I23" s="517"/>
    </row>
    <row r="25" spans="1:9">
      <c r="B25" s="202"/>
    </row>
    <row r="26" spans="1:9">
      <c r="B26" s="202"/>
    </row>
    <row r="27" spans="1:9">
      <c r="B27" s="202"/>
    </row>
    <row r="28" spans="1:9">
      <c r="B28" s="202"/>
    </row>
    <row r="29" spans="1:9">
      <c r="B29" s="202"/>
    </row>
    <row r="30" spans="1:9">
      <c r="B30" s="202"/>
    </row>
    <row r="31" spans="1:9">
      <c r="B31" s="202"/>
    </row>
  </sheetData>
  <sheetProtection algorithmName="SHA-512" hashValue="0zN5r6HVTf87lwY833frrhQXDZWjrWk8ouB8JQEXqae67EQ8wd9bAmTGn1NM5K1X4dVEl7F+5CHF3YNOtIjewA==" saltValue="ld7Dj5V2QRc+TqSkSaSfng==" spinCount="100000" sheet="1" objects="1" scenarios="1"/>
  <mergeCells count="8">
    <mergeCell ref="A23:I23"/>
    <mergeCell ref="A1:A3"/>
    <mergeCell ref="B1:I1"/>
    <mergeCell ref="B2:I2"/>
    <mergeCell ref="B3:I3"/>
    <mergeCell ref="A4:I4"/>
    <mergeCell ref="A5:C5"/>
    <mergeCell ref="A6:C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8"/>
  <sheetViews>
    <sheetView zoomScale="70" zoomScaleNormal="70" workbookViewId="0">
      <pane xSplit="2" ySplit="5" topLeftCell="C9" activePane="bottomRight" state="frozen"/>
      <selection pane="topRight" activeCell="C1" sqref="C1"/>
      <selection pane="bottomLeft" activeCell="A6" sqref="A6"/>
      <selection pane="bottomRight" activeCell="D16" sqref="D16"/>
    </sheetView>
  </sheetViews>
  <sheetFormatPr baseColWidth="10" defaultColWidth="11.5" defaultRowHeight="16"/>
  <cols>
    <col min="1" max="1" width="25.83203125" style="487" bestFit="1" customWidth="1"/>
    <col min="2" max="2" width="87.83203125" style="487" customWidth="1"/>
    <col min="3" max="6" width="66.5" style="487" customWidth="1"/>
    <col min="7" max="16" width="66.5" style="487" hidden="1" customWidth="1"/>
    <col min="17" max="16384" width="11.5" style="470"/>
  </cols>
  <sheetData>
    <row r="1" spans="1:16" ht="41.25" customHeight="1">
      <c r="A1" s="469"/>
      <c r="B1" s="162" t="s">
        <v>11</v>
      </c>
      <c r="C1" s="162"/>
      <c r="D1" s="162"/>
      <c r="E1" s="162"/>
      <c r="F1" s="162"/>
      <c r="G1" s="162"/>
      <c r="H1" s="162"/>
      <c r="I1" s="162"/>
      <c r="J1" s="162"/>
      <c r="K1" s="162"/>
      <c r="L1" s="162"/>
      <c r="M1" s="162"/>
      <c r="N1" s="162"/>
      <c r="O1" s="162"/>
      <c r="P1" s="162"/>
    </row>
    <row r="2" spans="1:16">
      <c r="A2" s="163"/>
      <c r="B2" s="164"/>
      <c r="C2" s="164"/>
      <c r="D2" s="164"/>
      <c r="E2" s="164"/>
      <c r="F2" s="164"/>
      <c r="G2" s="164"/>
      <c r="H2" s="164"/>
      <c r="I2" s="164"/>
      <c r="J2" s="164"/>
      <c r="K2" s="164"/>
      <c r="L2" s="164"/>
      <c r="M2" s="164"/>
      <c r="N2" s="164"/>
      <c r="O2" s="164"/>
      <c r="P2" s="164"/>
    </row>
    <row r="3" spans="1:16" ht="17">
      <c r="A3" s="471"/>
      <c r="B3" s="165" t="s">
        <v>2</v>
      </c>
      <c r="C3" s="166">
        <v>1</v>
      </c>
      <c r="D3" s="166">
        <v>2</v>
      </c>
      <c r="E3" s="166">
        <v>3</v>
      </c>
      <c r="F3" s="166">
        <v>4</v>
      </c>
      <c r="G3" s="166">
        <v>5</v>
      </c>
      <c r="H3" s="166">
        <v>6</v>
      </c>
      <c r="I3" s="166">
        <v>7</v>
      </c>
      <c r="J3" s="166">
        <v>8</v>
      </c>
      <c r="K3" s="166">
        <v>9</v>
      </c>
      <c r="L3" s="166">
        <v>10</v>
      </c>
      <c r="M3" s="166">
        <v>11</v>
      </c>
      <c r="N3" s="166">
        <v>12</v>
      </c>
      <c r="O3" s="166">
        <v>13</v>
      </c>
      <c r="P3" s="166">
        <v>14</v>
      </c>
    </row>
    <row r="4" spans="1:16" ht="17">
      <c r="A4" s="471"/>
      <c r="B4" s="165" t="s">
        <v>8</v>
      </c>
      <c r="C4" s="166" t="str">
        <f t="shared" ref="C4:I4" si="0">+VLOOKUP(C3,LISTA_OFERENTES,2,FALSE)</f>
        <v>KER INGENIERIA S.A.S.</v>
      </c>
      <c r="D4" s="166" t="str">
        <f t="shared" si="0"/>
        <v>UNIÓN TEMPORAL SUPERVISOR 2021</v>
      </c>
      <c r="E4" s="166" t="str">
        <f t="shared" si="0"/>
        <v>PreVeo S.A.S.</v>
      </c>
      <c r="F4" s="166" t="str">
        <f t="shared" si="0"/>
        <v>INTERVE S.A.S.</v>
      </c>
      <c r="G4" s="166">
        <f t="shared" si="0"/>
        <v>0</v>
      </c>
      <c r="H4" s="166">
        <f t="shared" si="0"/>
        <v>0</v>
      </c>
      <c r="I4" s="166">
        <f t="shared" si="0"/>
        <v>0</v>
      </c>
      <c r="J4" s="166">
        <f t="shared" ref="J4:L4" si="1">+VLOOKUP(J3,LISTA_OFERENTES,2,FALSE)</f>
        <v>0</v>
      </c>
      <c r="K4" s="166">
        <f t="shared" si="1"/>
        <v>0</v>
      </c>
      <c r="L4" s="166">
        <f t="shared" si="1"/>
        <v>0</v>
      </c>
      <c r="M4" s="166">
        <f t="shared" ref="M4:P4" si="2">+VLOOKUP(M3,LISTA_OFERENTES,2,FALSE)</f>
        <v>0</v>
      </c>
      <c r="N4" s="166">
        <f t="shared" si="2"/>
        <v>0</v>
      </c>
      <c r="O4" s="166">
        <f t="shared" si="2"/>
        <v>0</v>
      </c>
      <c r="P4" s="166">
        <f t="shared" si="2"/>
        <v>0</v>
      </c>
    </row>
    <row r="5" spans="1:16" ht="20.25" customHeight="1">
      <c r="A5" s="471"/>
      <c r="B5" s="165" t="s">
        <v>12</v>
      </c>
      <c r="C5" s="166">
        <f>VLOOKUP(C3,'2_APERTURA DE SOBRES'!$A$7:$H$151,4,)</f>
        <v>900427442</v>
      </c>
      <c r="D5" s="166">
        <f>VLOOKUP(D3,'2_APERTURA DE SOBRES'!$A$7:$H$151,4,)</f>
        <v>52553958</v>
      </c>
      <c r="E5" s="166">
        <f>VLOOKUP(E3,'2_APERTURA DE SOBRES'!$A$7:$H$151,4,)</f>
        <v>9003464841</v>
      </c>
      <c r="F5" s="166">
        <f>VLOOKUP(F3,'2_APERTURA DE SOBRES'!$A$7:$H$151,4,)</f>
        <v>8909206568</v>
      </c>
      <c r="G5" s="166">
        <f>VLOOKUP(G3,'2_APERTURA DE SOBRES'!$A$7:$H$151,4,)</f>
        <v>0</v>
      </c>
      <c r="H5" s="166">
        <f>VLOOKUP(H3,'2_APERTURA DE SOBRES'!$A$7:$H$151,4,)</f>
        <v>0</v>
      </c>
      <c r="I5" s="166">
        <f>VLOOKUP(I3,'2_APERTURA DE SOBRES'!$A$7:$H$151,4,)</f>
        <v>0</v>
      </c>
      <c r="J5" s="166">
        <f>VLOOKUP(J3,'2_APERTURA DE SOBRES'!$A$7:$H$151,4,)</f>
        <v>0</v>
      </c>
      <c r="K5" s="166">
        <f>VLOOKUP(K3,'2_APERTURA DE SOBRES'!$A$7:$H$151,4,)</f>
        <v>0</v>
      </c>
      <c r="L5" s="166">
        <f>VLOOKUP(L3,'2_APERTURA DE SOBRES'!$A$7:$H$151,4,)</f>
        <v>0</v>
      </c>
      <c r="M5" s="166">
        <f>VLOOKUP(M3,'2_APERTURA DE SOBRES'!$A$7:$H$151,4,)</f>
        <v>0</v>
      </c>
      <c r="N5" s="166">
        <f>VLOOKUP(N3,'2_APERTURA DE SOBRES'!$A$7:$H$151,4,)</f>
        <v>0</v>
      </c>
      <c r="O5" s="166">
        <f>VLOOKUP(O3,'2_APERTURA DE SOBRES'!$A$7:$H$151,4,)</f>
        <v>0</v>
      </c>
      <c r="P5" s="166">
        <f>VLOOKUP(P3,'2_APERTURA DE SOBRES'!$A$7:$H$151,4,)</f>
        <v>0</v>
      </c>
    </row>
    <row r="6" spans="1:16" ht="36.75" customHeight="1">
      <c r="A6" s="472"/>
      <c r="B6" s="167" t="s">
        <v>179</v>
      </c>
      <c r="C6" s="168"/>
      <c r="D6" s="168"/>
      <c r="E6" s="168"/>
      <c r="F6" s="168"/>
      <c r="G6" s="168"/>
      <c r="H6" s="168"/>
      <c r="I6" s="168"/>
      <c r="J6" s="168"/>
      <c r="K6" s="168"/>
      <c r="L6" s="168"/>
      <c r="M6" s="168"/>
      <c r="N6" s="168"/>
      <c r="O6" s="168"/>
      <c r="P6" s="168"/>
    </row>
    <row r="7" spans="1:16" ht="33" customHeight="1">
      <c r="A7" s="169" t="s">
        <v>13</v>
      </c>
      <c r="B7" s="170" t="s">
        <v>182</v>
      </c>
      <c r="C7" s="473"/>
      <c r="D7" s="473"/>
      <c r="E7" s="473"/>
      <c r="F7" s="473"/>
      <c r="G7" s="473"/>
      <c r="H7" s="473"/>
      <c r="I7" s="473"/>
      <c r="J7" s="473"/>
      <c r="K7" s="473"/>
      <c r="L7" s="473"/>
      <c r="M7" s="473"/>
      <c r="N7" s="473"/>
      <c r="O7" s="473"/>
      <c r="P7" s="473"/>
    </row>
    <row r="8" spans="1:16" ht="306">
      <c r="A8" s="474">
        <v>1</v>
      </c>
      <c r="B8" s="171" t="s">
        <v>180</v>
      </c>
      <c r="C8" s="475" t="s">
        <v>323</v>
      </c>
      <c r="D8" s="538" t="s">
        <v>324</v>
      </c>
      <c r="E8" s="475" t="s">
        <v>310</v>
      </c>
      <c r="F8" s="475" t="s">
        <v>310</v>
      </c>
      <c r="G8" s="173"/>
      <c r="H8" s="173"/>
      <c r="I8" s="173"/>
      <c r="J8" s="173"/>
      <c r="K8" s="173"/>
      <c r="L8" s="173"/>
      <c r="M8" s="173"/>
      <c r="N8" s="173"/>
      <c r="O8" s="173"/>
      <c r="P8" s="173"/>
    </row>
    <row r="9" spans="1:16" ht="158.25" customHeight="1">
      <c r="A9" s="474">
        <v>2</v>
      </c>
      <c r="B9" s="171" t="s">
        <v>181</v>
      </c>
      <c r="C9" s="475" t="s">
        <v>325</v>
      </c>
      <c r="D9" s="539"/>
      <c r="E9" s="475" t="s">
        <v>326</v>
      </c>
      <c r="F9" s="475" t="s">
        <v>327</v>
      </c>
      <c r="G9" s="173"/>
      <c r="H9" s="173"/>
      <c r="I9" s="173"/>
      <c r="J9" s="173"/>
      <c r="K9" s="173"/>
      <c r="L9" s="173"/>
      <c r="M9" s="173"/>
      <c r="N9" s="173"/>
      <c r="O9" s="173"/>
      <c r="P9" s="173"/>
    </row>
    <row r="10" spans="1:16" ht="118.5" customHeight="1">
      <c r="A10" s="474">
        <v>3</v>
      </c>
      <c r="B10" s="171" t="s">
        <v>139</v>
      </c>
      <c r="C10" s="476" t="s">
        <v>328</v>
      </c>
      <c r="D10" s="539"/>
      <c r="E10" s="475" t="s">
        <v>329</v>
      </c>
      <c r="F10" s="475" t="s">
        <v>330</v>
      </c>
      <c r="G10" s="173"/>
      <c r="H10" s="173"/>
      <c r="I10" s="173"/>
      <c r="J10" s="173"/>
      <c r="K10" s="173"/>
      <c r="L10" s="173"/>
      <c r="M10" s="173"/>
      <c r="N10" s="173"/>
      <c r="O10" s="173"/>
      <c r="P10" s="173"/>
    </row>
    <row r="11" spans="1:16" ht="53.25" customHeight="1">
      <c r="A11" s="474">
        <v>4</v>
      </c>
      <c r="B11" s="171" t="s">
        <v>140</v>
      </c>
      <c r="C11" s="475" t="s">
        <v>331</v>
      </c>
      <c r="D11" s="539"/>
      <c r="E11" s="475" t="s">
        <v>310</v>
      </c>
      <c r="F11" s="475" t="s">
        <v>310</v>
      </c>
      <c r="G11" s="173"/>
      <c r="H11" s="173"/>
      <c r="I11" s="173"/>
      <c r="J11" s="173"/>
      <c r="K11" s="173"/>
      <c r="L11" s="173"/>
      <c r="M11" s="173"/>
      <c r="N11" s="173"/>
      <c r="O11" s="173"/>
      <c r="P11" s="173"/>
    </row>
    <row r="12" spans="1:16" ht="36.75" customHeight="1">
      <c r="A12" s="474">
        <v>5</v>
      </c>
      <c r="B12" s="171" t="s">
        <v>137</v>
      </c>
      <c r="C12" s="475" t="s">
        <v>331</v>
      </c>
      <c r="D12" s="539"/>
      <c r="E12" s="475" t="s">
        <v>310</v>
      </c>
      <c r="F12" s="475" t="s">
        <v>310</v>
      </c>
      <c r="G12" s="173"/>
      <c r="H12" s="173"/>
      <c r="I12" s="173"/>
      <c r="J12" s="173"/>
      <c r="K12" s="173"/>
      <c r="L12" s="173"/>
      <c r="M12" s="173"/>
      <c r="N12" s="173"/>
      <c r="O12" s="173"/>
      <c r="P12" s="173"/>
    </row>
    <row r="13" spans="1:16" ht="35.25" customHeight="1">
      <c r="A13" s="474">
        <v>6</v>
      </c>
      <c r="B13" s="171" t="s">
        <v>138</v>
      </c>
      <c r="C13" s="475" t="s">
        <v>332</v>
      </c>
      <c r="D13" s="539"/>
      <c r="E13" s="475" t="s">
        <v>310</v>
      </c>
      <c r="F13" s="475" t="s">
        <v>310</v>
      </c>
      <c r="G13" s="173"/>
      <c r="H13" s="173"/>
      <c r="I13" s="173"/>
      <c r="J13" s="173"/>
      <c r="K13" s="173"/>
      <c r="L13" s="173"/>
      <c r="M13" s="173"/>
      <c r="N13" s="173"/>
      <c r="O13" s="173"/>
      <c r="P13" s="173"/>
    </row>
    <row r="14" spans="1:16" ht="94.5" customHeight="1">
      <c r="A14" s="474">
        <v>7</v>
      </c>
      <c r="B14" s="171" t="s">
        <v>183</v>
      </c>
      <c r="C14" s="475" t="s">
        <v>310</v>
      </c>
      <c r="D14" s="539"/>
      <c r="E14" s="475" t="s">
        <v>310</v>
      </c>
      <c r="F14" s="475" t="s">
        <v>310</v>
      </c>
      <c r="G14" s="173"/>
      <c r="H14" s="173"/>
      <c r="I14" s="173"/>
      <c r="J14" s="173"/>
      <c r="K14" s="173"/>
      <c r="L14" s="173"/>
      <c r="M14" s="173"/>
      <c r="N14" s="173"/>
      <c r="O14" s="173"/>
      <c r="P14" s="173"/>
    </row>
    <row r="15" spans="1:16" ht="34">
      <c r="A15" s="474">
        <v>10</v>
      </c>
      <c r="B15" s="171" t="s">
        <v>184</v>
      </c>
      <c r="C15" s="475" t="s">
        <v>333</v>
      </c>
      <c r="D15" s="540"/>
      <c r="E15" s="475" t="s">
        <v>310</v>
      </c>
      <c r="F15" s="475" t="s">
        <v>310</v>
      </c>
      <c r="G15" s="173"/>
      <c r="H15" s="173"/>
      <c r="I15" s="173"/>
      <c r="J15" s="173"/>
      <c r="K15" s="173"/>
      <c r="L15" s="173"/>
      <c r="M15" s="173"/>
      <c r="N15" s="173"/>
      <c r="O15" s="173"/>
      <c r="P15" s="173"/>
    </row>
    <row r="16" spans="1:16" ht="17">
      <c r="A16" s="474"/>
      <c r="B16" s="171"/>
      <c r="C16" s="475"/>
      <c r="D16" s="475"/>
      <c r="E16" s="476" t="s">
        <v>311</v>
      </c>
      <c r="F16" s="463" t="s">
        <v>311</v>
      </c>
      <c r="G16" s="172"/>
      <c r="H16" s="477"/>
      <c r="I16" s="173"/>
      <c r="J16" s="477"/>
      <c r="K16" s="173"/>
      <c r="L16" s="477"/>
      <c r="M16" s="477"/>
      <c r="N16" s="173"/>
      <c r="O16" s="173"/>
      <c r="P16" s="173"/>
    </row>
    <row r="17" spans="1:16" ht="17">
      <c r="A17" s="474"/>
      <c r="B17" s="171"/>
      <c r="C17" s="475"/>
      <c r="D17" s="475"/>
      <c r="E17" s="476" t="s">
        <v>178</v>
      </c>
      <c r="F17" s="463" t="s">
        <v>312</v>
      </c>
      <c r="G17" s="172"/>
      <c r="H17" s="477"/>
      <c r="I17" s="173"/>
      <c r="J17" s="477"/>
      <c r="K17" s="173"/>
      <c r="L17" s="477"/>
      <c r="M17" s="477"/>
      <c r="N17" s="173"/>
      <c r="O17" s="173"/>
      <c r="P17" s="173"/>
    </row>
    <row r="18" spans="1:16">
      <c r="A18" s="474"/>
      <c r="B18" s="171"/>
      <c r="C18" s="475"/>
      <c r="D18" s="475"/>
      <c r="E18" s="478">
        <v>67232397.5</v>
      </c>
      <c r="F18" s="478">
        <v>67232397.5</v>
      </c>
      <c r="G18" s="280"/>
      <c r="H18" s="280"/>
      <c r="I18" s="173"/>
      <c r="J18" s="479"/>
      <c r="K18" s="173"/>
      <c r="L18" s="479"/>
      <c r="M18" s="479"/>
      <c r="N18" s="173"/>
      <c r="O18" s="173"/>
      <c r="P18" s="173"/>
    </row>
    <row r="19" spans="1:16" ht="17">
      <c r="A19" s="474"/>
      <c r="B19" s="171"/>
      <c r="C19" s="475"/>
      <c r="D19" s="475"/>
      <c r="E19" s="476" t="s">
        <v>313</v>
      </c>
      <c r="F19" s="463" t="s">
        <v>314</v>
      </c>
      <c r="G19" s="172"/>
      <c r="H19" s="477"/>
      <c r="I19" s="173"/>
      <c r="J19" s="477"/>
      <c r="K19" s="173"/>
      <c r="L19" s="477"/>
      <c r="M19" s="477"/>
      <c r="N19" s="173"/>
      <c r="O19" s="173"/>
      <c r="P19" s="173"/>
    </row>
    <row r="20" spans="1:16" ht="17">
      <c r="A20" s="480"/>
      <c r="B20" s="174"/>
      <c r="C20" s="475" t="s">
        <v>290</v>
      </c>
      <c r="D20" s="475" t="s">
        <v>290</v>
      </c>
      <c r="E20" s="475" t="s">
        <v>147</v>
      </c>
      <c r="F20" s="475" t="s">
        <v>147</v>
      </c>
      <c r="G20" s="173"/>
      <c r="H20" s="173"/>
      <c r="I20" s="173"/>
      <c r="J20" s="173"/>
      <c r="K20" s="173"/>
      <c r="L20" s="173"/>
      <c r="M20" s="173"/>
      <c r="N20" s="173"/>
      <c r="O20" s="173"/>
      <c r="P20" s="173"/>
    </row>
    <row r="21" spans="1:16" s="483" customFormat="1">
      <c r="A21" s="173"/>
      <c r="B21" s="175"/>
      <c r="C21" s="481"/>
      <c r="D21" s="482"/>
      <c r="E21" s="482"/>
      <c r="F21" s="482"/>
      <c r="G21" s="481"/>
      <c r="H21" s="482"/>
      <c r="I21" s="482"/>
      <c r="J21" s="482"/>
      <c r="K21" s="482"/>
      <c r="L21" s="482"/>
      <c r="M21" s="482"/>
      <c r="N21" s="482"/>
      <c r="O21" s="482"/>
      <c r="P21" s="482"/>
    </row>
    <row r="22" spans="1:16" ht="24.75" hidden="1" customHeight="1">
      <c r="A22" s="176" t="s">
        <v>13</v>
      </c>
      <c r="B22" s="177" t="s">
        <v>15</v>
      </c>
      <c r="C22" s="484"/>
      <c r="D22" s="484"/>
      <c r="E22" s="484"/>
      <c r="F22" s="484"/>
      <c r="G22" s="484"/>
      <c r="H22" s="484"/>
      <c r="I22" s="484"/>
      <c r="J22" s="484"/>
      <c r="K22" s="484"/>
      <c r="L22" s="484"/>
      <c r="M22" s="484"/>
      <c r="N22" s="484"/>
      <c r="O22" s="484"/>
      <c r="P22" s="484"/>
    </row>
    <row r="23" spans="1:16" ht="298.5" hidden="1" customHeight="1">
      <c r="A23" s="485">
        <v>1</v>
      </c>
      <c r="B23" s="204" t="s">
        <v>143</v>
      </c>
      <c r="C23" s="173"/>
      <c r="D23" s="173"/>
      <c r="E23" s="173"/>
      <c r="F23" s="173"/>
      <c r="G23" s="173"/>
      <c r="H23" s="173"/>
      <c r="I23" s="173"/>
      <c r="J23" s="173"/>
      <c r="K23" s="173"/>
      <c r="L23" s="173"/>
      <c r="M23" s="173"/>
      <c r="N23" s="173"/>
      <c r="O23" s="173"/>
      <c r="P23" s="173"/>
    </row>
    <row r="24" spans="1:16" ht="154.5" hidden="1" customHeight="1">
      <c r="A24" s="485">
        <v>2</v>
      </c>
      <c r="B24" s="204" t="s">
        <v>144</v>
      </c>
      <c r="C24" s="173"/>
      <c r="D24" s="173"/>
      <c r="E24" s="173"/>
      <c r="F24" s="173"/>
      <c r="G24" s="173"/>
      <c r="H24" s="173"/>
      <c r="I24" s="173"/>
      <c r="J24" s="173"/>
      <c r="K24" s="173"/>
      <c r="L24" s="173"/>
      <c r="M24" s="173"/>
      <c r="N24" s="173"/>
      <c r="O24" s="173"/>
      <c r="P24" s="173"/>
    </row>
    <row r="25" spans="1:16" ht="81.75" hidden="1" customHeight="1">
      <c r="A25" s="485">
        <v>3</v>
      </c>
      <c r="B25" s="179" t="s">
        <v>139</v>
      </c>
      <c r="C25" s="173"/>
      <c r="D25" s="173"/>
      <c r="E25" s="173"/>
      <c r="F25" s="173"/>
      <c r="G25" s="173"/>
      <c r="H25" s="173"/>
      <c r="I25" s="173"/>
      <c r="J25" s="173"/>
      <c r="K25" s="173"/>
      <c r="L25" s="173"/>
      <c r="M25" s="173"/>
      <c r="N25" s="173"/>
      <c r="O25" s="173"/>
      <c r="P25" s="173"/>
    </row>
    <row r="26" spans="1:16" ht="58.5" hidden="1" customHeight="1">
      <c r="A26" s="485">
        <v>4</v>
      </c>
      <c r="B26" s="179" t="s">
        <v>140</v>
      </c>
      <c r="C26" s="173"/>
      <c r="D26" s="173"/>
      <c r="E26" s="173"/>
      <c r="F26" s="173"/>
      <c r="G26" s="173"/>
      <c r="H26" s="173"/>
      <c r="I26" s="173"/>
      <c r="J26" s="173"/>
      <c r="K26" s="173"/>
      <c r="L26" s="173"/>
      <c r="M26" s="173"/>
      <c r="N26" s="173"/>
      <c r="O26" s="173"/>
      <c r="P26" s="173"/>
    </row>
    <row r="27" spans="1:16" ht="250.5" hidden="1" customHeight="1">
      <c r="A27" s="485">
        <v>5</v>
      </c>
      <c r="B27" s="179" t="s">
        <v>137</v>
      </c>
      <c r="C27" s="173"/>
      <c r="D27" s="173"/>
      <c r="E27" s="173"/>
      <c r="F27" s="173"/>
      <c r="G27" s="173"/>
      <c r="H27" s="173"/>
      <c r="I27" s="286"/>
      <c r="J27" s="173"/>
      <c r="K27" s="173"/>
      <c r="L27" s="173"/>
      <c r="M27" s="173"/>
      <c r="N27" s="173"/>
      <c r="O27" s="173"/>
      <c r="P27" s="173"/>
    </row>
    <row r="28" spans="1:16" ht="17" hidden="1">
      <c r="A28" s="485">
        <v>6</v>
      </c>
      <c r="B28" s="179" t="s">
        <v>138</v>
      </c>
      <c r="C28" s="173"/>
      <c r="D28" s="173"/>
      <c r="E28" s="173"/>
      <c r="F28" s="173"/>
      <c r="G28" s="173"/>
      <c r="H28" s="173"/>
      <c r="I28" s="173"/>
      <c r="J28" s="173"/>
      <c r="K28" s="173"/>
      <c r="L28" s="173"/>
      <c r="M28" s="173"/>
      <c r="N28" s="173"/>
      <c r="O28" s="173"/>
      <c r="P28" s="173"/>
    </row>
    <row r="29" spans="1:16" ht="115.5" hidden="1" customHeight="1">
      <c r="A29" s="485">
        <v>7</v>
      </c>
      <c r="B29" s="179" t="s">
        <v>145</v>
      </c>
      <c r="C29" s="173"/>
      <c r="D29" s="173"/>
      <c r="E29" s="173"/>
      <c r="F29" s="173"/>
      <c r="G29" s="173"/>
      <c r="H29" s="173"/>
      <c r="I29" s="173"/>
      <c r="J29" s="173"/>
      <c r="K29" s="173"/>
      <c r="L29" s="173"/>
      <c r="M29" s="173"/>
      <c r="N29" s="173"/>
      <c r="O29" s="173"/>
      <c r="P29" s="173"/>
    </row>
    <row r="30" spans="1:16" ht="96.75" hidden="1" customHeight="1">
      <c r="A30" s="535">
        <v>8</v>
      </c>
      <c r="B30" s="179" t="s">
        <v>132</v>
      </c>
      <c r="C30" s="173"/>
      <c r="D30" s="173"/>
      <c r="E30" s="173"/>
      <c r="F30" s="173"/>
      <c r="G30" s="173"/>
      <c r="H30" s="173"/>
      <c r="I30" s="173"/>
      <c r="J30" s="173"/>
      <c r="K30" s="173"/>
      <c r="L30" s="173"/>
      <c r="M30" s="173"/>
      <c r="N30" s="173"/>
      <c r="O30" s="173"/>
      <c r="P30" s="173"/>
    </row>
    <row r="31" spans="1:16" ht="17" hidden="1">
      <c r="A31" s="536"/>
      <c r="B31" s="179" t="s">
        <v>14</v>
      </c>
      <c r="C31" s="172"/>
      <c r="D31" s="172"/>
      <c r="E31" s="178"/>
      <c r="F31" s="173"/>
      <c r="G31" s="173"/>
      <c r="H31" s="173"/>
      <c r="I31" s="172"/>
      <c r="J31" s="173"/>
      <c r="K31" s="172"/>
      <c r="L31" s="173"/>
      <c r="M31" s="173"/>
      <c r="N31" s="172"/>
      <c r="O31" s="172"/>
      <c r="P31" s="172"/>
    </row>
    <row r="32" spans="1:16" ht="17" hidden="1">
      <c r="A32" s="536"/>
      <c r="B32" s="179" t="s">
        <v>16</v>
      </c>
      <c r="C32" s="172"/>
      <c r="D32" s="178"/>
      <c r="E32" s="172"/>
      <c r="F32" s="173"/>
      <c r="G32" s="173"/>
      <c r="H32" s="173"/>
      <c r="I32" s="172"/>
      <c r="J32" s="173"/>
      <c r="K32" s="172"/>
      <c r="L32" s="173"/>
      <c r="M32" s="173"/>
      <c r="N32" s="172"/>
      <c r="O32" s="172"/>
      <c r="P32" s="172"/>
    </row>
    <row r="33" spans="1:16" ht="17" hidden="1">
      <c r="A33" s="536"/>
      <c r="B33" s="179" t="s">
        <v>17</v>
      </c>
      <c r="C33" s="278"/>
      <c r="D33" s="279"/>
      <c r="E33" s="279"/>
      <c r="F33" s="173"/>
      <c r="G33" s="173"/>
      <c r="H33" s="173"/>
      <c r="I33" s="280"/>
      <c r="J33" s="173"/>
      <c r="K33" s="280"/>
      <c r="L33" s="173"/>
      <c r="M33" s="173"/>
      <c r="N33" s="280"/>
      <c r="O33" s="280"/>
      <c r="P33" s="280"/>
    </row>
    <row r="34" spans="1:16" ht="17" hidden="1">
      <c r="A34" s="537"/>
      <c r="B34" s="179" t="s">
        <v>18</v>
      </c>
      <c r="C34" s="172"/>
      <c r="D34" s="178"/>
      <c r="E34" s="486"/>
      <c r="F34" s="173"/>
      <c r="G34" s="173"/>
      <c r="H34" s="173"/>
      <c r="I34" s="172"/>
      <c r="J34" s="173"/>
      <c r="K34" s="172"/>
      <c r="L34" s="173"/>
      <c r="M34" s="173"/>
      <c r="N34" s="172"/>
      <c r="O34" s="172"/>
      <c r="P34" s="172"/>
    </row>
    <row r="35" spans="1:16" s="181" customFormat="1" hidden="1">
      <c r="A35" s="176"/>
      <c r="B35" s="180" t="s">
        <v>19</v>
      </c>
      <c r="C35" s="173"/>
      <c r="D35" s="173"/>
      <c r="E35" s="173"/>
      <c r="F35" s="173"/>
      <c r="G35" s="173"/>
      <c r="H35" s="173"/>
      <c r="I35" s="173"/>
      <c r="J35" s="173"/>
      <c r="K35" s="173"/>
      <c r="L35" s="173"/>
      <c r="M35" s="173"/>
      <c r="N35" s="173"/>
      <c r="O35" s="173"/>
      <c r="P35" s="173"/>
    </row>
    <row r="37" spans="1:16">
      <c r="C37" s="488"/>
    </row>
    <row r="38" spans="1:16">
      <c r="C38" s="488"/>
    </row>
  </sheetData>
  <sheetProtection algorithmName="SHA-512" hashValue="1QTGvnDyjo3e3LAPcYjc2sSZv6nyvQnmAqkY5T9tIzXDm17yne6+qioQYGWtaWhRxwnC4UI/Bbq8IdNWch7p7w==" saltValue="8M1MxDgfX8B1sq8CWvAlvA==" spinCount="100000" sheet="1" objects="1" scenarios="1"/>
  <mergeCells count="2">
    <mergeCell ref="A30:A34"/>
    <mergeCell ref="D8:D15"/>
  </mergeCells>
  <conditionalFormatting sqref="D35 J8:J15 I8:I20 K8:K20 N8:P20 G8:H15 L8:L15 M9:M15">
    <cfRule type="cellIs" dxfId="6817" priority="161" operator="equal">
      <formula>"NO CUMPLE"</formula>
    </cfRule>
    <cfRule type="cellIs" dxfId="6816" priority="162" operator="equal">
      <formula>"CUMPLE"</formula>
    </cfRule>
  </conditionalFormatting>
  <conditionalFormatting sqref="E35">
    <cfRule type="cellIs" dxfId="6815" priority="107" operator="equal">
      <formula>"NO CUMPLE"</formula>
    </cfRule>
    <cfRule type="cellIs" dxfId="6814" priority="108" operator="equal">
      <formula>"CUMPLE"</formula>
    </cfRule>
  </conditionalFormatting>
  <conditionalFormatting sqref="G35">
    <cfRule type="cellIs" dxfId="6813" priority="97" operator="equal">
      <formula>"NO CUMPLE"</formula>
    </cfRule>
    <cfRule type="cellIs" dxfId="6812" priority="98" operator="equal">
      <formula>"CUMPLE"</formula>
    </cfRule>
  </conditionalFormatting>
  <conditionalFormatting sqref="J20">
    <cfRule type="cellIs" dxfId="6811" priority="91" operator="equal">
      <formula>"NO CUMPLE"</formula>
    </cfRule>
    <cfRule type="cellIs" dxfId="6810" priority="92" operator="equal">
      <formula>"CUMPLE"</formula>
    </cfRule>
  </conditionalFormatting>
  <conditionalFormatting sqref="L20">
    <cfRule type="cellIs" dxfId="6809" priority="87" operator="equal">
      <formula>"NO CUMPLE"</formula>
    </cfRule>
    <cfRule type="cellIs" dxfId="6808" priority="88" operator="equal">
      <formula>"CUMPLE"</formula>
    </cfRule>
  </conditionalFormatting>
  <conditionalFormatting sqref="C35">
    <cfRule type="cellIs" dxfId="6807" priority="65" operator="equal">
      <formula>"NO CUMPLE"</formula>
    </cfRule>
    <cfRule type="cellIs" dxfId="6806" priority="66" operator="equal">
      <formula>"CUMPLE"</formula>
    </cfRule>
  </conditionalFormatting>
  <conditionalFormatting sqref="C24:E30 C23:I23 K23:K30 N23:N30 G24:I26 G28:I30 G23:H35">
    <cfRule type="cellIs" dxfId="6805" priority="61" operator="equal">
      <formula>"NO CUMPLE"</formula>
    </cfRule>
    <cfRule type="cellIs" dxfId="6804" priority="62" operator="equal">
      <formula>"CUMPLE"</formula>
    </cfRule>
  </conditionalFormatting>
  <conditionalFormatting sqref="K35">
    <cfRule type="cellIs" dxfId="6803" priority="59" operator="equal">
      <formula>"NO CUMPLE"</formula>
    </cfRule>
    <cfRule type="cellIs" dxfId="6802" priority="60" operator="equal">
      <formula>"CUMPLE"</formula>
    </cfRule>
  </conditionalFormatting>
  <conditionalFormatting sqref="N35">
    <cfRule type="cellIs" dxfId="6801" priority="57" operator="equal">
      <formula>"NO CUMPLE"</formula>
    </cfRule>
    <cfRule type="cellIs" dxfId="6800" priority="58" operator="equal">
      <formula>"CUMPLE"</formula>
    </cfRule>
  </conditionalFormatting>
  <conditionalFormatting sqref="O35">
    <cfRule type="cellIs" dxfId="6799" priority="55" operator="equal">
      <formula>"NO CUMPLE"</formula>
    </cfRule>
    <cfRule type="cellIs" dxfId="6798" priority="56" operator="equal">
      <formula>"CUMPLE"</formula>
    </cfRule>
  </conditionalFormatting>
  <conditionalFormatting sqref="O23:O30">
    <cfRule type="cellIs" dxfId="6797" priority="53" operator="equal">
      <formula>"NO CUMPLE"</formula>
    </cfRule>
    <cfRule type="cellIs" dxfId="6796" priority="54" operator="equal">
      <formula>"CUMPLE"</formula>
    </cfRule>
  </conditionalFormatting>
  <conditionalFormatting sqref="P23:P30">
    <cfRule type="cellIs" dxfId="6795" priority="51" operator="equal">
      <formula>"NO CUMPLE"</formula>
    </cfRule>
    <cfRule type="cellIs" dxfId="6794" priority="52" operator="equal">
      <formula>"CUMPLE"</formula>
    </cfRule>
  </conditionalFormatting>
  <conditionalFormatting sqref="P35">
    <cfRule type="cellIs" dxfId="6793" priority="49" operator="equal">
      <formula>"NO CUMPLE"</formula>
    </cfRule>
    <cfRule type="cellIs" dxfId="6792" priority="50" operator="equal">
      <formula>"CUMPLE"</formula>
    </cfRule>
  </conditionalFormatting>
  <conditionalFormatting sqref="F24:F35">
    <cfRule type="cellIs" dxfId="6791" priority="47" operator="equal">
      <formula>"NO CUMPLE"</formula>
    </cfRule>
    <cfRule type="cellIs" dxfId="6790" priority="48" operator="equal">
      <formula>"CUMPLE"</formula>
    </cfRule>
  </conditionalFormatting>
  <conditionalFormatting sqref="J23:J35">
    <cfRule type="cellIs" dxfId="6789" priority="45" operator="equal">
      <formula>"NO CUMPLE"</formula>
    </cfRule>
    <cfRule type="cellIs" dxfId="6788" priority="46" operator="equal">
      <formula>"CUMPLE"</formula>
    </cfRule>
  </conditionalFormatting>
  <conditionalFormatting sqref="G20">
    <cfRule type="cellIs" dxfId="6787" priority="23" operator="equal">
      <formula>"NO CUMPLE"</formula>
    </cfRule>
    <cfRule type="cellIs" dxfId="6786" priority="24" operator="equal">
      <formula>"CUMPLE"</formula>
    </cfRule>
  </conditionalFormatting>
  <conditionalFormatting sqref="H20">
    <cfRule type="cellIs" dxfId="6785" priority="19" operator="equal">
      <formula>"NO CUMPLE"</formula>
    </cfRule>
    <cfRule type="cellIs" dxfId="6784" priority="20" operator="equal">
      <formula>"CUMPLE"</formula>
    </cfRule>
  </conditionalFormatting>
  <conditionalFormatting sqref="L23:M35">
    <cfRule type="cellIs" dxfId="6783" priority="15" operator="equal">
      <formula>"NO CUMPLE"</formula>
    </cfRule>
    <cfRule type="cellIs" dxfId="6782" priority="16" operator="equal">
      <formula>"CUMPLE"</formula>
    </cfRule>
  </conditionalFormatting>
  <conditionalFormatting sqref="M8">
    <cfRule type="cellIs" dxfId="6781" priority="11" operator="equal">
      <formula>"NO CUMPLE"</formula>
    </cfRule>
    <cfRule type="cellIs" dxfId="6780" priority="12" operator="equal">
      <formula>"CUMPLE"</formula>
    </cfRule>
  </conditionalFormatting>
  <conditionalFormatting sqref="M20">
    <cfRule type="cellIs" dxfId="6779" priority="7" operator="equal">
      <formula>"NO CUMPLE"</formula>
    </cfRule>
    <cfRule type="cellIs" dxfId="6778" priority="8" operator="equal">
      <formula>"CUMPLE"</formula>
    </cfRule>
  </conditionalFormatting>
  <conditionalFormatting sqref="I35">
    <cfRule type="cellIs" dxfId="6777" priority="5" operator="equal">
      <formula>"NO CUMPLE"</formula>
    </cfRule>
    <cfRule type="cellIs" dxfId="6776" priority="6" operator="equal">
      <formula>"CUMPLE"</formula>
    </cfRule>
  </conditionalFormatting>
  <conditionalFormatting sqref="C8:E8 C9:C15 C16:E20 E9:E15 F8:F15 F20">
    <cfRule type="cellIs" dxfId="6775" priority="3" operator="equal">
      <formula>"NO CUMPLE"</formula>
    </cfRule>
    <cfRule type="cellIs" dxfId="6774" priority="4" operator="equal">
      <formula>"CUMPLE"</formula>
    </cfRule>
  </conditionalFormatting>
  <conditionalFormatting sqref="F18">
    <cfRule type="cellIs" dxfId="6773" priority="1" operator="equal">
      <formula>"NO CUMPLE"</formula>
    </cfRule>
    <cfRule type="cellIs" dxfId="6772" priority="2" operator="equal">
      <formula>"CUMPLE"</formula>
    </cfRule>
  </conditionalFormatting>
  <dataValidations count="2">
    <dataValidation type="list" allowBlank="1" showInputMessage="1" showErrorMessage="1" sqref="N23:P30 C23:E30 C35:E35 I35 N35:P35 K35 J20 K23:K30 L20:M20 I23:I26 I28:I30 L8:M15 J8:J15" xr:uid="{00000000-0002-0000-0200-000000000000}">
      <formula1>"CUMPLE,NO CUMPLE"</formula1>
    </dataValidation>
    <dataValidation type="list" allowBlank="1" showInputMessage="1" showErrorMessage="1" sqref="F23:H35 J23:J35 G8:H15 L23:M35 I8:I20 N8:P20 K8:K20 G20:H20" xr:uid="{00000000-0002-0000-0200-000001000000}">
      <formula1>"CUMPLE,NO CUMPLE,N/A"</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15"/>
  <sheetViews>
    <sheetView topLeftCell="G77" zoomScale="70" zoomScaleNormal="70" workbookViewId="0">
      <selection activeCell="T55" sqref="T55:T56"/>
    </sheetView>
  </sheetViews>
  <sheetFormatPr baseColWidth="10" defaultColWidth="11.5" defaultRowHeight="16"/>
  <cols>
    <col min="1" max="1" width="6" style="12" customWidth="1"/>
    <col min="2" max="2" width="6.83203125" style="12" bestFit="1" customWidth="1"/>
    <col min="3" max="3" width="27.83203125" style="13" customWidth="1"/>
    <col min="4" max="4" width="17" style="13" customWidth="1"/>
    <col min="5" max="5" width="23.1640625" style="24" customWidth="1"/>
    <col min="6" max="6" width="29.5" style="25" customWidth="1"/>
    <col min="7" max="7" width="17.5" style="25" customWidth="1"/>
    <col min="8" max="9" width="16.6640625" style="13" customWidth="1"/>
    <col min="10" max="10" width="18.5" style="13" bestFit="1" customWidth="1"/>
    <col min="11" max="11" width="11.33203125" style="13" customWidth="1"/>
    <col min="12" max="12" width="18.5" style="13" customWidth="1"/>
    <col min="13" max="13" width="12" style="13" customWidth="1"/>
    <col min="14" max="14" width="24.6640625" style="13" customWidth="1"/>
    <col min="15" max="15" width="25.5" style="13" customWidth="1"/>
    <col min="16" max="16" width="47.6640625" style="13" customWidth="1"/>
    <col min="17" max="17" width="32.33203125" style="13" customWidth="1"/>
    <col min="18" max="18" width="24.5" style="13" customWidth="1"/>
    <col min="19" max="19" width="22.1640625" style="13" customWidth="1"/>
    <col min="20" max="20" width="65.1640625" style="13" customWidth="1"/>
    <col min="21" max="21" width="19" style="13" customWidth="1"/>
    <col min="22" max="22" width="11.5" style="13"/>
    <col min="23" max="23" width="11.5" style="29" customWidth="1"/>
    <col min="24" max="24" width="39.5" style="29" customWidth="1"/>
    <col min="25" max="25" width="22.83203125" style="29" customWidth="1"/>
    <col min="26" max="26" width="32.5" style="29" customWidth="1"/>
    <col min="27" max="29" width="11.5" style="13" customWidth="1"/>
    <col min="30" max="30" width="35.1640625" style="13" customWidth="1"/>
    <col min="31" max="31" width="23.5" style="13" customWidth="1"/>
    <col min="32" max="36" width="11.5" style="13" customWidth="1"/>
    <col min="37" max="16384" width="11.5" style="13"/>
  </cols>
  <sheetData>
    <row r="1" spans="1:35" ht="40" customHeight="1">
      <c r="B1" s="618" t="s">
        <v>20</v>
      </c>
      <c r="C1" s="619"/>
      <c r="D1" s="619"/>
      <c r="E1" s="619"/>
      <c r="F1" s="619"/>
      <c r="G1" s="619"/>
      <c r="H1" s="619"/>
      <c r="I1" s="619"/>
      <c r="J1" s="619"/>
      <c r="K1" s="619"/>
      <c r="L1" s="619"/>
      <c r="M1" s="619"/>
      <c r="N1" s="619"/>
      <c r="O1" s="619"/>
      <c r="P1" s="619"/>
      <c r="Q1" s="619"/>
      <c r="R1" s="619"/>
      <c r="S1" s="620"/>
      <c r="W1" s="13"/>
      <c r="X1" s="13"/>
      <c r="Y1" s="13"/>
      <c r="Z1" s="13"/>
    </row>
    <row r="2" spans="1:35" s="16" customFormat="1" ht="12.75" customHeight="1">
      <c r="A2" s="14"/>
      <c r="B2" s="14"/>
      <c r="C2" s="15"/>
      <c r="D2" s="15"/>
      <c r="E2" s="15"/>
      <c r="F2" s="15"/>
      <c r="G2" s="15"/>
      <c r="H2" s="15"/>
      <c r="I2" s="13"/>
      <c r="J2" s="13"/>
      <c r="K2" s="13"/>
      <c r="L2" s="13"/>
      <c r="M2" s="13"/>
    </row>
    <row r="3" spans="1:35" s="16" customFormat="1" ht="193.5" customHeight="1">
      <c r="B3" s="621" t="s">
        <v>188</v>
      </c>
      <c r="C3" s="622"/>
      <c r="D3" s="622"/>
      <c r="E3" s="622"/>
      <c r="F3" s="622"/>
      <c r="G3" s="622"/>
      <c r="H3" s="622"/>
      <c r="I3" s="622"/>
      <c r="J3" s="622"/>
      <c r="K3" s="622"/>
      <c r="L3" s="622"/>
      <c r="M3" s="622"/>
      <c r="N3" s="622"/>
      <c r="O3" s="622"/>
      <c r="P3" s="622"/>
      <c r="Q3" s="622"/>
      <c r="R3" s="622"/>
      <c r="S3" s="623"/>
    </row>
    <row r="4" spans="1:35" s="16" customFormat="1" ht="12.75" customHeight="1">
      <c r="F4" s="624"/>
      <c r="G4" s="624"/>
      <c r="H4" s="624"/>
      <c r="I4" s="624"/>
      <c r="J4" s="624"/>
      <c r="K4" s="624"/>
      <c r="L4" s="624"/>
      <c r="M4" s="624"/>
      <c r="N4" s="624"/>
      <c r="O4" s="13"/>
      <c r="P4" s="13"/>
    </row>
    <row r="5" spans="1:35" s="16" customFormat="1" ht="30.75" customHeight="1">
      <c r="F5" s="625" t="s">
        <v>133</v>
      </c>
      <c r="G5" s="626"/>
      <c r="H5" s="17" t="s">
        <v>21</v>
      </c>
      <c r="L5" s="627" t="s">
        <v>22</v>
      </c>
      <c r="M5" s="627"/>
      <c r="N5" s="628" t="s">
        <v>23</v>
      </c>
      <c r="O5" s="628"/>
      <c r="P5" s="17" t="s">
        <v>24</v>
      </c>
    </row>
    <row r="6" spans="1:35" s="16" customFormat="1">
      <c r="F6" s="629">
        <v>908526</v>
      </c>
      <c r="G6" s="630"/>
      <c r="H6" s="489">
        <v>1.5</v>
      </c>
      <c r="L6" s="627"/>
      <c r="M6" s="627"/>
      <c r="N6" s="631">
        <v>672323975</v>
      </c>
      <c r="O6" s="631"/>
      <c r="P6" s="490">
        <f>+ROUND(N6/$F$6,0)</f>
        <v>740</v>
      </c>
    </row>
    <row r="7" spans="1:35" s="16" customFormat="1" ht="12.75" customHeight="1">
      <c r="A7" s="19"/>
      <c r="B7" s="19"/>
      <c r="C7" s="20"/>
      <c r="D7" s="21"/>
      <c r="E7" s="22"/>
      <c r="F7" s="281"/>
      <c r="G7" s="13"/>
      <c r="H7" s="13"/>
      <c r="I7" s="23"/>
      <c r="J7" s="13"/>
      <c r="K7" s="13"/>
      <c r="L7" s="13"/>
      <c r="M7" s="13"/>
    </row>
    <row r="8" spans="1:35">
      <c r="W8" s="13"/>
      <c r="X8" s="13"/>
      <c r="Y8" s="13"/>
      <c r="Z8" s="13"/>
    </row>
    <row r="9" spans="1:35">
      <c r="W9" s="13"/>
      <c r="X9" s="13"/>
      <c r="Y9" s="13"/>
      <c r="Z9" s="13"/>
    </row>
    <row r="10" spans="1:35" ht="74.25" customHeight="1">
      <c r="B10" s="465">
        <v>1</v>
      </c>
      <c r="C10" s="601" t="s">
        <v>191</v>
      </c>
      <c r="D10" s="602"/>
      <c r="E10" s="603"/>
      <c r="F10" s="604" t="str">
        <f>IFERROR(VLOOKUP(B10,LISTA_OFERENTES,2,FALSE)," ")</f>
        <v>KER INGENIERIA S.A.S.</v>
      </c>
      <c r="G10" s="605"/>
      <c r="H10" s="605"/>
      <c r="I10" s="605"/>
      <c r="J10" s="605"/>
      <c r="K10" s="605"/>
      <c r="L10" s="605"/>
      <c r="M10" s="605"/>
      <c r="N10" s="605"/>
      <c r="O10" s="606"/>
      <c r="P10" s="607" t="s">
        <v>26</v>
      </c>
      <c r="Q10" s="608"/>
      <c r="R10" s="609"/>
      <c r="S10" s="491">
        <f>5-(INT(COUNTBLANK(C13:C27))-10)</f>
        <v>0</v>
      </c>
    </row>
    <row r="11" spans="1:35" s="15" customFormat="1" ht="33.75" customHeight="1">
      <c r="B11" s="610" t="s">
        <v>27</v>
      </c>
      <c r="C11" s="596" t="s">
        <v>28</v>
      </c>
      <c r="D11" s="596" t="s">
        <v>29</v>
      </c>
      <c r="E11" s="596" t="s">
        <v>30</v>
      </c>
      <c r="F11" s="596" t="s">
        <v>31</v>
      </c>
      <c r="G11" s="596" t="s">
        <v>32</v>
      </c>
      <c r="H11" s="596" t="s">
        <v>33</v>
      </c>
      <c r="I11" s="596" t="s">
        <v>34</v>
      </c>
      <c r="J11" s="594" t="s">
        <v>35</v>
      </c>
      <c r="K11" s="612"/>
      <c r="L11" s="612"/>
      <c r="M11" s="595"/>
      <c r="N11" s="596" t="s">
        <v>36</v>
      </c>
      <c r="O11" s="596" t="s">
        <v>37</v>
      </c>
      <c r="P11" s="594" t="s">
        <v>38</v>
      </c>
      <c r="Q11" s="595"/>
      <c r="R11" s="596" t="s">
        <v>39</v>
      </c>
      <c r="S11" s="596" t="s">
        <v>40</v>
      </c>
      <c r="T11" s="596" t="s">
        <v>189</v>
      </c>
      <c r="U11" s="596" t="s">
        <v>134</v>
      </c>
      <c r="V11" s="47"/>
      <c r="W11" s="615" t="s">
        <v>41</v>
      </c>
      <c r="X11" s="616"/>
      <c r="Y11" s="617"/>
      <c r="Z11" s="492" t="s">
        <v>42</v>
      </c>
    </row>
    <row r="12" spans="1:35" s="15" customFormat="1" ht="91.5" customHeight="1">
      <c r="B12" s="611"/>
      <c r="C12" s="597"/>
      <c r="D12" s="597"/>
      <c r="E12" s="597"/>
      <c r="F12" s="597"/>
      <c r="G12" s="597"/>
      <c r="H12" s="597"/>
      <c r="I12" s="597"/>
      <c r="J12" s="598" t="s">
        <v>43</v>
      </c>
      <c r="K12" s="599"/>
      <c r="L12" s="599"/>
      <c r="M12" s="600"/>
      <c r="N12" s="597"/>
      <c r="O12" s="597"/>
      <c r="P12" s="493" t="s">
        <v>10</v>
      </c>
      <c r="Q12" s="493" t="s">
        <v>44</v>
      </c>
      <c r="R12" s="597"/>
      <c r="S12" s="597"/>
      <c r="T12" s="597"/>
      <c r="U12" s="597"/>
      <c r="V12" s="47"/>
      <c r="W12" s="494">
        <v>1</v>
      </c>
      <c r="X12" s="495" t="str">
        <f>IFERROR(VLOOKUP(W12,LISTA_OFERENTES,2,FALSE)," ")</f>
        <v>KER INGENIERIA S.A.S.</v>
      </c>
      <c r="Y12" s="495" t="str">
        <f ca="1">VLOOKUP(X12,BANDERA,2,FALSE)</f>
        <v>NO CUMPLE</v>
      </c>
      <c r="Z12" s="59" t="str">
        <f ca="1">IF(Y12="CUMPLE","H","NH")</f>
        <v>NH</v>
      </c>
      <c r="AD12" s="495" t="str">
        <f>X12</f>
        <v>KER INGENIERIA S.A.S.</v>
      </c>
      <c r="AE12" s="496" t="str">
        <f ca="1">INDIRECT("T"&amp;AH12)</f>
        <v>NO CUMPLE</v>
      </c>
      <c r="AG12" s="59" t="s">
        <v>45</v>
      </c>
      <c r="AH12" s="57">
        <v>28</v>
      </c>
      <c r="AI12" s="497"/>
    </row>
    <row r="13" spans="1:35" s="500" customFormat="1" ht="25" hidden="1" customHeight="1">
      <c r="A13" s="498"/>
      <c r="B13" s="546">
        <v>1</v>
      </c>
      <c r="C13" s="549"/>
      <c r="D13" s="549"/>
      <c r="E13" s="549"/>
      <c r="F13" s="549"/>
      <c r="G13" s="552"/>
      <c r="H13" s="555"/>
      <c r="I13" s="558"/>
      <c r="J13" s="499"/>
      <c r="K13" s="57">
        <v>801016</v>
      </c>
      <c r="L13" s="499"/>
      <c r="M13" s="57"/>
      <c r="N13" s="561"/>
      <c r="O13" s="561"/>
      <c r="P13" s="564"/>
      <c r="Q13" s="544"/>
      <c r="R13" s="544"/>
      <c r="S13" s="568">
        <f>IF(COUNTIF(J13:K15,"CUMPLE")&gt;=1,(G13*I13),0)* (IF(N13="PRESENTÓ CERTIFICADO",1,0))* (IF(O13="ACORDE A ITEM 6.2.2.1 (T.R.)",1,0) )* ( IF(OR(Q13="SIN OBSERVACIÓN", Q13="REQUERIMIENTOS SUBSANADOS"),1,0)) *(IF(OR(R13="NINGUNO", R13="CUMPLEN CON LO SOLICITADO"),1,0))</f>
        <v>0</v>
      </c>
      <c r="T13" s="591"/>
      <c r="U13" s="541">
        <f t="shared" ref="U13" si="0">IF(COUNTIF(J13:K15,"CUMPLE")&gt;=1,1,0)</f>
        <v>0</v>
      </c>
      <c r="W13" s="494">
        <v>2</v>
      </c>
      <c r="X13" s="495" t="str">
        <f t="shared" ref="X13:X25" si="1">IFERROR(VLOOKUP(W13,LISTA_OFERENTES,2,FALSE)," ")</f>
        <v>UNIÓN TEMPORAL SUPERVISOR 2021</v>
      </c>
      <c r="Y13" s="495" t="str">
        <f t="shared" ref="Y13:Y27" ca="1" si="2">VLOOKUP(X13,BANDERA,2,FALSE)</f>
        <v>NO CUMPLE</v>
      </c>
      <c r="Z13" s="59" t="str">
        <f t="shared" ref="Z13:Z25" ca="1" si="3">IF(Y13="CUMPLE","H","NH")</f>
        <v>NH</v>
      </c>
      <c r="AD13" s="495" t="str">
        <f t="shared" ref="AD13:AD28" si="4">X13</f>
        <v>UNIÓN TEMPORAL SUPERVISOR 2021</v>
      </c>
      <c r="AE13" s="496" t="str">
        <f ca="1">INDIRECT("T"&amp;AH13)</f>
        <v>NO CUMPLE</v>
      </c>
      <c r="AF13" s="501"/>
      <c r="AG13" s="59" t="s">
        <v>45</v>
      </c>
      <c r="AH13" s="57">
        <f>AH12+AI$13</f>
        <v>50</v>
      </c>
      <c r="AI13" s="544">
        <v>22</v>
      </c>
    </row>
    <row r="14" spans="1:35" s="500" customFormat="1" ht="25" hidden="1" customHeight="1">
      <c r="A14" s="498"/>
      <c r="B14" s="547"/>
      <c r="C14" s="550"/>
      <c r="D14" s="550"/>
      <c r="E14" s="550"/>
      <c r="F14" s="550"/>
      <c r="G14" s="553"/>
      <c r="H14" s="556"/>
      <c r="I14" s="559"/>
      <c r="J14" s="499"/>
      <c r="K14" s="57">
        <v>811015</v>
      </c>
      <c r="L14" s="542"/>
      <c r="M14" s="544"/>
      <c r="N14" s="562"/>
      <c r="O14" s="562"/>
      <c r="P14" s="565"/>
      <c r="Q14" s="567"/>
      <c r="R14" s="567"/>
      <c r="S14" s="569"/>
      <c r="T14" s="592"/>
      <c r="U14" s="541"/>
      <c r="W14" s="494">
        <v>3</v>
      </c>
      <c r="X14" s="495" t="str">
        <f t="shared" si="1"/>
        <v>PreVeo S.A.S.</v>
      </c>
      <c r="Y14" s="495" t="str">
        <f t="shared" ca="1" si="2"/>
        <v>CUMPLE</v>
      </c>
      <c r="Z14" s="59" t="str">
        <f t="shared" ca="1" si="3"/>
        <v>H</v>
      </c>
      <c r="AD14" s="495" t="str">
        <f t="shared" si="4"/>
        <v>PreVeo S.A.S.</v>
      </c>
      <c r="AE14" s="496" t="str">
        <f t="shared" ref="AE14:AE28" ca="1" si="5">INDIRECT("T"&amp;AH14)</f>
        <v>CUMPLE</v>
      </c>
      <c r="AF14" s="501"/>
      <c r="AG14" s="59" t="s">
        <v>45</v>
      </c>
      <c r="AH14" s="57">
        <f>AH13+AI$13</f>
        <v>72</v>
      </c>
      <c r="AI14" s="567"/>
    </row>
    <row r="15" spans="1:35" s="500" customFormat="1" ht="25" hidden="1" customHeight="1">
      <c r="A15" s="498"/>
      <c r="B15" s="548"/>
      <c r="C15" s="551"/>
      <c r="D15" s="551"/>
      <c r="E15" s="551"/>
      <c r="F15" s="551"/>
      <c r="G15" s="554"/>
      <c r="H15" s="557"/>
      <c r="I15" s="560"/>
      <c r="J15" s="499"/>
      <c r="K15" s="57">
        <v>841116</v>
      </c>
      <c r="L15" s="543"/>
      <c r="M15" s="545"/>
      <c r="N15" s="563"/>
      <c r="O15" s="563"/>
      <c r="P15" s="566"/>
      <c r="Q15" s="545"/>
      <c r="R15" s="545"/>
      <c r="S15" s="570"/>
      <c r="T15" s="592"/>
      <c r="U15" s="541"/>
      <c r="W15" s="494">
        <v>4</v>
      </c>
      <c r="X15" s="495" t="str">
        <f t="shared" si="1"/>
        <v>INTERVE S.A.S.</v>
      </c>
      <c r="Y15" s="495" t="str">
        <f t="shared" ca="1" si="2"/>
        <v>CUMPLE</v>
      </c>
      <c r="Z15" s="59" t="str">
        <f t="shared" ca="1" si="3"/>
        <v>H</v>
      </c>
      <c r="AD15" s="495" t="str">
        <f t="shared" si="4"/>
        <v>INTERVE S.A.S.</v>
      </c>
      <c r="AE15" s="496" t="str">
        <f t="shared" ca="1" si="5"/>
        <v>CUMPLE</v>
      </c>
      <c r="AF15" s="501"/>
      <c r="AG15" s="59" t="s">
        <v>45</v>
      </c>
      <c r="AH15" s="57">
        <f>AH14+AI$13</f>
        <v>94</v>
      </c>
      <c r="AI15" s="567"/>
    </row>
    <row r="16" spans="1:35" s="500" customFormat="1" ht="25" hidden="1" customHeight="1">
      <c r="A16" s="498"/>
      <c r="B16" s="546">
        <v>2</v>
      </c>
      <c r="C16" s="571"/>
      <c r="D16" s="571"/>
      <c r="E16" s="571"/>
      <c r="F16" s="571"/>
      <c r="G16" s="574"/>
      <c r="H16" s="555"/>
      <c r="I16" s="577"/>
      <c r="J16" s="499"/>
      <c r="K16" s="57">
        <f>+$K$13</f>
        <v>801016</v>
      </c>
      <c r="L16" s="499"/>
      <c r="M16" s="57"/>
      <c r="N16" s="561"/>
      <c r="O16" s="561"/>
      <c r="P16" s="564"/>
      <c r="Q16" s="544"/>
      <c r="R16" s="544"/>
      <c r="S16" s="568">
        <f t="shared" ref="S16" si="6">IF(COUNTIF(J16:K18,"CUMPLE")&gt;=1,(G16*I16),0)* (IF(N16="PRESENTÓ CERTIFICADO",1,0))* (IF(O16="ACORDE A ITEM 6.2.2.1 (T.R.)",1,0) )* ( IF(OR(Q16="SIN OBSERVACIÓN", Q16="REQUERIMIENTOS SUBSANADOS"),1,0)) *(IF(OR(R16="NINGUNO", R16="CUMPLEN CON LO SOLICITADO"),1,0))</f>
        <v>0</v>
      </c>
      <c r="T16" s="592"/>
      <c r="U16" s="541">
        <f>IF(COUNTIF(L16:M18,"CUMPLE")&gt;=1,1,0)</f>
        <v>0</v>
      </c>
      <c r="W16" s="494">
        <v>5</v>
      </c>
      <c r="X16" s="495">
        <f t="shared" si="1"/>
        <v>0</v>
      </c>
      <c r="Y16" s="495" t="str">
        <f t="shared" ca="1" si="2"/>
        <v>NO CUMPLE</v>
      </c>
      <c r="Z16" s="59" t="str">
        <f t="shared" ca="1" si="3"/>
        <v>NH</v>
      </c>
      <c r="AD16" s="495">
        <f t="shared" si="4"/>
        <v>0</v>
      </c>
      <c r="AE16" s="496" t="str">
        <f t="shared" ca="1" si="5"/>
        <v>NO CUMPLE</v>
      </c>
      <c r="AF16" s="501"/>
      <c r="AG16" s="59" t="s">
        <v>45</v>
      </c>
      <c r="AH16" s="57">
        <f>AH15+AI$13</f>
        <v>116</v>
      </c>
      <c r="AI16" s="567"/>
    </row>
    <row r="17" spans="1:35" s="500" customFormat="1" ht="25" hidden="1" customHeight="1">
      <c r="A17" s="498"/>
      <c r="B17" s="547"/>
      <c r="C17" s="572"/>
      <c r="D17" s="572"/>
      <c r="E17" s="572"/>
      <c r="F17" s="572"/>
      <c r="G17" s="575"/>
      <c r="H17" s="556"/>
      <c r="I17" s="578"/>
      <c r="J17" s="499"/>
      <c r="K17" s="57">
        <f>+$K$14</f>
        <v>811015</v>
      </c>
      <c r="L17" s="542"/>
      <c r="M17" s="544"/>
      <c r="N17" s="562"/>
      <c r="O17" s="562"/>
      <c r="P17" s="565"/>
      <c r="Q17" s="567"/>
      <c r="R17" s="567"/>
      <c r="S17" s="569"/>
      <c r="T17" s="592"/>
      <c r="U17" s="541"/>
      <c r="W17" s="494">
        <v>6</v>
      </c>
      <c r="X17" s="495">
        <f t="shared" si="1"/>
        <v>0</v>
      </c>
      <c r="Y17" s="495" t="str">
        <f t="shared" ca="1" si="2"/>
        <v>NO CUMPLE</v>
      </c>
      <c r="Z17" s="59" t="str">
        <f t="shared" ca="1" si="3"/>
        <v>NH</v>
      </c>
      <c r="AD17" s="495">
        <f t="shared" si="4"/>
        <v>0</v>
      </c>
      <c r="AE17" s="496" t="str">
        <f t="shared" ca="1" si="5"/>
        <v>NO CUMPLE</v>
      </c>
      <c r="AF17" s="501"/>
      <c r="AG17" s="59" t="s">
        <v>45</v>
      </c>
      <c r="AH17" s="57">
        <f>AH16+AI$13</f>
        <v>138</v>
      </c>
      <c r="AI17" s="567"/>
    </row>
    <row r="18" spans="1:35" s="500" customFormat="1" ht="25" hidden="1" customHeight="1">
      <c r="A18" s="498"/>
      <c r="B18" s="548"/>
      <c r="C18" s="573"/>
      <c r="D18" s="573"/>
      <c r="E18" s="573"/>
      <c r="F18" s="573"/>
      <c r="G18" s="576"/>
      <c r="H18" s="557"/>
      <c r="I18" s="579"/>
      <c r="J18" s="499"/>
      <c r="K18" s="57">
        <f>+$K$15</f>
        <v>841116</v>
      </c>
      <c r="L18" s="543"/>
      <c r="M18" s="545"/>
      <c r="N18" s="563"/>
      <c r="O18" s="563"/>
      <c r="P18" s="566"/>
      <c r="Q18" s="545"/>
      <c r="R18" s="545"/>
      <c r="S18" s="570"/>
      <c r="T18" s="592"/>
      <c r="U18" s="541"/>
      <c r="W18" s="494">
        <v>7</v>
      </c>
      <c r="X18" s="495">
        <f t="shared" si="1"/>
        <v>0</v>
      </c>
      <c r="Y18" s="495" t="str">
        <f t="shared" ca="1" si="2"/>
        <v>NO CUMPLE</v>
      </c>
      <c r="Z18" s="59" t="str">
        <f t="shared" ca="1" si="3"/>
        <v>NH</v>
      </c>
      <c r="AD18" s="495">
        <f t="shared" si="4"/>
        <v>0</v>
      </c>
      <c r="AE18" s="496" t="str">
        <f t="shared" ca="1" si="5"/>
        <v>NO CUMPLE</v>
      </c>
      <c r="AF18" s="502"/>
      <c r="AG18" s="59" t="s">
        <v>45</v>
      </c>
      <c r="AH18" s="57">
        <f t="shared" ref="AH18:AH28" si="7">AH17+AI$13</f>
        <v>160</v>
      </c>
      <c r="AI18" s="567"/>
    </row>
    <row r="19" spans="1:35" s="500" customFormat="1" ht="25" hidden="1" customHeight="1">
      <c r="A19" s="498"/>
      <c r="B19" s="546">
        <v>3</v>
      </c>
      <c r="C19" s="549"/>
      <c r="D19" s="549"/>
      <c r="E19" s="549"/>
      <c r="F19" s="549"/>
      <c r="G19" s="552"/>
      <c r="H19" s="555"/>
      <c r="I19" s="558"/>
      <c r="J19" s="499"/>
      <c r="K19" s="57">
        <f>+$K$13</f>
        <v>801016</v>
      </c>
      <c r="L19" s="499"/>
      <c r="M19" s="57"/>
      <c r="N19" s="561"/>
      <c r="O19" s="561"/>
      <c r="P19" s="564"/>
      <c r="Q19" s="544"/>
      <c r="R19" s="544"/>
      <c r="S19" s="568">
        <f t="shared" ref="S19" si="8">IF(COUNTIF(J19:K21,"CUMPLE")&gt;=1,(G19*I19),0)* (IF(N19="PRESENTÓ CERTIFICADO",1,0))* (IF(O19="ACORDE A ITEM 6.2.2.1 (T.R.)",1,0) )* ( IF(OR(Q19="SIN OBSERVACIÓN", Q19="REQUERIMIENTOS SUBSANADOS"),1,0)) *(IF(OR(R19="NINGUNO", R19="CUMPLEN CON LO SOLICITADO"),1,0))</f>
        <v>0</v>
      </c>
      <c r="T19" s="592"/>
      <c r="U19" s="541">
        <f>IF(COUNTIF(L19:M21,"CUMPLE")&gt;=1,1,0)</f>
        <v>0</v>
      </c>
      <c r="W19" s="494">
        <v>8</v>
      </c>
      <c r="X19" s="495">
        <f t="shared" si="1"/>
        <v>0</v>
      </c>
      <c r="Y19" s="495" t="str">
        <f t="shared" ca="1" si="2"/>
        <v>NO CUMPLE</v>
      </c>
      <c r="Z19" s="59" t="str">
        <f t="shared" ca="1" si="3"/>
        <v>NH</v>
      </c>
      <c r="AD19" s="495">
        <f t="shared" si="4"/>
        <v>0</v>
      </c>
      <c r="AE19" s="496" t="str">
        <f t="shared" ca="1" si="5"/>
        <v>NO CUMPLE</v>
      </c>
      <c r="AF19" s="502"/>
      <c r="AG19" s="59" t="s">
        <v>45</v>
      </c>
      <c r="AH19" s="57">
        <f t="shared" si="7"/>
        <v>182</v>
      </c>
      <c r="AI19" s="567"/>
    </row>
    <row r="20" spans="1:35" s="500" customFormat="1" ht="25" hidden="1" customHeight="1">
      <c r="A20" s="498"/>
      <c r="B20" s="547"/>
      <c r="C20" s="550"/>
      <c r="D20" s="550"/>
      <c r="E20" s="550"/>
      <c r="F20" s="550"/>
      <c r="G20" s="553"/>
      <c r="H20" s="556"/>
      <c r="I20" s="559"/>
      <c r="J20" s="499"/>
      <c r="K20" s="57">
        <f>+$K$14</f>
        <v>811015</v>
      </c>
      <c r="L20" s="542"/>
      <c r="M20" s="544"/>
      <c r="N20" s="562"/>
      <c r="O20" s="562"/>
      <c r="P20" s="565"/>
      <c r="Q20" s="567"/>
      <c r="R20" s="567"/>
      <c r="S20" s="569"/>
      <c r="T20" s="592"/>
      <c r="U20" s="541"/>
      <c r="W20" s="494">
        <v>9</v>
      </c>
      <c r="X20" s="495">
        <f t="shared" si="1"/>
        <v>0</v>
      </c>
      <c r="Y20" s="495" t="str">
        <f t="shared" ca="1" si="2"/>
        <v>NO CUMPLE</v>
      </c>
      <c r="Z20" s="59" t="str">
        <f t="shared" ca="1" si="3"/>
        <v>NH</v>
      </c>
      <c r="AD20" s="495">
        <f t="shared" si="4"/>
        <v>0</v>
      </c>
      <c r="AE20" s="496" t="str">
        <f t="shared" ca="1" si="5"/>
        <v>CUMPLE</v>
      </c>
      <c r="AF20" s="502"/>
      <c r="AG20" s="59" t="s">
        <v>45</v>
      </c>
      <c r="AH20" s="57">
        <f t="shared" si="7"/>
        <v>204</v>
      </c>
      <c r="AI20" s="567"/>
    </row>
    <row r="21" spans="1:35" s="500" customFormat="1" ht="25" hidden="1" customHeight="1">
      <c r="A21" s="498"/>
      <c r="B21" s="548"/>
      <c r="C21" s="551"/>
      <c r="D21" s="551"/>
      <c r="E21" s="551"/>
      <c r="F21" s="551"/>
      <c r="G21" s="554"/>
      <c r="H21" s="557"/>
      <c r="I21" s="560"/>
      <c r="J21" s="499"/>
      <c r="K21" s="57">
        <f>+$K$15</f>
        <v>841116</v>
      </c>
      <c r="L21" s="543"/>
      <c r="M21" s="545"/>
      <c r="N21" s="563"/>
      <c r="O21" s="563"/>
      <c r="P21" s="566"/>
      <c r="Q21" s="545"/>
      <c r="R21" s="545"/>
      <c r="S21" s="570"/>
      <c r="T21" s="592"/>
      <c r="U21" s="541"/>
      <c r="W21" s="494">
        <v>10</v>
      </c>
      <c r="X21" s="495">
        <f t="shared" si="1"/>
        <v>0</v>
      </c>
      <c r="Y21" s="495" t="str">
        <f t="shared" ca="1" si="2"/>
        <v>NO CUMPLE</v>
      </c>
      <c r="Z21" s="59" t="str">
        <f t="shared" ca="1" si="3"/>
        <v>NH</v>
      </c>
      <c r="AD21" s="495">
        <f t="shared" si="4"/>
        <v>0</v>
      </c>
      <c r="AE21" s="496" t="str">
        <f t="shared" ca="1" si="5"/>
        <v>NO CUMPLE</v>
      </c>
      <c r="AF21" s="502"/>
      <c r="AG21" s="59" t="s">
        <v>45</v>
      </c>
      <c r="AH21" s="57">
        <f t="shared" si="7"/>
        <v>226</v>
      </c>
      <c r="AI21" s="567"/>
    </row>
    <row r="22" spans="1:35" s="500" customFormat="1" ht="25" hidden="1" customHeight="1">
      <c r="A22" s="498"/>
      <c r="B22" s="546">
        <v>4</v>
      </c>
      <c r="C22" s="571"/>
      <c r="D22" s="571"/>
      <c r="E22" s="571"/>
      <c r="F22" s="571"/>
      <c r="G22" s="574"/>
      <c r="H22" s="555"/>
      <c r="I22" s="577"/>
      <c r="J22" s="499"/>
      <c r="K22" s="57">
        <f>+$K$13</f>
        <v>801016</v>
      </c>
      <c r="L22" s="499"/>
      <c r="M22" s="57"/>
      <c r="N22" s="561"/>
      <c r="O22" s="561"/>
      <c r="P22" s="564"/>
      <c r="Q22" s="544"/>
      <c r="R22" s="544"/>
      <c r="S22" s="568">
        <f t="shared" ref="S22" si="9">IF(COUNTIF(J22:K24,"CUMPLE")&gt;=1,(G22*I22),0)* (IF(N22="PRESENTÓ CERTIFICADO",1,0))* (IF(O22="ACORDE A ITEM 6.2.2.1 (T.R.)",1,0) )* ( IF(OR(Q22="SIN OBSERVACIÓN", Q22="REQUERIMIENTOS SUBSANADOS"),1,0)) *(IF(OR(R22="NINGUNO", R22="CUMPLEN CON LO SOLICITADO"),1,0))</f>
        <v>0</v>
      </c>
      <c r="T22" s="592"/>
      <c r="U22" s="541">
        <f>IF(COUNTIF(L22:M24,"CUMPLE")&gt;=1,1,0)</f>
        <v>0</v>
      </c>
      <c r="W22" s="494">
        <v>11</v>
      </c>
      <c r="X22" s="495">
        <f t="shared" si="1"/>
        <v>0</v>
      </c>
      <c r="Y22" s="495" t="str">
        <f t="shared" ca="1" si="2"/>
        <v>NO CUMPLE</v>
      </c>
      <c r="Z22" s="59" t="str">
        <f t="shared" ca="1" si="3"/>
        <v>NH</v>
      </c>
      <c r="AD22" s="495">
        <f t="shared" si="4"/>
        <v>0</v>
      </c>
      <c r="AE22" s="496" t="str">
        <f t="shared" ca="1" si="5"/>
        <v>NO CUMPLE</v>
      </c>
      <c r="AF22" s="502"/>
      <c r="AG22" s="59" t="s">
        <v>45</v>
      </c>
      <c r="AH22" s="57">
        <f t="shared" si="7"/>
        <v>248</v>
      </c>
      <c r="AI22" s="567"/>
    </row>
    <row r="23" spans="1:35" s="500" customFormat="1" ht="25" hidden="1" customHeight="1">
      <c r="A23" s="498"/>
      <c r="B23" s="547"/>
      <c r="C23" s="572"/>
      <c r="D23" s="572"/>
      <c r="E23" s="572"/>
      <c r="F23" s="572"/>
      <c r="G23" s="575"/>
      <c r="H23" s="556"/>
      <c r="I23" s="578"/>
      <c r="J23" s="499"/>
      <c r="K23" s="57">
        <f>+$K$14</f>
        <v>811015</v>
      </c>
      <c r="L23" s="542"/>
      <c r="M23" s="544"/>
      <c r="N23" s="562"/>
      <c r="O23" s="562"/>
      <c r="P23" s="565"/>
      <c r="Q23" s="567"/>
      <c r="R23" s="567"/>
      <c r="S23" s="569"/>
      <c r="T23" s="592"/>
      <c r="U23" s="541"/>
      <c r="W23" s="494">
        <v>12</v>
      </c>
      <c r="X23" s="495">
        <f t="shared" si="1"/>
        <v>0</v>
      </c>
      <c r="Y23" s="495" t="str">
        <f t="shared" ca="1" si="2"/>
        <v>NO CUMPLE</v>
      </c>
      <c r="Z23" s="59" t="str">
        <f t="shared" ca="1" si="3"/>
        <v>NH</v>
      </c>
      <c r="AD23" s="495">
        <f t="shared" si="4"/>
        <v>0</v>
      </c>
      <c r="AE23" s="496" t="str">
        <f t="shared" ca="1" si="5"/>
        <v>NO CUMPLE</v>
      </c>
      <c r="AF23" s="502"/>
      <c r="AG23" s="59" t="s">
        <v>45</v>
      </c>
      <c r="AH23" s="57">
        <f t="shared" si="7"/>
        <v>270</v>
      </c>
      <c r="AI23" s="567"/>
    </row>
    <row r="24" spans="1:35" s="500" customFormat="1" ht="25" hidden="1" customHeight="1">
      <c r="A24" s="498"/>
      <c r="B24" s="548"/>
      <c r="C24" s="573"/>
      <c r="D24" s="573"/>
      <c r="E24" s="573"/>
      <c r="F24" s="573"/>
      <c r="G24" s="576"/>
      <c r="H24" s="557"/>
      <c r="I24" s="579"/>
      <c r="J24" s="499"/>
      <c r="K24" s="57">
        <f>+$K$15</f>
        <v>841116</v>
      </c>
      <c r="L24" s="543"/>
      <c r="M24" s="545"/>
      <c r="N24" s="563"/>
      <c r="O24" s="563"/>
      <c r="P24" s="566"/>
      <c r="Q24" s="545"/>
      <c r="R24" s="545"/>
      <c r="S24" s="570"/>
      <c r="T24" s="592"/>
      <c r="U24" s="541"/>
      <c r="W24" s="494">
        <v>13</v>
      </c>
      <c r="X24" s="495">
        <f t="shared" si="1"/>
        <v>0</v>
      </c>
      <c r="Y24" s="495" t="str">
        <f t="shared" ca="1" si="2"/>
        <v>NO CUMPLE</v>
      </c>
      <c r="Z24" s="59" t="str">
        <f t="shared" ca="1" si="3"/>
        <v>NH</v>
      </c>
      <c r="AD24" s="495">
        <f t="shared" si="4"/>
        <v>0</v>
      </c>
      <c r="AE24" s="496" t="str">
        <f t="shared" ca="1" si="5"/>
        <v>NO CUMPLE</v>
      </c>
      <c r="AF24" s="502"/>
      <c r="AG24" s="59" t="s">
        <v>45</v>
      </c>
      <c r="AH24" s="57">
        <f t="shared" si="7"/>
        <v>292</v>
      </c>
      <c r="AI24" s="567"/>
    </row>
    <row r="25" spans="1:35" s="500" customFormat="1" ht="25" hidden="1" customHeight="1">
      <c r="A25" s="498"/>
      <c r="B25" s="546">
        <v>5</v>
      </c>
      <c r="C25" s="549"/>
      <c r="D25" s="549"/>
      <c r="E25" s="549"/>
      <c r="F25" s="549"/>
      <c r="G25" s="552"/>
      <c r="H25" s="555"/>
      <c r="I25" s="558"/>
      <c r="J25" s="499"/>
      <c r="K25" s="57">
        <f>+$K$13</f>
        <v>801016</v>
      </c>
      <c r="L25" s="499"/>
      <c r="M25" s="57"/>
      <c r="N25" s="561"/>
      <c r="O25" s="561"/>
      <c r="P25" s="564"/>
      <c r="Q25" s="544"/>
      <c r="R25" s="544"/>
      <c r="S25" s="568">
        <f t="shared" ref="S25" si="10">IF(COUNTIF(J25:K27,"CUMPLE")&gt;=1,(G25*I25),0)* (IF(N25="PRESENTÓ CERTIFICADO",1,0))* (IF(O25="ACORDE A ITEM 6.2.2.1 (T.R.)",1,0) )* ( IF(OR(Q25="SIN OBSERVACIÓN", Q25="REQUERIMIENTOS SUBSANADOS"),1,0)) *(IF(OR(R25="NINGUNO", R25="CUMPLEN CON LO SOLICITADO"),1,0))</f>
        <v>0</v>
      </c>
      <c r="T25" s="592"/>
      <c r="U25" s="541">
        <f>IF(COUNTIF(L25:M27,"CUMPLE")&gt;=1,1,0)</f>
        <v>0</v>
      </c>
      <c r="W25" s="494">
        <v>14</v>
      </c>
      <c r="X25" s="495">
        <f t="shared" si="1"/>
        <v>0</v>
      </c>
      <c r="Y25" s="495" t="str">
        <f t="shared" ca="1" si="2"/>
        <v>NO CUMPLE</v>
      </c>
      <c r="Z25" s="59" t="str">
        <f t="shared" ca="1" si="3"/>
        <v>NH</v>
      </c>
      <c r="AD25" s="495">
        <f t="shared" si="4"/>
        <v>0</v>
      </c>
      <c r="AE25" s="496" t="str">
        <f t="shared" ca="1" si="5"/>
        <v>NO CUMPLE</v>
      </c>
      <c r="AF25" s="502"/>
      <c r="AG25" s="59" t="s">
        <v>45</v>
      </c>
      <c r="AH25" s="57">
        <f t="shared" si="7"/>
        <v>314</v>
      </c>
      <c r="AI25" s="567"/>
    </row>
    <row r="26" spans="1:35" s="500" customFormat="1" ht="25" hidden="1" customHeight="1">
      <c r="A26" s="498"/>
      <c r="B26" s="547"/>
      <c r="C26" s="550"/>
      <c r="D26" s="550"/>
      <c r="E26" s="550"/>
      <c r="F26" s="550"/>
      <c r="G26" s="553"/>
      <c r="H26" s="556"/>
      <c r="I26" s="559"/>
      <c r="J26" s="499"/>
      <c r="K26" s="57">
        <f>+$K$14</f>
        <v>811015</v>
      </c>
      <c r="L26" s="542"/>
      <c r="M26" s="544"/>
      <c r="N26" s="562"/>
      <c r="O26" s="562"/>
      <c r="P26" s="565"/>
      <c r="Q26" s="567"/>
      <c r="R26" s="567"/>
      <c r="S26" s="569"/>
      <c r="T26" s="592"/>
      <c r="U26" s="541"/>
      <c r="W26" s="494">
        <v>15</v>
      </c>
      <c r="X26" s="495">
        <f t="shared" ref="X26:X28" si="11">IFERROR(VLOOKUP(W26,LISTA_OFERENTES,2,FALSE)," ")</f>
        <v>0</v>
      </c>
      <c r="Y26" s="495" t="str">
        <f t="shared" ca="1" si="2"/>
        <v>NO CUMPLE</v>
      </c>
      <c r="Z26" s="59" t="str">
        <f ca="1">IF(Y26="CUMPLE","H","NH")</f>
        <v>NH</v>
      </c>
      <c r="AD26" s="495">
        <f t="shared" si="4"/>
        <v>0</v>
      </c>
      <c r="AE26" s="496">
        <f t="shared" ca="1" si="5"/>
        <v>0</v>
      </c>
      <c r="AF26" s="502"/>
      <c r="AG26" s="59" t="s">
        <v>45</v>
      </c>
      <c r="AH26" s="57">
        <f t="shared" si="7"/>
        <v>336</v>
      </c>
      <c r="AI26" s="567"/>
    </row>
    <row r="27" spans="1:35" s="500" customFormat="1" ht="25" hidden="1" customHeight="1">
      <c r="A27" s="498"/>
      <c r="B27" s="548"/>
      <c r="C27" s="551"/>
      <c r="D27" s="551"/>
      <c r="E27" s="551"/>
      <c r="F27" s="551"/>
      <c r="G27" s="554"/>
      <c r="H27" s="557"/>
      <c r="I27" s="560"/>
      <c r="J27" s="499"/>
      <c r="K27" s="57">
        <f>+$K$15</f>
        <v>841116</v>
      </c>
      <c r="L27" s="543"/>
      <c r="M27" s="545"/>
      <c r="N27" s="563"/>
      <c r="O27" s="563"/>
      <c r="P27" s="566"/>
      <c r="Q27" s="545"/>
      <c r="R27" s="545"/>
      <c r="S27" s="570"/>
      <c r="T27" s="593"/>
      <c r="U27" s="541"/>
      <c r="W27" s="494">
        <v>16</v>
      </c>
      <c r="X27" s="495">
        <f t="shared" si="11"/>
        <v>0</v>
      </c>
      <c r="Y27" s="495" t="str">
        <f t="shared" ca="1" si="2"/>
        <v>NO CUMPLE</v>
      </c>
      <c r="Z27" s="59" t="str">
        <f ca="1">IF(Y27="CUMPLE","H","NH")</f>
        <v>NH</v>
      </c>
      <c r="AD27" s="495">
        <f t="shared" si="4"/>
        <v>0</v>
      </c>
      <c r="AE27" s="496">
        <f t="shared" ca="1" si="5"/>
        <v>0</v>
      </c>
      <c r="AG27" s="59" t="s">
        <v>45</v>
      </c>
      <c r="AH27" s="57">
        <f t="shared" si="7"/>
        <v>358</v>
      </c>
      <c r="AI27" s="567"/>
    </row>
    <row r="28" spans="1:35" ht="25" customHeight="1">
      <c r="A28" s="13"/>
      <c r="B28" s="580" t="str">
        <f>IF(S29=" "," ",IF(S29&gt;=$H$6,"CUMPLE CON LA EXPERIENCIA REQUERIDA","NO CUMPLE CON LA EXPERIENCIA REQUERIDA"))</f>
        <v>NO CUMPLE CON LA EXPERIENCIA REQUERIDA</v>
      </c>
      <c r="C28" s="581"/>
      <c r="D28" s="581"/>
      <c r="E28" s="581"/>
      <c r="F28" s="581"/>
      <c r="G28" s="581"/>
      <c r="H28" s="581"/>
      <c r="I28" s="581"/>
      <c r="J28" s="581"/>
      <c r="K28" s="581"/>
      <c r="L28" s="581"/>
      <c r="M28" s="581"/>
      <c r="N28" s="581"/>
      <c r="O28" s="582"/>
      <c r="P28" s="586" t="s">
        <v>46</v>
      </c>
      <c r="Q28" s="587"/>
      <c r="R28" s="588"/>
      <c r="S28" s="503">
        <f>IF(T13="SI",SUM(S13:S27),0)</f>
        <v>0</v>
      </c>
      <c r="T28" s="589" t="str">
        <f>IF(S29=" "," ",IF(S29&gt;=$H$6,"CUMPLE","NO CUMPLE"))</f>
        <v>NO CUMPLE</v>
      </c>
      <c r="W28" s="494">
        <v>17</v>
      </c>
      <c r="X28" s="495">
        <f t="shared" si="11"/>
        <v>0</v>
      </c>
      <c r="Y28" s="495" t="str">
        <f t="shared" ref="Y28" ca="1" si="12">VLOOKUP(X28,BANDERA,2,FALSE)</f>
        <v>NO CUMPLE</v>
      </c>
      <c r="Z28" s="59" t="str">
        <f t="shared" ref="Z28" ca="1" si="13">IF(Y28="CUMPLE","H","NH")</f>
        <v>NH</v>
      </c>
      <c r="AA28" s="500"/>
      <c r="AB28" s="500"/>
      <c r="AC28" s="500"/>
      <c r="AD28" s="495">
        <f t="shared" si="4"/>
        <v>0</v>
      </c>
      <c r="AE28" s="496">
        <f t="shared" ca="1" si="5"/>
        <v>0</v>
      </c>
      <c r="AF28" s="500"/>
      <c r="AG28" s="59" t="s">
        <v>45</v>
      </c>
      <c r="AH28" s="57">
        <f t="shared" si="7"/>
        <v>380</v>
      </c>
      <c r="AI28" s="545"/>
    </row>
    <row r="29" spans="1:35" s="500" customFormat="1" ht="25" customHeight="1">
      <c r="B29" s="583"/>
      <c r="C29" s="584"/>
      <c r="D29" s="584"/>
      <c r="E29" s="584"/>
      <c r="F29" s="584"/>
      <c r="G29" s="584"/>
      <c r="H29" s="584"/>
      <c r="I29" s="584"/>
      <c r="J29" s="584"/>
      <c r="K29" s="584"/>
      <c r="L29" s="584"/>
      <c r="M29" s="584"/>
      <c r="N29" s="584"/>
      <c r="O29" s="585"/>
      <c r="P29" s="586" t="s">
        <v>47</v>
      </c>
      <c r="Q29" s="587"/>
      <c r="R29" s="588"/>
      <c r="S29" s="503">
        <f>IFERROR((S28/$P$6)," ")</f>
        <v>0</v>
      </c>
      <c r="T29" s="590"/>
      <c r="W29" s="29"/>
      <c r="X29" s="29"/>
      <c r="Y29" s="29"/>
      <c r="Z29" s="29"/>
      <c r="AD29" s="13"/>
      <c r="AE29" s="13"/>
      <c r="AF29" s="13"/>
      <c r="AG29" s="13"/>
      <c r="AH29" s="13"/>
      <c r="AI29" s="13"/>
    </row>
    <row r="30" spans="1:35" s="500" customFormat="1" ht="30" customHeight="1">
      <c r="W30" s="29"/>
      <c r="X30" s="29"/>
      <c r="Y30" s="29"/>
      <c r="Z30" s="29"/>
      <c r="AD30" s="13"/>
      <c r="AE30" s="13"/>
      <c r="AF30" s="13"/>
      <c r="AG30" s="13"/>
      <c r="AH30" s="13"/>
      <c r="AI30" s="13"/>
    </row>
    <row r="31" spans="1:35" ht="30" customHeight="1">
      <c r="AA31" s="500"/>
      <c r="AB31" s="500"/>
      <c r="AC31" s="500"/>
    </row>
    <row r="32" spans="1:35" ht="56.25" customHeight="1">
      <c r="B32" s="465">
        <v>2</v>
      </c>
      <c r="C32" s="601" t="str">
        <f>+C10</f>
        <v xml:space="preserve">EXPERIENCIA GENERAL </v>
      </c>
      <c r="D32" s="602"/>
      <c r="E32" s="603"/>
      <c r="F32" s="604" t="str">
        <f>IFERROR(VLOOKUP(B32,LISTA_OFERENTES,2,FALSE)," ")</f>
        <v>UNIÓN TEMPORAL SUPERVISOR 2021</v>
      </c>
      <c r="G32" s="605"/>
      <c r="H32" s="605"/>
      <c r="I32" s="605"/>
      <c r="J32" s="605"/>
      <c r="K32" s="605"/>
      <c r="L32" s="605"/>
      <c r="M32" s="605"/>
      <c r="N32" s="605"/>
      <c r="O32" s="606"/>
      <c r="P32" s="607" t="s">
        <v>26</v>
      </c>
      <c r="Q32" s="608"/>
      <c r="R32" s="609"/>
      <c r="S32" s="491">
        <f>5-(INT(COUNTBLANK(C35:C49))-10)</f>
        <v>0</v>
      </c>
      <c r="AA32" s="500"/>
      <c r="AB32" s="500"/>
      <c r="AC32" s="500"/>
    </row>
    <row r="33" spans="1:35" s="501" customFormat="1" ht="38.25" customHeight="1">
      <c r="B33" s="610" t="s">
        <v>27</v>
      </c>
      <c r="C33" s="596" t="s">
        <v>28</v>
      </c>
      <c r="D33" s="596" t="s">
        <v>29</v>
      </c>
      <c r="E33" s="596" t="s">
        <v>30</v>
      </c>
      <c r="F33" s="596" t="s">
        <v>31</v>
      </c>
      <c r="G33" s="596" t="s">
        <v>32</v>
      </c>
      <c r="H33" s="596" t="s">
        <v>33</v>
      </c>
      <c r="I33" s="596" t="s">
        <v>34</v>
      </c>
      <c r="J33" s="594" t="s">
        <v>35</v>
      </c>
      <c r="K33" s="612"/>
      <c r="L33" s="612"/>
      <c r="M33" s="595"/>
      <c r="N33" s="596" t="s">
        <v>36</v>
      </c>
      <c r="O33" s="596" t="s">
        <v>37</v>
      </c>
      <c r="P33" s="594" t="s">
        <v>38</v>
      </c>
      <c r="Q33" s="595"/>
      <c r="R33" s="596" t="s">
        <v>39</v>
      </c>
      <c r="S33" s="596" t="s">
        <v>40</v>
      </c>
      <c r="T33"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33" s="596" t="str">
        <f>+$U$11</f>
        <v xml:space="preserve">VERIFICACIÓN CONDICIÓN DE EXPERIENCIA  </v>
      </c>
      <c r="V33" s="504"/>
      <c r="W33" s="29"/>
      <c r="X33" s="29"/>
      <c r="Y33" s="29"/>
      <c r="Z33" s="29"/>
      <c r="AA33" s="500"/>
      <c r="AB33" s="500"/>
      <c r="AC33" s="500"/>
      <c r="AD33" s="13"/>
      <c r="AE33" s="13"/>
      <c r="AF33" s="13"/>
      <c r="AG33" s="13"/>
      <c r="AH33" s="13"/>
      <c r="AI33" s="13"/>
    </row>
    <row r="34" spans="1:35" s="501" customFormat="1" ht="59.25" customHeight="1">
      <c r="B34" s="611"/>
      <c r="C34" s="597"/>
      <c r="D34" s="597"/>
      <c r="E34" s="597"/>
      <c r="F34" s="597"/>
      <c r="G34" s="597"/>
      <c r="H34" s="597"/>
      <c r="I34" s="597"/>
      <c r="J34" s="598" t="s">
        <v>43</v>
      </c>
      <c r="K34" s="599"/>
      <c r="L34" s="599"/>
      <c r="M34" s="600"/>
      <c r="N34" s="597"/>
      <c r="O34" s="597"/>
      <c r="P34" s="493" t="s">
        <v>10</v>
      </c>
      <c r="Q34" s="493" t="s">
        <v>44</v>
      </c>
      <c r="R34" s="597"/>
      <c r="S34" s="597"/>
      <c r="T34" s="597"/>
      <c r="U34" s="597"/>
      <c r="V34" s="504"/>
      <c r="W34" s="29"/>
      <c r="X34" s="29"/>
      <c r="Y34" s="29"/>
      <c r="Z34" s="29"/>
      <c r="AA34" s="500"/>
      <c r="AB34" s="500"/>
      <c r="AC34" s="500"/>
      <c r="AD34" s="13"/>
      <c r="AE34" s="13"/>
      <c r="AF34" s="13"/>
      <c r="AG34" s="13"/>
      <c r="AH34" s="13"/>
      <c r="AI34" s="13"/>
    </row>
    <row r="35" spans="1:35" s="500" customFormat="1" ht="30.75" hidden="1" customHeight="1">
      <c r="A35" s="498"/>
      <c r="B35" s="546">
        <v>1</v>
      </c>
      <c r="C35" s="549"/>
      <c r="D35" s="549"/>
      <c r="E35" s="549"/>
      <c r="F35" s="549"/>
      <c r="G35" s="552"/>
      <c r="H35" s="555"/>
      <c r="I35" s="558"/>
      <c r="J35" s="499"/>
      <c r="K35" s="57">
        <f>+$K$13</f>
        <v>801016</v>
      </c>
      <c r="L35" s="499"/>
      <c r="M35" s="57">
        <f t="shared" ref="M35" si="14">+$M$13</f>
        <v>0</v>
      </c>
      <c r="N35" s="561"/>
      <c r="O35" s="561"/>
      <c r="P35" s="564"/>
      <c r="Q35" s="544"/>
      <c r="R35" s="544"/>
      <c r="S35" s="568">
        <f>IF(COUNTIF(J35:K37,"CUMPLE")&gt;=1,(G35*I35),0)* (IF(N35="PRESENTÓ CERTIFICADO",1,0))* (IF(O35="ACORDE A ITEM 6.2.2.1 (T.R.)",1,0) )* ( IF(OR(Q35="SIN OBSERVACIÓN", Q35="REQUERIMIENTOS SUBSANADOS"),1,0)) *(IF(OR(R35="NINGUNO", R35="CUMPLEN CON LO SOLICITADO"),1,0))</f>
        <v>0</v>
      </c>
      <c r="T35" s="591"/>
      <c r="U35" s="541">
        <f t="shared" ref="U35:U47" si="15">IF(COUNTIF(J35:K37,"CUMPLE")&gt;=1,1,0)</f>
        <v>0</v>
      </c>
      <c r="W35" s="29"/>
      <c r="X35" s="29"/>
      <c r="Y35" s="29"/>
      <c r="Z35" s="29"/>
      <c r="AD35" s="13"/>
      <c r="AE35" s="13"/>
      <c r="AF35" s="13"/>
      <c r="AG35" s="13"/>
      <c r="AH35" s="13"/>
      <c r="AI35" s="13"/>
    </row>
    <row r="36" spans="1:35" s="500" customFormat="1" ht="30.75" hidden="1" customHeight="1">
      <c r="A36" s="498"/>
      <c r="B36" s="547"/>
      <c r="C36" s="550"/>
      <c r="D36" s="550"/>
      <c r="E36" s="550"/>
      <c r="F36" s="550"/>
      <c r="G36" s="553"/>
      <c r="H36" s="556"/>
      <c r="I36" s="559"/>
      <c r="J36" s="499"/>
      <c r="K36" s="57">
        <f>+$K$14</f>
        <v>811015</v>
      </c>
      <c r="L36" s="542"/>
      <c r="M36" s="544">
        <f t="shared" ref="M36" si="16">+$M$14</f>
        <v>0</v>
      </c>
      <c r="N36" s="562"/>
      <c r="O36" s="562"/>
      <c r="P36" s="565"/>
      <c r="Q36" s="567"/>
      <c r="R36" s="567"/>
      <c r="S36" s="569"/>
      <c r="T36" s="592"/>
      <c r="U36" s="541"/>
      <c r="W36" s="29"/>
      <c r="X36" s="29"/>
      <c r="Y36" s="29"/>
      <c r="Z36" s="29"/>
      <c r="AD36" s="13"/>
      <c r="AE36" s="13"/>
      <c r="AF36" s="13"/>
      <c r="AG36" s="13"/>
      <c r="AH36" s="13"/>
      <c r="AI36" s="13"/>
    </row>
    <row r="37" spans="1:35" s="500" customFormat="1" ht="30.75" hidden="1" customHeight="1">
      <c r="A37" s="498"/>
      <c r="B37" s="548"/>
      <c r="C37" s="551"/>
      <c r="D37" s="551"/>
      <c r="E37" s="551"/>
      <c r="F37" s="551"/>
      <c r="G37" s="554"/>
      <c r="H37" s="557"/>
      <c r="I37" s="560"/>
      <c r="J37" s="499"/>
      <c r="K37" s="57">
        <f>+$K$15</f>
        <v>841116</v>
      </c>
      <c r="L37" s="543"/>
      <c r="M37" s="545"/>
      <c r="N37" s="563"/>
      <c r="O37" s="563"/>
      <c r="P37" s="566"/>
      <c r="Q37" s="545"/>
      <c r="R37" s="545"/>
      <c r="S37" s="570"/>
      <c r="T37" s="592"/>
      <c r="U37" s="541"/>
      <c r="W37" s="29"/>
      <c r="X37" s="29"/>
      <c r="Y37" s="29"/>
      <c r="Z37" s="29"/>
      <c r="AD37" s="13"/>
      <c r="AE37" s="13"/>
      <c r="AF37" s="13"/>
      <c r="AG37" s="13"/>
      <c r="AH37" s="13"/>
      <c r="AI37" s="13"/>
    </row>
    <row r="38" spans="1:35" s="500" customFormat="1" ht="25.5" hidden="1" customHeight="1">
      <c r="A38" s="498"/>
      <c r="B38" s="546">
        <v>2</v>
      </c>
      <c r="C38" s="571"/>
      <c r="D38" s="571"/>
      <c r="E38" s="571"/>
      <c r="F38" s="571"/>
      <c r="G38" s="574"/>
      <c r="H38" s="555"/>
      <c r="I38" s="577"/>
      <c r="J38" s="499"/>
      <c r="K38" s="57">
        <f>+$K$13</f>
        <v>801016</v>
      </c>
      <c r="L38" s="499"/>
      <c r="M38" s="57">
        <f t="shared" ref="M38" si="17">+$M$13</f>
        <v>0</v>
      </c>
      <c r="N38" s="561"/>
      <c r="O38" s="561"/>
      <c r="P38" s="564"/>
      <c r="Q38" s="544"/>
      <c r="R38" s="544"/>
      <c r="S38" s="568">
        <f t="shared" ref="S38" si="18">IF(COUNTIF(J38:K40,"CUMPLE")&gt;=1,(G38*I38),0)* (IF(N38="PRESENTÓ CERTIFICADO",1,0))* (IF(O38="ACORDE A ITEM 6.2.2.1 (T.R.)",1,0) )* ( IF(OR(Q38="SIN OBSERVACIÓN", Q38="REQUERIMIENTOS SUBSANADOS"),1,0)) *(IF(OR(R38="NINGUNO", R38="CUMPLEN CON LO SOLICITADO"),1,0))</f>
        <v>0</v>
      </c>
      <c r="T38" s="592"/>
      <c r="U38" s="541">
        <f t="shared" si="15"/>
        <v>0</v>
      </c>
      <c r="W38" s="29"/>
      <c r="X38" s="29"/>
      <c r="Y38" s="29"/>
      <c r="Z38" s="29"/>
      <c r="AD38" s="13"/>
      <c r="AE38" s="13"/>
      <c r="AF38" s="13"/>
      <c r="AG38" s="13"/>
      <c r="AH38" s="13"/>
      <c r="AI38" s="13"/>
    </row>
    <row r="39" spans="1:35" s="500" customFormat="1" ht="25.5" hidden="1" customHeight="1">
      <c r="A39" s="498"/>
      <c r="B39" s="547"/>
      <c r="C39" s="572"/>
      <c r="D39" s="572"/>
      <c r="E39" s="572"/>
      <c r="F39" s="572"/>
      <c r="G39" s="575"/>
      <c r="H39" s="556"/>
      <c r="I39" s="578"/>
      <c r="J39" s="499"/>
      <c r="K39" s="57">
        <f>+$K$14</f>
        <v>811015</v>
      </c>
      <c r="L39" s="542"/>
      <c r="M39" s="544">
        <f t="shared" ref="M39" si="19">+$M$14</f>
        <v>0</v>
      </c>
      <c r="N39" s="562"/>
      <c r="O39" s="562"/>
      <c r="P39" s="565"/>
      <c r="Q39" s="567"/>
      <c r="R39" s="567"/>
      <c r="S39" s="569"/>
      <c r="T39" s="592"/>
      <c r="U39" s="541"/>
      <c r="W39" s="29"/>
      <c r="X39" s="29"/>
      <c r="Y39" s="29"/>
      <c r="Z39" s="29"/>
      <c r="AD39" s="13"/>
      <c r="AE39" s="13"/>
      <c r="AF39" s="13"/>
      <c r="AG39" s="13"/>
      <c r="AH39" s="13"/>
      <c r="AI39" s="13"/>
    </row>
    <row r="40" spans="1:35" s="500" customFormat="1" ht="25.5" hidden="1" customHeight="1">
      <c r="A40" s="498"/>
      <c r="B40" s="548"/>
      <c r="C40" s="573"/>
      <c r="D40" s="573"/>
      <c r="E40" s="573"/>
      <c r="F40" s="573"/>
      <c r="G40" s="576"/>
      <c r="H40" s="557"/>
      <c r="I40" s="579"/>
      <c r="J40" s="499"/>
      <c r="K40" s="57">
        <f>+$K$15</f>
        <v>841116</v>
      </c>
      <c r="L40" s="543"/>
      <c r="M40" s="545"/>
      <c r="N40" s="563"/>
      <c r="O40" s="563"/>
      <c r="P40" s="566"/>
      <c r="Q40" s="545"/>
      <c r="R40" s="545"/>
      <c r="S40" s="570"/>
      <c r="T40" s="592"/>
      <c r="U40" s="541"/>
      <c r="W40" s="29"/>
      <c r="X40" s="29"/>
      <c r="Y40" s="29"/>
      <c r="Z40" s="29"/>
      <c r="AD40" s="13"/>
      <c r="AE40" s="13"/>
      <c r="AF40" s="13"/>
      <c r="AG40" s="13"/>
      <c r="AH40" s="13"/>
      <c r="AI40" s="13"/>
    </row>
    <row r="41" spans="1:35" s="500" customFormat="1" ht="25" hidden="1" customHeight="1">
      <c r="A41" s="498"/>
      <c r="B41" s="546">
        <v>3</v>
      </c>
      <c r="C41" s="549"/>
      <c r="D41" s="549"/>
      <c r="E41" s="549"/>
      <c r="F41" s="549"/>
      <c r="G41" s="552"/>
      <c r="H41" s="555"/>
      <c r="I41" s="558"/>
      <c r="J41" s="499"/>
      <c r="K41" s="57">
        <f>+$K$13</f>
        <v>801016</v>
      </c>
      <c r="L41" s="499"/>
      <c r="M41" s="57">
        <f t="shared" ref="M41" si="20">+$M$13</f>
        <v>0</v>
      </c>
      <c r="N41" s="561"/>
      <c r="O41" s="561"/>
      <c r="P41" s="564"/>
      <c r="Q41" s="544"/>
      <c r="R41" s="544"/>
      <c r="S41" s="568">
        <f t="shared" ref="S41" si="21">IF(COUNTIF(J41:K43,"CUMPLE")&gt;=1,(G41*I41),0)* (IF(N41="PRESENTÓ CERTIFICADO",1,0))* (IF(O41="ACORDE A ITEM 6.2.2.1 (T.R.)",1,0) )* ( IF(OR(Q41="SIN OBSERVACIÓN", Q41="REQUERIMIENTOS SUBSANADOS"),1,0)) *(IF(OR(R41="NINGUNO", R41="CUMPLEN CON LO SOLICITADO"),1,0))</f>
        <v>0</v>
      </c>
      <c r="T41" s="592"/>
      <c r="U41" s="541">
        <f t="shared" si="15"/>
        <v>0</v>
      </c>
      <c r="W41" s="29"/>
      <c r="X41" s="29"/>
      <c r="Y41" s="29"/>
      <c r="Z41" s="29"/>
      <c r="AA41" s="13"/>
      <c r="AB41" s="13"/>
      <c r="AC41" s="13"/>
      <c r="AD41" s="13"/>
      <c r="AE41" s="13"/>
      <c r="AF41" s="13"/>
      <c r="AG41" s="13"/>
      <c r="AH41" s="13"/>
      <c r="AI41" s="13"/>
    </row>
    <row r="42" spans="1:35" s="500" customFormat="1" ht="25" hidden="1" customHeight="1">
      <c r="A42" s="498"/>
      <c r="B42" s="547"/>
      <c r="C42" s="550"/>
      <c r="D42" s="550"/>
      <c r="E42" s="550"/>
      <c r="F42" s="550"/>
      <c r="G42" s="553"/>
      <c r="H42" s="556"/>
      <c r="I42" s="559"/>
      <c r="J42" s="499"/>
      <c r="K42" s="57">
        <f>+$K$14</f>
        <v>811015</v>
      </c>
      <c r="L42" s="542"/>
      <c r="M42" s="544">
        <f t="shared" ref="M42" si="22">+$M$14</f>
        <v>0</v>
      </c>
      <c r="N42" s="562"/>
      <c r="O42" s="562"/>
      <c r="P42" s="565"/>
      <c r="Q42" s="567"/>
      <c r="R42" s="567"/>
      <c r="S42" s="569"/>
      <c r="T42" s="592"/>
      <c r="U42" s="541"/>
      <c r="W42" s="29"/>
      <c r="X42" s="29"/>
      <c r="Y42" s="29"/>
      <c r="Z42" s="29"/>
      <c r="AH42" s="13"/>
      <c r="AI42" s="13"/>
    </row>
    <row r="43" spans="1:35" s="500" customFormat="1" ht="25" hidden="1" customHeight="1">
      <c r="A43" s="498"/>
      <c r="B43" s="548"/>
      <c r="C43" s="551"/>
      <c r="D43" s="551"/>
      <c r="E43" s="551"/>
      <c r="F43" s="551"/>
      <c r="G43" s="554"/>
      <c r="H43" s="557"/>
      <c r="I43" s="560"/>
      <c r="J43" s="499"/>
      <c r="K43" s="57">
        <f>+$K$15</f>
        <v>841116</v>
      </c>
      <c r="L43" s="543"/>
      <c r="M43" s="545"/>
      <c r="N43" s="563"/>
      <c r="O43" s="563"/>
      <c r="P43" s="566"/>
      <c r="Q43" s="545"/>
      <c r="R43" s="545"/>
      <c r="S43" s="570"/>
      <c r="T43" s="592"/>
      <c r="U43" s="541"/>
      <c r="W43" s="29"/>
      <c r="X43" s="29"/>
      <c r="Y43" s="29"/>
      <c r="Z43" s="29"/>
    </row>
    <row r="44" spans="1:35" s="500" customFormat="1" ht="25" hidden="1" customHeight="1">
      <c r="A44" s="498"/>
      <c r="B44" s="546">
        <v>4</v>
      </c>
      <c r="C44" s="571"/>
      <c r="D44" s="571"/>
      <c r="E44" s="571"/>
      <c r="F44" s="571"/>
      <c r="G44" s="574"/>
      <c r="H44" s="555"/>
      <c r="I44" s="577"/>
      <c r="J44" s="499"/>
      <c r="K44" s="57">
        <f>+$K$13</f>
        <v>801016</v>
      </c>
      <c r="L44" s="499"/>
      <c r="M44" s="57">
        <f t="shared" ref="M44" si="23">+$M$13</f>
        <v>0</v>
      </c>
      <c r="N44" s="561"/>
      <c r="O44" s="561"/>
      <c r="P44" s="564"/>
      <c r="Q44" s="544"/>
      <c r="R44" s="544"/>
      <c r="S44" s="568">
        <f t="shared" ref="S44" si="24">IF(COUNTIF(J44:K46,"CUMPLE")&gt;=1,(G44*I44),0)* (IF(N44="PRESENTÓ CERTIFICADO",1,0))* (IF(O44="ACORDE A ITEM 6.2.2.1 (T.R.)",1,0) )* ( IF(OR(Q44="SIN OBSERVACIÓN", Q44="REQUERIMIENTOS SUBSANADOS"),1,0)) *(IF(OR(R44="NINGUNO", R44="CUMPLEN CON LO SOLICITADO"),1,0))</f>
        <v>0</v>
      </c>
      <c r="T44" s="592"/>
      <c r="U44" s="541">
        <f t="shared" si="15"/>
        <v>0</v>
      </c>
      <c r="W44" s="29"/>
      <c r="X44" s="29"/>
      <c r="Y44" s="29"/>
      <c r="Z44" s="29"/>
      <c r="AA44" s="13"/>
      <c r="AB44" s="13"/>
      <c r="AC44" s="13"/>
      <c r="AD44" s="13"/>
      <c r="AE44" s="13"/>
      <c r="AF44" s="13"/>
      <c r="AG44" s="13"/>
    </row>
    <row r="45" spans="1:35" s="500" customFormat="1" ht="25" hidden="1" customHeight="1">
      <c r="A45" s="498"/>
      <c r="B45" s="547"/>
      <c r="C45" s="572"/>
      <c r="D45" s="572"/>
      <c r="E45" s="572"/>
      <c r="F45" s="572"/>
      <c r="G45" s="575"/>
      <c r="H45" s="556"/>
      <c r="I45" s="578"/>
      <c r="J45" s="499"/>
      <c r="K45" s="57">
        <f>+$K$14</f>
        <v>811015</v>
      </c>
      <c r="L45" s="542"/>
      <c r="M45" s="544">
        <f t="shared" ref="M45" si="25">+$M$14</f>
        <v>0</v>
      </c>
      <c r="N45" s="562"/>
      <c r="O45" s="562"/>
      <c r="P45" s="565"/>
      <c r="Q45" s="567"/>
      <c r="R45" s="567"/>
      <c r="S45" s="569"/>
      <c r="T45" s="592"/>
      <c r="U45" s="541"/>
      <c r="W45" s="29"/>
      <c r="X45" s="29"/>
      <c r="Y45" s="29"/>
      <c r="Z45" s="29"/>
      <c r="AA45" s="13"/>
      <c r="AB45" s="13"/>
      <c r="AC45" s="13"/>
      <c r="AD45" s="13"/>
      <c r="AE45" s="13"/>
      <c r="AF45" s="13"/>
      <c r="AG45" s="13"/>
    </row>
    <row r="46" spans="1:35" s="500" customFormat="1" ht="25" hidden="1" customHeight="1">
      <c r="A46" s="498"/>
      <c r="B46" s="548"/>
      <c r="C46" s="573"/>
      <c r="D46" s="573"/>
      <c r="E46" s="573"/>
      <c r="F46" s="573"/>
      <c r="G46" s="576"/>
      <c r="H46" s="557"/>
      <c r="I46" s="579"/>
      <c r="J46" s="499"/>
      <c r="K46" s="57">
        <f>+$K$15</f>
        <v>841116</v>
      </c>
      <c r="L46" s="543"/>
      <c r="M46" s="545"/>
      <c r="N46" s="563"/>
      <c r="O46" s="563"/>
      <c r="P46" s="566"/>
      <c r="Q46" s="545"/>
      <c r="R46" s="545"/>
      <c r="S46" s="570"/>
      <c r="T46" s="592"/>
      <c r="U46" s="541"/>
      <c r="W46" s="29"/>
      <c r="X46" s="29"/>
      <c r="Y46" s="29"/>
      <c r="Z46" s="29"/>
      <c r="AA46" s="29"/>
      <c r="AB46" s="29"/>
      <c r="AC46" s="29"/>
      <c r="AD46" s="501"/>
      <c r="AE46" s="501"/>
      <c r="AF46" s="501"/>
      <c r="AG46" s="501"/>
    </row>
    <row r="47" spans="1:35" s="500" customFormat="1" ht="25" hidden="1" customHeight="1">
      <c r="A47" s="498"/>
      <c r="B47" s="546">
        <v>5</v>
      </c>
      <c r="C47" s="549"/>
      <c r="D47" s="549"/>
      <c r="E47" s="549"/>
      <c r="F47" s="549"/>
      <c r="G47" s="552"/>
      <c r="H47" s="555"/>
      <c r="I47" s="558"/>
      <c r="J47" s="499"/>
      <c r="K47" s="57">
        <f>+$K$13</f>
        <v>801016</v>
      </c>
      <c r="L47" s="499"/>
      <c r="M47" s="57">
        <f t="shared" ref="M47" si="26">+$M$13</f>
        <v>0</v>
      </c>
      <c r="N47" s="561"/>
      <c r="O47" s="561"/>
      <c r="P47" s="564"/>
      <c r="Q47" s="544"/>
      <c r="R47" s="544"/>
      <c r="S47" s="568">
        <f t="shared" ref="S47" si="27">IF(COUNTIF(J47:K49,"CUMPLE")&gt;=1,(G47*I47),0)* (IF(N47="PRESENTÓ CERTIFICADO",1,0))* (IF(O47="ACORDE A ITEM 6.2.2.1 (T.R.)",1,0) )* ( IF(OR(Q47="SIN OBSERVACIÓN", Q47="REQUERIMIENTOS SUBSANADOS"),1,0)) *(IF(OR(R47="NINGUNO", R47="CUMPLEN CON LO SOLICITADO"),1,0))</f>
        <v>0</v>
      </c>
      <c r="T47" s="592"/>
      <c r="U47" s="541">
        <f t="shared" si="15"/>
        <v>0</v>
      </c>
      <c r="W47" s="29"/>
      <c r="X47" s="29"/>
      <c r="Y47" s="29"/>
      <c r="Z47" s="29"/>
      <c r="AA47" s="29"/>
      <c r="AB47" s="29"/>
      <c r="AC47" s="29"/>
      <c r="AD47" s="501"/>
      <c r="AE47" s="501"/>
      <c r="AF47" s="501"/>
      <c r="AG47" s="501"/>
    </row>
    <row r="48" spans="1:35" s="500" customFormat="1" ht="25" hidden="1" customHeight="1">
      <c r="A48" s="498"/>
      <c r="B48" s="547"/>
      <c r="C48" s="550"/>
      <c r="D48" s="550"/>
      <c r="E48" s="550"/>
      <c r="F48" s="550"/>
      <c r="G48" s="553"/>
      <c r="H48" s="556"/>
      <c r="I48" s="559"/>
      <c r="J48" s="499"/>
      <c r="K48" s="57">
        <f>+$K$14</f>
        <v>811015</v>
      </c>
      <c r="L48" s="542"/>
      <c r="M48" s="544">
        <f t="shared" ref="M48" si="28">+$M$14</f>
        <v>0</v>
      </c>
      <c r="N48" s="562"/>
      <c r="O48" s="562"/>
      <c r="P48" s="565"/>
      <c r="Q48" s="567"/>
      <c r="R48" s="567"/>
      <c r="S48" s="569"/>
      <c r="T48" s="592"/>
      <c r="U48" s="541"/>
      <c r="W48" s="29"/>
      <c r="X48" s="29"/>
      <c r="Y48" s="29"/>
      <c r="Z48" s="29"/>
      <c r="AA48" s="29"/>
      <c r="AB48" s="29"/>
      <c r="AC48" s="29"/>
    </row>
    <row r="49" spans="1:35" s="500" customFormat="1" ht="25" hidden="1" customHeight="1">
      <c r="A49" s="498"/>
      <c r="B49" s="548"/>
      <c r="C49" s="551"/>
      <c r="D49" s="551"/>
      <c r="E49" s="551"/>
      <c r="F49" s="551"/>
      <c r="G49" s="554"/>
      <c r="H49" s="557"/>
      <c r="I49" s="560"/>
      <c r="J49" s="499"/>
      <c r="K49" s="57">
        <f>+$K$15</f>
        <v>841116</v>
      </c>
      <c r="L49" s="543"/>
      <c r="M49" s="545"/>
      <c r="N49" s="563"/>
      <c r="O49" s="563"/>
      <c r="P49" s="566"/>
      <c r="Q49" s="545"/>
      <c r="R49" s="545"/>
      <c r="S49" s="570"/>
      <c r="T49" s="593"/>
      <c r="U49" s="541"/>
      <c r="W49" s="29"/>
      <c r="X49" s="29"/>
      <c r="Y49" s="29"/>
      <c r="Z49" s="29"/>
      <c r="AA49" s="29"/>
      <c r="AB49" s="29"/>
      <c r="AC49" s="29"/>
    </row>
    <row r="50" spans="1:35" ht="25" customHeight="1">
      <c r="A50" s="13"/>
      <c r="B50" s="580" t="str">
        <f>IF(S51=" "," ",IF(S51&gt;=$H$6,"CUMPLE CON LA EXPERIENCIA REQUERIDA","NO CUMPLE CON LA EXPERIENCIA REQUERIDA"))</f>
        <v>NO CUMPLE CON LA EXPERIENCIA REQUERIDA</v>
      </c>
      <c r="C50" s="581"/>
      <c r="D50" s="581"/>
      <c r="E50" s="581"/>
      <c r="F50" s="581"/>
      <c r="G50" s="581"/>
      <c r="H50" s="581"/>
      <c r="I50" s="581"/>
      <c r="J50" s="581"/>
      <c r="K50" s="581"/>
      <c r="L50" s="581"/>
      <c r="M50" s="581"/>
      <c r="N50" s="581"/>
      <c r="O50" s="582"/>
      <c r="P50" s="586" t="s">
        <v>46</v>
      </c>
      <c r="Q50" s="587"/>
      <c r="R50" s="588"/>
      <c r="S50" s="503">
        <f>IF(T35="SI",SUM(S35:S49),0)</f>
        <v>0</v>
      </c>
      <c r="T50" s="589" t="str">
        <f>IF(S51=" "," ",IF(S51&gt;=$H$6,"CUMPLE","NO CUMPLE"))</f>
        <v>NO CUMPLE</v>
      </c>
      <c r="AA50" s="29"/>
      <c r="AB50" s="29"/>
      <c r="AC50" s="29"/>
      <c r="AD50" s="500"/>
      <c r="AE50" s="500"/>
      <c r="AF50" s="500"/>
      <c r="AG50" s="500"/>
      <c r="AH50" s="500"/>
    </row>
    <row r="51" spans="1:35" s="500" customFormat="1" ht="25" customHeight="1">
      <c r="B51" s="583"/>
      <c r="C51" s="584"/>
      <c r="D51" s="584"/>
      <c r="E51" s="584"/>
      <c r="F51" s="584"/>
      <c r="G51" s="584"/>
      <c r="H51" s="584"/>
      <c r="I51" s="584"/>
      <c r="J51" s="584"/>
      <c r="K51" s="584"/>
      <c r="L51" s="584"/>
      <c r="M51" s="584"/>
      <c r="N51" s="584"/>
      <c r="O51" s="585"/>
      <c r="P51" s="586" t="s">
        <v>47</v>
      </c>
      <c r="Q51" s="587"/>
      <c r="R51" s="588"/>
      <c r="S51" s="503">
        <f>IFERROR((S50/$P$6)," ")</f>
        <v>0</v>
      </c>
      <c r="T51" s="590"/>
      <c r="W51" s="29"/>
      <c r="X51" s="29"/>
      <c r="Y51" s="29"/>
      <c r="Z51" s="29"/>
      <c r="AA51" s="29"/>
      <c r="AB51" s="29"/>
      <c r="AC51" s="29"/>
    </row>
    <row r="52" spans="1:35" ht="30" customHeight="1">
      <c r="AA52" s="29"/>
      <c r="AB52" s="29"/>
      <c r="AC52" s="29"/>
      <c r="AD52" s="500"/>
      <c r="AE52" s="500"/>
      <c r="AF52" s="500"/>
      <c r="AG52" s="500"/>
    </row>
    <row r="53" spans="1:35" ht="30" customHeight="1">
      <c r="AA53" s="29"/>
      <c r="AB53" s="29"/>
      <c r="AC53" s="29"/>
      <c r="AD53" s="500"/>
      <c r="AE53" s="500"/>
      <c r="AF53" s="500"/>
      <c r="AG53" s="500"/>
      <c r="AH53" s="500"/>
    </row>
    <row r="54" spans="1:35" ht="61.5" customHeight="1">
      <c r="B54" s="465">
        <v>3</v>
      </c>
      <c r="C54" s="601" t="str">
        <f>+C32</f>
        <v xml:space="preserve">EXPERIENCIA GENERAL </v>
      </c>
      <c r="D54" s="602"/>
      <c r="E54" s="603"/>
      <c r="F54" s="604" t="str">
        <f>IFERROR(VLOOKUP(B54,LISTA_OFERENTES,2,FALSE)," ")</f>
        <v>PreVeo S.A.S.</v>
      </c>
      <c r="G54" s="605"/>
      <c r="H54" s="605"/>
      <c r="I54" s="605"/>
      <c r="J54" s="605"/>
      <c r="K54" s="605"/>
      <c r="L54" s="605"/>
      <c r="M54" s="605"/>
      <c r="N54" s="605"/>
      <c r="O54" s="606"/>
      <c r="P54" s="607" t="s">
        <v>26</v>
      </c>
      <c r="Q54" s="608"/>
      <c r="R54" s="609"/>
      <c r="S54" s="491">
        <f>5-(INT(COUNTBLANK(C57:C71))-10)</f>
        <v>5</v>
      </c>
      <c r="AA54" s="29"/>
      <c r="AB54" s="29"/>
      <c r="AC54" s="29"/>
      <c r="AD54" s="500"/>
      <c r="AE54" s="500"/>
      <c r="AF54" s="500"/>
      <c r="AG54" s="500"/>
    </row>
    <row r="55" spans="1:35" s="501" customFormat="1" ht="30" customHeight="1">
      <c r="B55" s="610" t="s">
        <v>27</v>
      </c>
      <c r="C55" s="596" t="s">
        <v>28</v>
      </c>
      <c r="D55" s="596" t="s">
        <v>29</v>
      </c>
      <c r="E55" s="596" t="s">
        <v>30</v>
      </c>
      <c r="F55" s="596" t="s">
        <v>31</v>
      </c>
      <c r="G55" s="596" t="s">
        <v>32</v>
      </c>
      <c r="H55" s="596" t="s">
        <v>33</v>
      </c>
      <c r="I55" s="596" t="s">
        <v>34</v>
      </c>
      <c r="J55" s="594" t="s">
        <v>35</v>
      </c>
      <c r="K55" s="612"/>
      <c r="L55" s="612"/>
      <c r="M55" s="595"/>
      <c r="N55" s="596" t="s">
        <v>36</v>
      </c>
      <c r="O55" s="596" t="s">
        <v>37</v>
      </c>
      <c r="P55" s="594" t="s">
        <v>38</v>
      </c>
      <c r="Q55" s="595"/>
      <c r="R55" s="596" t="s">
        <v>39</v>
      </c>
      <c r="S55" s="596" t="s">
        <v>40</v>
      </c>
      <c r="T55"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55" s="596" t="str">
        <f>+$U$11</f>
        <v xml:space="preserve">VERIFICACIÓN CONDICIÓN DE EXPERIENCIA  </v>
      </c>
      <c r="V55" s="504"/>
      <c r="W55" s="29"/>
      <c r="X55" s="29"/>
      <c r="Y55" s="29"/>
      <c r="Z55" s="29"/>
      <c r="AA55" s="29"/>
      <c r="AB55" s="29"/>
      <c r="AC55" s="29"/>
      <c r="AD55" s="500"/>
      <c r="AE55" s="500"/>
      <c r="AF55" s="500"/>
      <c r="AG55" s="500"/>
      <c r="AH55" s="13"/>
    </row>
    <row r="56" spans="1:35" s="501" customFormat="1" ht="81.75" customHeight="1">
      <c r="B56" s="611"/>
      <c r="C56" s="597"/>
      <c r="D56" s="597"/>
      <c r="E56" s="597"/>
      <c r="F56" s="597"/>
      <c r="G56" s="597"/>
      <c r="H56" s="597"/>
      <c r="I56" s="597"/>
      <c r="J56" s="598" t="s">
        <v>43</v>
      </c>
      <c r="K56" s="599"/>
      <c r="L56" s="599"/>
      <c r="M56" s="600"/>
      <c r="N56" s="597"/>
      <c r="O56" s="597"/>
      <c r="P56" s="493" t="s">
        <v>10</v>
      </c>
      <c r="Q56" s="493" t="s">
        <v>44</v>
      </c>
      <c r="R56" s="597"/>
      <c r="S56" s="597"/>
      <c r="T56" s="597"/>
      <c r="U56" s="597"/>
      <c r="V56" s="504"/>
      <c r="W56" s="29"/>
      <c r="X56" s="29"/>
      <c r="Y56" s="29"/>
      <c r="Z56" s="29"/>
      <c r="AA56" s="29"/>
      <c r="AB56" s="29"/>
      <c r="AC56" s="29"/>
      <c r="AD56" s="500"/>
      <c r="AE56" s="500"/>
      <c r="AF56" s="500"/>
      <c r="AG56" s="500"/>
      <c r="AH56" s="13"/>
    </row>
    <row r="57" spans="1:35" s="500" customFormat="1" ht="25" customHeight="1">
      <c r="A57" s="498"/>
      <c r="B57" s="546">
        <v>1</v>
      </c>
      <c r="C57" s="549">
        <v>6</v>
      </c>
      <c r="D57" s="549">
        <v>6</v>
      </c>
      <c r="E57" s="549" t="s">
        <v>268</v>
      </c>
      <c r="F57" s="549" t="s">
        <v>271</v>
      </c>
      <c r="G57" s="552">
        <v>1632.38</v>
      </c>
      <c r="H57" s="555" t="s">
        <v>274</v>
      </c>
      <c r="I57" s="558">
        <v>1</v>
      </c>
      <c r="J57" s="499" t="s">
        <v>290</v>
      </c>
      <c r="K57" s="57">
        <f>+$K$13</f>
        <v>801016</v>
      </c>
      <c r="L57" s="499"/>
      <c r="M57" s="57">
        <f>+$M$13</f>
        <v>0</v>
      </c>
      <c r="N57" s="561" t="s">
        <v>151</v>
      </c>
      <c r="O57" s="561" t="s">
        <v>294</v>
      </c>
      <c r="P57" s="564"/>
      <c r="Q57" s="544" t="s">
        <v>153</v>
      </c>
      <c r="R57" s="544" t="s">
        <v>295</v>
      </c>
      <c r="S57" s="568">
        <f t="shared" ref="S57" si="29">IF(COUNTIF(J57:K59,"CUMPLE")&gt;=1,(G57*I57),0)* (IF(N57="PRESENTÓ CERTIFICADO",1,0))* (IF(O57="ACORDE A ITEM 6.2.2.1 (T.R.)",1,0) )* ( IF(OR(Q57="SIN OBSERVACIÓN", Q57="REQUERIMIENTOS SUBSANADOS"),1,0)) *(IF(OR(R57="NINGUNO", R57="CUMPLEN CON LO SOLICITADO"),1,0))</f>
        <v>1632.38</v>
      </c>
      <c r="T57" s="591" t="s">
        <v>155</v>
      </c>
      <c r="U57" s="541">
        <f>IF(COUNTIF(J57:K59,"CUMPLE")&gt;=1,1,0)</f>
        <v>1</v>
      </c>
      <c r="W57" s="29"/>
      <c r="X57" s="29"/>
      <c r="Y57" s="29"/>
      <c r="Z57" s="29"/>
      <c r="AD57" s="13"/>
      <c r="AE57" s="13"/>
      <c r="AF57" s="13"/>
      <c r="AG57" s="13"/>
      <c r="AH57" s="13"/>
      <c r="AI57" s="13"/>
    </row>
    <row r="58" spans="1:35" s="500" customFormat="1" ht="25" customHeight="1">
      <c r="A58" s="498"/>
      <c r="B58" s="547"/>
      <c r="C58" s="550"/>
      <c r="D58" s="550"/>
      <c r="E58" s="550"/>
      <c r="F58" s="550"/>
      <c r="G58" s="553"/>
      <c r="H58" s="556"/>
      <c r="I58" s="559"/>
      <c r="J58" s="499" t="s">
        <v>147</v>
      </c>
      <c r="K58" s="57">
        <f>+$K$14</f>
        <v>811015</v>
      </c>
      <c r="L58" s="542"/>
      <c r="M58" s="544">
        <f>+$M$14</f>
        <v>0</v>
      </c>
      <c r="N58" s="562"/>
      <c r="O58" s="562"/>
      <c r="P58" s="565"/>
      <c r="Q58" s="567"/>
      <c r="R58" s="567"/>
      <c r="S58" s="569"/>
      <c r="T58" s="592"/>
      <c r="U58" s="541"/>
      <c r="W58" s="29"/>
      <c r="X58" s="29"/>
      <c r="Y58" s="29"/>
      <c r="Z58" s="29"/>
      <c r="AD58" s="13"/>
      <c r="AE58" s="13"/>
      <c r="AF58" s="13"/>
      <c r="AG58" s="13"/>
      <c r="AH58" s="13"/>
      <c r="AI58" s="13"/>
    </row>
    <row r="59" spans="1:35" s="500" customFormat="1" ht="25" customHeight="1">
      <c r="A59" s="498"/>
      <c r="B59" s="548"/>
      <c r="C59" s="551"/>
      <c r="D59" s="551"/>
      <c r="E59" s="551"/>
      <c r="F59" s="551"/>
      <c r="G59" s="554"/>
      <c r="H59" s="557"/>
      <c r="I59" s="560"/>
      <c r="J59" s="499" t="s">
        <v>290</v>
      </c>
      <c r="K59" s="57">
        <f>+$K$15</f>
        <v>841116</v>
      </c>
      <c r="L59" s="543"/>
      <c r="M59" s="545"/>
      <c r="N59" s="563"/>
      <c r="O59" s="563"/>
      <c r="P59" s="566"/>
      <c r="Q59" s="545"/>
      <c r="R59" s="545"/>
      <c r="S59" s="570"/>
      <c r="T59" s="592"/>
      <c r="U59" s="541"/>
      <c r="W59" s="29"/>
      <c r="X59" s="29"/>
      <c r="Y59" s="29"/>
      <c r="Z59" s="29"/>
      <c r="AD59" s="13"/>
      <c r="AE59" s="13"/>
      <c r="AF59" s="13"/>
      <c r="AG59" s="13"/>
      <c r="AH59" s="13"/>
      <c r="AI59" s="13"/>
    </row>
    <row r="60" spans="1:35" s="500" customFormat="1" ht="25" customHeight="1">
      <c r="A60" s="498"/>
      <c r="B60" s="546">
        <v>2</v>
      </c>
      <c r="C60" s="571">
        <v>7</v>
      </c>
      <c r="D60" s="571">
        <v>7</v>
      </c>
      <c r="E60" s="571" t="s">
        <v>269</v>
      </c>
      <c r="F60" s="571" t="s">
        <v>271</v>
      </c>
      <c r="G60" s="574">
        <v>1489.39</v>
      </c>
      <c r="H60" s="555" t="s">
        <v>274</v>
      </c>
      <c r="I60" s="577">
        <v>1</v>
      </c>
      <c r="J60" s="499" t="s">
        <v>290</v>
      </c>
      <c r="K60" s="57">
        <f>+$K$13</f>
        <v>801016</v>
      </c>
      <c r="L60" s="499"/>
      <c r="M60" s="57">
        <f>+$M$13</f>
        <v>0</v>
      </c>
      <c r="N60" s="561" t="s">
        <v>151</v>
      </c>
      <c r="O60" s="561" t="s">
        <v>294</v>
      </c>
      <c r="P60" s="564"/>
      <c r="Q60" s="544" t="s">
        <v>153</v>
      </c>
      <c r="R60" s="544" t="s">
        <v>295</v>
      </c>
      <c r="S60" s="568">
        <f t="shared" ref="S60" si="30">IF(COUNTIF(J60:K62,"CUMPLE")&gt;=1,(G60*I60),0)* (IF(N60="PRESENTÓ CERTIFICADO",1,0))* (IF(O60="ACORDE A ITEM 6.2.2.1 (T.R.)",1,0) )* ( IF(OR(Q60="SIN OBSERVACIÓN", Q60="REQUERIMIENTOS SUBSANADOS"),1,0)) *(IF(OR(R60="NINGUNO", R60="CUMPLEN CON LO SOLICITADO"),1,0))</f>
        <v>1489.39</v>
      </c>
      <c r="T60" s="592"/>
      <c r="U60" s="541">
        <f t="shared" ref="U60:U69" si="31">IF(COUNTIF(J60:K62,"CUMPLE")&gt;=1,1,0)</f>
        <v>1</v>
      </c>
      <c r="W60" s="29"/>
      <c r="X60" s="29"/>
      <c r="Y60" s="29"/>
      <c r="Z60" s="29"/>
      <c r="AD60" s="13"/>
      <c r="AE60" s="13"/>
      <c r="AF60" s="13"/>
      <c r="AG60" s="13"/>
      <c r="AH60" s="13"/>
      <c r="AI60" s="13"/>
    </row>
    <row r="61" spans="1:35" s="500" customFormat="1" ht="25" customHeight="1">
      <c r="A61" s="498"/>
      <c r="B61" s="547"/>
      <c r="C61" s="572"/>
      <c r="D61" s="572"/>
      <c r="E61" s="572"/>
      <c r="F61" s="572"/>
      <c r="G61" s="575"/>
      <c r="H61" s="556"/>
      <c r="I61" s="578"/>
      <c r="J61" s="499" t="s">
        <v>147</v>
      </c>
      <c r="K61" s="57">
        <f>+$K$14</f>
        <v>811015</v>
      </c>
      <c r="L61" s="542"/>
      <c r="M61" s="544">
        <f>+$M$14</f>
        <v>0</v>
      </c>
      <c r="N61" s="562"/>
      <c r="O61" s="562"/>
      <c r="P61" s="565"/>
      <c r="Q61" s="567"/>
      <c r="R61" s="567"/>
      <c r="S61" s="569"/>
      <c r="T61" s="592"/>
      <c r="U61" s="541"/>
      <c r="W61" s="29"/>
      <c r="X61" s="29"/>
      <c r="Y61" s="29"/>
      <c r="Z61" s="29"/>
      <c r="AD61" s="13"/>
      <c r="AE61" s="13"/>
      <c r="AF61" s="13"/>
      <c r="AG61" s="13"/>
      <c r="AH61" s="13"/>
      <c r="AI61" s="13"/>
    </row>
    <row r="62" spans="1:35" s="500" customFormat="1" ht="25" customHeight="1">
      <c r="A62" s="498"/>
      <c r="B62" s="548"/>
      <c r="C62" s="573"/>
      <c r="D62" s="573"/>
      <c r="E62" s="573"/>
      <c r="F62" s="573"/>
      <c r="G62" s="576"/>
      <c r="H62" s="557"/>
      <c r="I62" s="579"/>
      <c r="J62" s="499" t="s">
        <v>290</v>
      </c>
      <c r="K62" s="57">
        <f>+$K$15</f>
        <v>841116</v>
      </c>
      <c r="L62" s="543"/>
      <c r="M62" s="545"/>
      <c r="N62" s="563"/>
      <c r="O62" s="563"/>
      <c r="P62" s="566"/>
      <c r="Q62" s="545"/>
      <c r="R62" s="545"/>
      <c r="S62" s="570"/>
      <c r="T62" s="592"/>
      <c r="U62" s="541"/>
      <c r="W62" s="29"/>
      <c r="X62" s="29"/>
      <c r="Y62" s="29"/>
      <c r="Z62" s="29"/>
      <c r="AD62" s="13"/>
      <c r="AE62" s="13"/>
      <c r="AF62" s="13"/>
      <c r="AG62" s="13"/>
      <c r="AH62" s="13"/>
      <c r="AI62" s="13"/>
    </row>
    <row r="63" spans="1:35" s="500" customFormat="1" ht="25" customHeight="1">
      <c r="A63" s="498"/>
      <c r="B63" s="546">
        <v>3</v>
      </c>
      <c r="C63" s="549">
        <v>49</v>
      </c>
      <c r="D63" s="549">
        <v>18</v>
      </c>
      <c r="E63" s="549"/>
      <c r="F63" s="549" t="s">
        <v>291</v>
      </c>
      <c r="G63" s="552">
        <v>1286.9100000000001</v>
      </c>
      <c r="H63" s="555" t="s">
        <v>274</v>
      </c>
      <c r="I63" s="558">
        <v>1</v>
      </c>
      <c r="J63" s="499" t="s">
        <v>290</v>
      </c>
      <c r="K63" s="57">
        <f>+$K$13</f>
        <v>801016</v>
      </c>
      <c r="L63" s="499"/>
      <c r="M63" s="57">
        <f>+$M$13</f>
        <v>0</v>
      </c>
      <c r="N63" s="561" t="s">
        <v>151</v>
      </c>
      <c r="O63" s="561" t="s">
        <v>294</v>
      </c>
      <c r="P63" s="564"/>
      <c r="Q63" s="544" t="s">
        <v>153</v>
      </c>
      <c r="R63" s="544" t="s">
        <v>295</v>
      </c>
      <c r="S63" s="568">
        <f t="shared" ref="S63" si="32">IF(COUNTIF(J63:K65,"CUMPLE")&gt;=1,(G63*I63),0)* (IF(N63="PRESENTÓ CERTIFICADO",1,0))* (IF(O63="ACORDE A ITEM 6.2.2.1 (T.R.)",1,0) )* ( IF(OR(Q63="SIN OBSERVACIÓN", Q63="REQUERIMIENTOS SUBSANADOS"),1,0)) *(IF(OR(R63="NINGUNO", R63="CUMPLEN CON LO SOLICITADO"),1,0))</f>
        <v>1286.9100000000001</v>
      </c>
      <c r="T63" s="592"/>
      <c r="U63" s="541">
        <f t="shared" si="31"/>
        <v>1</v>
      </c>
      <c r="W63" s="29"/>
      <c r="X63" s="29"/>
      <c r="Y63" s="29"/>
      <c r="Z63" s="29"/>
      <c r="AA63" s="13"/>
      <c r="AB63" s="13"/>
      <c r="AC63" s="13"/>
      <c r="AD63" s="13"/>
      <c r="AE63" s="13"/>
      <c r="AF63" s="13"/>
      <c r="AG63" s="13"/>
      <c r="AH63" s="13"/>
      <c r="AI63" s="13"/>
    </row>
    <row r="64" spans="1:35" s="500" customFormat="1" ht="25" customHeight="1">
      <c r="A64" s="498"/>
      <c r="B64" s="547"/>
      <c r="C64" s="550"/>
      <c r="D64" s="550"/>
      <c r="E64" s="550"/>
      <c r="F64" s="550"/>
      <c r="G64" s="553"/>
      <c r="H64" s="556"/>
      <c r="I64" s="559"/>
      <c r="J64" s="499" t="s">
        <v>147</v>
      </c>
      <c r="K64" s="57">
        <f>+$K$14</f>
        <v>811015</v>
      </c>
      <c r="L64" s="542"/>
      <c r="M64" s="544">
        <f>+$M$14</f>
        <v>0</v>
      </c>
      <c r="N64" s="562"/>
      <c r="O64" s="562"/>
      <c r="P64" s="565"/>
      <c r="Q64" s="567"/>
      <c r="R64" s="567"/>
      <c r="S64" s="569"/>
      <c r="T64" s="592"/>
      <c r="U64" s="541"/>
      <c r="W64" s="29"/>
      <c r="X64" s="29"/>
      <c r="Y64" s="29"/>
      <c r="Z64" s="29"/>
      <c r="AH64" s="13"/>
      <c r="AI64" s="13"/>
    </row>
    <row r="65" spans="1:35" s="500" customFormat="1" ht="22.5" customHeight="1">
      <c r="A65" s="498"/>
      <c r="B65" s="548"/>
      <c r="C65" s="551"/>
      <c r="D65" s="551"/>
      <c r="E65" s="551"/>
      <c r="F65" s="551"/>
      <c r="G65" s="554"/>
      <c r="H65" s="557"/>
      <c r="I65" s="560"/>
      <c r="J65" s="499" t="s">
        <v>290</v>
      </c>
      <c r="K65" s="57">
        <f>+$K$15</f>
        <v>841116</v>
      </c>
      <c r="L65" s="543"/>
      <c r="M65" s="545"/>
      <c r="N65" s="563"/>
      <c r="O65" s="563"/>
      <c r="P65" s="566"/>
      <c r="Q65" s="545"/>
      <c r="R65" s="545"/>
      <c r="S65" s="570"/>
      <c r="T65" s="592"/>
      <c r="U65" s="541"/>
      <c r="W65" s="29"/>
      <c r="X65" s="29"/>
      <c r="Y65" s="29"/>
      <c r="Z65" s="29"/>
    </row>
    <row r="66" spans="1:35" s="500" customFormat="1" ht="25" customHeight="1">
      <c r="A66" s="498"/>
      <c r="B66" s="546">
        <v>4</v>
      </c>
      <c r="C66" s="571">
        <v>52</v>
      </c>
      <c r="D66" s="571">
        <v>19</v>
      </c>
      <c r="E66" s="571" t="s">
        <v>270</v>
      </c>
      <c r="F66" s="571" t="s">
        <v>272</v>
      </c>
      <c r="G66" s="574">
        <v>422.7</v>
      </c>
      <c r="H66" s="555" t="s">
        <v>274</v>
      </c>
      <c r="I66" s="577">
        <v>1</v>
      </c>
      <c r="J66" s="499" t="s">
        <v>290</v>
      </c>
      <c r="K66" s="57">
        <f>+$K$13</f>
        <v>801016</v>
      </c>
      <c r="L66" s="499"/>
      <c r="M66" s="57">
        <f>+$M$13</f>
        <v>0</v>
      </c>
      <c r="N66" s="561" t="s">
        <v>151</v>
      </c>
      <c r="O66" s="561" t="s">
        <v>294</v>
      </c>
      <c r="P66" s="564"/>
      <c r="Q66" s="544" t="s">
        <v>153</v>
      </c>
      <c r="R66" s="544" t="s">
        <v>295</v>
      </c>
      <c r="S66" s="568">
        <f t="shared" ref="S66" si="33">IF(COUNTIF(J66:K68,"CUMPLE")&gt;=1,(G66*I66),0)* (IF(N66="PRESENTÓ CERTIFICADO",1,0))* (IF(O66="ACORDE A ITEM 6.2.2.1 (T.R.)",1,0) )* ( IF(OR(Q66="SIN OBSERVACIÓN", Q66="REQUERIMIENTOS SUBSANADOS"),1,0)) *(IF(OR(R66="NINGUNO", R66="CUMPLEN CON LO SOLICITADO"),1,0))</f>
        <v>422.7</v>
      </c>
      <c r="T66" s="592"/>
      <c r="U66" s="541">
        <f t="shared" si="31"/>
        <v>1</v>
      </c>
      <c r="W66" s="29"/>
      <c r="X66" s="29"/>
      <c r="Y66" s="29"/>
      <c r="Z66" s="29"/>
      <c r="AA66" s="13"/>
      <c r="AB66" s="13"/>
      <c r="AC66" s="13"/>
      <c r="AD66" s="13"/>
      <c r="AE66" s="13"/>
      <c r="AF66" s="13"/>
      <c r="AG66" s="13"/>
    </row>
    <row r="67" spans="1:35" s="500" customFormat="1" ht="25" customHeight="1">
      <c r="A67" s="498"/>
      <c r="B67" s="547"/>
      <c r="C67" s="572"/>
      <c r="D67" s="572"/>
      <c r="E67" s="572"/>
      <c r="F67" s="572"/>
      <c r="G67" s="575"/>
      <c r="H67" s="556"/>
      <c r="I67" s="578"/>
      <c r="J67" s="499" t="s">
        <v>147</v>
      </c>
      <c r="K67" s="57">
        <f>+$K$14</f>
        <v>811015</v>
      </c>
      <c r="L67" s="542"/>
      <c r="M67" s="544">
        <f>+$M$14</f>
        <v>0</v>
      </c>
      <c r="N67" s="562"/>
      <c r="O67" s="562"/>
      <c r="P67" s="565"/>
      <c r="Q67" s="567"/>
      <c r="R67" s="567"/>
      <c r="S67" s="569"/>
      <c r="T67" s="592"/>
      <c r="U67" s="541"/>
      <c r="W67" s="29"/>
      <c r="X67" s="29"/>
      <c r="Y67" s="29"/>
      <c r="Z67" s="29"/>
      <c r="AA67" s="13"/>
      <c r="AB67" s="13"/>
      <c r="AC67" s="13"/>
      <c r="AD67" s="13"/>
      <c r="AE67" s="13"/>
      <c r="AF67" s="13"/>
      <c r="AG67" s="13"/>
    </row>
    <row r="68" spans="1:35" s="500" customFormat="1" ht="25" customHeight="1">
      <c r="A68" s="498"/>
      <c r="B68" s="548"/>
      <c r="C68" s="573"/>
      <c r="D68" s="573"/>
      <c r="E68" s="573"/>
      <c r="F68" s="573"/>
      <c r="G68" s="576"/>
      <c r="H68" s="557"/>
      <c r="I68" s="579"/>
      <c r="J68" s="499" t="s">
        <v>290</v>
      </c>
      <c r="K68" s="57">
        <f>+$K$15</f>
        <v>841116</v>
      </c>
      <c r="L68" s="543"/>
      <c r="M68" s="545"/>
      <c r="N68" s="563"/>
      <c r="O68" s="563"/>
      <c r="P68" s="566"/>
      <c r="Q68" s="545"/>
      <c r="R68" s="545"/>
      <c r="S68" s="570"/>
      <c r="T68" s="592"/>
      <c r="U68" s="541"/>
      <c r="W68" s="29"/>
      <c r="X68" s="29"/>
      <c r="Y68" s="29"/>
      <c r="Z68" s="29"/>
      <c r="AA68" s="29"/>
      <c r="AB68" s="29"/>
      <c r="AC68" s="29"/>
      <c r="AD68" s="501"/>
      <c r="AE68" s="501"/>
      <c r="AF68" s="501"/>
      <c r="AG68" s="501"/>
    </row>
    <row r="69" spans="1:35" s="500" customFormat="1" ht="25" customHeight="1">
      <c r="A69" s="498"/>
      <c r="B69" s="546">
        <v>5</v>
      </c>
      <c r="C69" s="549">
        <v>56</v>
      </c>
      <c r="D69" s="549">
        <v>20</v>
      </c>
      <c r="E69" s="549"/>
      <c r="F69" s="549" t="s">
        <v>273</v>
      </c>
      <c r="G69" s="552">
        <v>408.15</v>
      </c>
      <c r="H69" s="555" t="s">
        <v>274</v>
      </c>
      <c r="I69" s="558">
        <v>1</v>
      </c>
      <c r="J69" s="499" t="s">
        <v>290</v>
      </c>
      <c r="K69" s="57">
        <f>+$K$13</f>
        <v>801016</v>
      </c>
      <c r="L69" s="499"/>
      <c r="M69" s="57">
        <f>+$M$13</f>
        <v>0</v>
      </c>
      <c r="N69" s="561" t="s">
        <v>151</v>
      </c>
      <c r="O69" s="561" t="s">
        <v>294</v>
      </c>
      <c r="P69" s="564"/>
      <c r="Q69" s="544" t="s">
        <v>153</v>
      </c>
      <c r="R69" s="544" t="s">
        <v>295</v>
      </c>
      <c r="S69" s="568">
        <f t="shared" ref="S69" si="34">IF(COUNTIF(J69:K71,"CUMPLE")&gt;=1,(G69*I69),0)* (IF(N69="PRESENTÓ CERTIFICADO",1,0))* (IF(O69="ACORDE A ITEM 6.2.2.1 (T.R.)",1,0) )* ( IF(OR(Q69="SIN OBSERVACIÓN", Q69="REQUERIMIENTOS SUBSANADOS"),1,0)) *(IF(OR(R69="NINGUNO", R69="CUMPLEN CON LO SOLICITADO"),1,0))</f>
        <v>408.15</v>
      </c>
      <c r="T69" s="592"/>
      <c r="U69" s="541">
        <f t="shared" si="31"/>
        <v>1</v>
      </c>
      <c r="W69" s="29"/>
      <c r="X69" s="29"/>
      <c r="Y69" s="29"/>
      <c r="Z69" s="29"/>
      <c r="AA69" s="29"/>
      <c r="AB69" s="29"/>
      <c r="AC69" s="29"/>
      <c r="AD69" s="501"/>
      <c r="AE69" s="501"/>
      <c r="AF69" s="501"/>
      <c r="AG69" s="501"/>
    </row>
    <row r="70" spans="1:35" s="500" customFormat="1" ht="25" customHeight="1">
      <c r="A70" s="498"/>
      <c r="B70" s="547"/>
      <c r="C70" s="550"/>
      <c r="D70" s="550"/>
      <c r="E70" s="550"/>
      <c r="F70" s="550"/>
      <c r="G70" s="553"/>
      <c r="H70" s="556"/>
      <c r="I70" s="559"/>
      <c r="J70" s="499" t="s">
        <v>147</v>
      </c>
      <c r="K70" s="57">
        <f>+$K$14</f>
        <v>811015</v>
      </c>
      <c r="L70" s="542"/>
      <c r="M70" s="544">
        <f>+$M$14</f>
        <v>0</v>
      </c>
      <c r="N70" s="562"/>
      <c r="O70" s="562"/>
      <c r="P70" s="565"/>
      <c r="Q70" s="567"/>
      <c r="R70" s="567"/>
      <c r="S70" s="569"/>
      <c r="T70" s="592"/>
      <c r="U70" s="541"/>
      <c r="W70" s="29"/>
      <c r="X70" s="29"/>
      <c r="Y70" s="29"/>
      <c r="Z70" s="29"/>
      <c r="AA70" s="29"/>
      <c r="AB70" s="29"/>
      <c r="AC70" s="29"/>
    </row>
    <row r="71" spans="1:35" s="500" customFormat="1" ht="25" customHeight="1">
      <c r="A71" s="498"/>
      <c r="B71" s="548"/>
      <c r="C71" s="551"/>
      <c r="D71" s="551"/>
      <c r="E71" s="551"/>
      <c r="F71" s="551"/>
      <c r="G71" s="554"/>
      <c r="H71" s="557"/>
      <c r="I71" s="560"/>
      <c r="J71" s="499" t="s">
        <v>290</v>
      </c>
      <c r="K71" s="57">
        <f>+$K$15</f>
        <v>841116</v>
      </c>
      <c r="L71" s="543"/>
      <c r="M71" s="545"/>
      <c r="N71" s="563"/>
      <c r="O71" s="563"/>
      <c r="P71" s="566"/>
      <c r="Q71" s="545"/>
      <c r="R71" s="545"/>
      <c r="S71" s="570"/>
      <c r="T71" s="593"/>
      <c r="U71" s="541"/>
      <c r="W71" s="29"/>
      <c r="X71" s="29"/>
      <c r="Y71" s="29"/>
      <c r="Z71" s="29"/>
      <c r="AA71" s="29"/>
      <c r="AB71" s="29"/>
      <c r="AC71" s="29"/>
    </row>
    <row r="72" spans="1:35" ht="25" customHeight="1">
      <c r="A72" s="13"/>
      <c r="B72" s="580" t="str">
        <f>IF(S73=" "," ",IF(S73&gt;=$H$6,"CUMPLE CON LA EXPERIENCIA REQUERIDA","NO CUMPLE CON LA EXPERIENCIA REQUERIDA"))</f>
        <v>CUMPLE CON LA EXPERIENCIA REQUERIDA</v>
      </c>
      <c r="C72" s="581"/>
      <c r="D72" s="581"/>
      <c r="E72" s="581"/>
      <c r="F72" s="581"/>
      <c r="G72" s="581"/>
      <c r="H72" s="581"/>
      <c r="I72" s="581"/>
      <c r="J72" s="581"/>
      <c r="K72" s="581"/>
      <c r="L72" s="581"/>
      <c r="M72" s="581"/>
      <c r="N72" s="581"/>
      <c r="O72" s="582"/>
      <c r="P72" s="586" t="s">
        <v>46</v>
      </c>
      <c r="Q72" s="587"/>
      <c r="R72" s="588"/>
      <c r="S72" s="503">
        <f>IF(T57="SI",SUM(S57:S71),0)</f>
        <v>5239.53</v>
      </c>
      <c r="T72" s="589" t="str">
        <f>IF(S73=" "," ",IF(S73&gt;=$H$6,"CUMPLE","NO CUMPLE"))</f>
        <v>CUMPLE</v>
      </c>
      <c r="AA72" s="29"/>
      <c r="AB72" s="29"/>
      <c r="AC72" s="29"/>
      <c r="AD72" s="500"/>
      <c r="AE72" s="500"/>
      <c r="AF72" s="500"/>
      <c r="AG72" s="500"/>
      <c r="AH72" s="500"/>
    </row>
    <row r="73" spans="1:35" s="500" customFormat="1" ht="25" customHeight="1">
      <c r="B73" s="583"/>
      <c r="C73" s="584"/>
      <c r="D73" s="584"/>
      <c r="E73" s="584"/>
      <c r="F73" s="584"/>
      <c r="G73" s="584"/>
      <c r="H73" s="584"/>
      <c r="I73" s="584"/>
      <c r="J73" s="584"/>
      <c r="K73" s="584"/>
      <c r="L73" s="584"/>
      <c r="M73" s="584"/>
      <c r="N73" s="584"/>
      <c r="O73" s="585"/>
      <c r="P73" s="586" t="s">
        <v>47</v>
      </c>
      <c r="Q73" s="587"/>
      <c r="R73" s="588"/>
      <c r="S73" s="503">
        <f>IFERROR((S72/$P$6)," ")</f>
        <v>7.0804459459459457</v>
      </c>
      <c r="T73" s="590"/>
      <c r="W73" s="29"/>
      <c r="X73" s="29"/>
      <c r="Y73" s="29"/>
      <c r="Z73" s="29"/>
      <c r="AA73" s="29"/>
      <c r="AB73" s="29"/>
      <c r="AC73" s="29"/>
    </row>
    <row r="74" spans="1:35" ht="30" customHeight="1">
      <c r="AA74" s="29"/>
      <c r="AB74" s="29"/>
      <c r="AC74" s="29"/>
      <c r="AD74" s="500"/>
      <c r="AE74" s="500"/>
      <c r="AF74" s="500"/>
      <c r="AG74" s="500"/>
    </row>
    <row r="75" spans="1:35" ht="30" customHeight="1">
      <c r="AA75" s="29"/>
      <c r="AB75" s="29"/>
      <c r="AC75" s="29"/>
      <c r="AD75" s="500"/>
      <c r="AE75" s="500"/>
      <c r="AF75" s="500"/>
      <c r="AG75" s="500"/>
      <c r="AH75" s="500"/>
    </row>
    <row r="76" spans="1:35" ht="62.25" customHeight="1">
      <c r="B76" s="465">
        <v>4</v>
      </c>
      <c r="C76" s="601" t="str">
        <f>+C54</f>
        <v xml:space="preserve">EXPERIENCIA GENERAL </v>
      </c>
      <c r="D76" s="602"/>
      <c r="E76" s="603"/>
      <c r="F76" s="604" t="str">
        <f>IFERROR(VLOOKUP(B76,LISTA_OFERENTES,2,FALSE)," ")</f>
        <v>INTERVE S.A.S.</v>
      </c>
      <c r="G76" s="605"/>
      <c r="H76" s="605"/>
      <c r="I76" s="605"/>
      <c r="J76" s="605"/>
      <c r="K76" s="605"/>
      <c r="L76" s="605"/>
      <c r="M76" s="605"/>
      <c r="N76" s="605"/>
      <c r="O76" s="606"/>
      <c r="P76" s="607" t="s">
        <v>26</v>
      </c>
      <c r="Q76" s="608"/>
      <c r="R76" s="609"/>
      <c r="S76" s="491">
        <f>5-(INT(COUNTBLANK(C79:C93))-10)</f>
        <v>5</v>
      </c>
      <c r="AA76" s="29"/>
      <c r="AB76" s="29"/>
      <c r="AC76" s="29"/>
      <c r="AD76" s="500"/>
      <c r="AE76" s="500"/>
      <c r="AF76" s="500"/>
      <c r="AG76" s="500"/>
    </row>
    <row r="77" spans="1:35" s="501" customFormat="1" ht="30" customHeight="1">
      <c r="B77" s="610" t="s">
        <v>27</v>
      </c>
      <c r="C77" s="596" t="s">
        <v>28</v>
      </c>
      <c r="D77" s="596" t="s">
        <v>29</v>
      </c>
      <c r="E77" s="596" t="s">
        <v>30</v>
      </c>
      <c r="F77" s="596" t="s">
        <v>31</v>
      </c>
      <c r="G77" s="596" t="s">
        <v>32</v>
      </c>
      <c r="H77" s="596" t="s">
        <v>33</v>
      </c>
      <c r="I77" s="596" t="s">
        <v>34</v>
      </c>
      <c r="J77" s="594" t="s">
        <v>35</v>
      </c>
      <c r="K77" s="612"/>
      <c r="L77" s="612"/>
      <c r="M77" s="595"/>
      <c r="N77" s="596" t="s">
        <v>36</v>
      </c>
      <c r="O77" s="596" t="s">
        <v>37</v>
      </c>
      <c r="P77" s="594" t="s">
        <v>38</v>
      </c>
      <c r="Q77" s="595"/>
      <c r="R77" s="596" t="s">
        <v>39</v>
      </c>
      <c r="S77" s="596" t="s">
        <v>40</v>
      </c>
      <c r="T77"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77" s="596" t="str">
        <f>+$U$11</f>
        <v xml:space="preserve">VERIFICACIÓN CONDICIÓN DE EXPERIENCIA  </v>
      </c>
      <c r="V77" s="504"/>
      <c r="W77" s="29"/>
      <c r="X77" s="29"/>
      <c r="Y77" s="29"/>
      <c r="Z77" s="29"/>
      <c r="AA77" s="29"/>
      <c r="AB77" s="29"/>
      <c r="AC77" s="29"/>
      <c r="AD77" s="500"/>
      <c r="AE77" s="500"/>
      <c r="AF77" s="500"/>
      <c r="AG77" s="500"/>
      <c r="AH77" s="13"/>
    </row>
    <row r="78" spans="1:35" s="501" customFormat="1" ht="105.75" customHeight="1">
      <c r="B78" s="611"/>
      <c r="C78" s="597"/>
      <c r="D78" s="597"/>
      <c r="E78" s="597"/>
      <c r="F78" s="597"/>
      <c r="G78" s="597"/>
      <c r="H78" s="597"/>
      <c r="I78" s="597"/>
      <c r="J78" s="598" t="s">
        <v>43</v>
      </c>
      <c r="K78" s="599"/>
      <c r="L78" s="599"/>
      <c r="M78" s="600"/>
      <c r="N78" s="597"/>
      <c r="O78" s="597"/>
      <c r="P78" s="493" t="s">
        <v>10</v>
      </c>
      <c r="Q78" s="493" t="s">
        <v>44</v>
      </c>
      <c r="R78" s="597"/>
      <c r="S78" s="597"/>
      <c r="T78" s="597"/>
      <c r="U78" s="597"/>
      <c r="V78" s="504"/>
      <c r="W78" s="29"/>
      <c r="X78" s="29"/>
      <c r="Y78" s="29"/>
      <c r="Z78" s="29"/>
      <c r="AA78" s="29"/>
      <c r="AB78" s="29"/>
      <c r="AC78" s="29"/>
      <c r="AD78" s="500"/>
      <c r="AE78" s="500"/>
      <c r="AF78" s="500"/>
      <c r="AG78" s="500"/>
      <c r="AH78" s="13"/>
    </row>
    <row r="79" spans="1:35" s="500" customFormat="1" ht="25" customHeight="1">
      <c r="A79" s="498"/>
      <c r="B79" s="546">
        <v>1</v>
      </c>
      <c r="C79" s="549">
        <v>4</v>
      </c>
      <c r="D79" s="549">
        <v>54</v>
      </c>
      <c r="E79" s="613">
        <v>40969</v>
      </c>
      <c r="F79" s="549" t="s">
        <v>282</v>
      </c>
      <c r="G79" s="552">
        <v>5803.53</v>
      </c>
      <c r="H79" s="555" t="s">
        <v>274</v>
      </c>
      <c r="I79" s="558">
        <v>1</v>
      </c>
      <c r="J79" s="499" t="s">
        <v>147</v>
      </c>
      <c r="K79" s="57">
        <f>+$K$13</f>
        <v>801016</v>
      </c>
      <c r="L79" s="499"/>
      <c r="M79" s="57">
        <f>+$M$13</f>
        <v>0</v>
      </c>
      <c r="N79" s="561" t="s">
        <v>151</v>
      </c>
      <c r="O79" s="561" t="s">
        <v>294</v>
      </c>
      <c r="P79" s="564"/>
      <c r="Q79" s="544" t="s">
        <v>153</v>
      </c>
      <c r="R79" s="544" t="s">
        <v>295</v>
      </c>
      <c r="S79" s="568">
        <f t="shared" ref="S79" si="35">IF(COUNTIF(J79:K81,"CUMPLE")&gt;=1,(G79*I79),0)* (IF(N79="PRESENTÓ CERTIFICADO",1,0))* (IF(O79="ACORDE A ITEM 6.2.2.1 (T.R.)",1,0) )* ( IF(OR(Q79="SIN OBSERVACIÓN", Q79="REQUERIMIENTOS SUBSANADOS"),1,0)) *(IF(OR(R79="NINGUNO", R79="CUMPLEN CON LO SOLICITADO"),1,0))</f>
        <v>5803.53</v>
      </c>
      <c r="T79" s="591" t="s">
        <v>155</v>
      </c>
      <c r="U79" s="541">
        <f t="shared" ref="U79:U91" si="36">IF(COUNTIF(J79:K81,"CUMPLE")&gt;=1,1,0)</f>
        <v>1</v>
      </c>
      <c r="W79" s="29"/>
      <c r="X79" s="29"/>
      <c r="Y79" s="29"/>
      <c r="Z79" s="29"/>
      <c r="AD79" s="13"/>
      <c r="AE79" s="13"/>
      <c r="AF79" s="13"/>
      <c r="AG79" s="13"/>
      <c r="AH79" s="13"/>
      <c r="AI79" s="13"/>
    </row>
    <row r="80" spans="1:35" s="500" customFormat="1" ht="25" customHeight="1">
      <c r="A80" s="498"/>
      <c r="B80" s="547"/>
      <c r="C80" s="550"/>
      <c r="D80" s="550"/>
      <c r="E80" s="550"/>
      <c r="F80" s="550"/>
      <c r="G80" s="553"/>
      <c r="H80" s="556"/>
      <c r="I80" s="559"/>
      <c r="J80" s="499" t="s">
        <v>147</v>
      </c>
      <c r="K80" s="57">
        <f>+$K$14</f>
        <v>811015</v>
      </c>
      <c r="L80" s="542"/>
      <c r="M80" s="544">
        <f>+$M$14</f>
        <v>0</v>
      </c>
      <c r="N80" s="562"/>
      <c r="O80" s="562"/>
      <c r="P80" s="565"/>
      <c r="Q80" s="567"/>
      <c r="R80" s="567"/>
      <c r="S80" s="569"/>
      <c r="T80" s="592"/>
      <c r="U80" s="541"/>
      <c r="W80" s="29"/>
      <c r="X80" s="29"/>
      <c r="Y80" s="29"/>
      <c r="Z80" s="29"/>
      <c r="AD80" s="13"/>
      <c r="AE80" s="13"/>
      <c r="AF80" s="13"/>
      <c r="AG80" s="13"/>
      <c r="AH80" s="13"/>
      <c r="AI80" s="13"/>
    </row>
    <row r="81" spans="1:35" s="500" customFormat="1" ht="25" customHeight="1">
      <c r="A81" s="498"/>
      <c r="B81" s="548"/>
      <c r="C81" s="551"/>
      <c r="D81" s="551"/>
      <c r="E81" s="551"/>
      <c r="F81" s="551"/>
      <c r="G81" s="554"/>
      <c r="H81" s="557"/>
      <c r="I81" s="560"/>
      <c r="J81" s="499" t="s">
        <v>290</v>
      </c>
      <c r="K81" s="57">
        <f>+$K$15</f>
        <v>841116</v>
      </c>
      <c r="L81" s="543"/>
      <c r="M81" s="545"/>
      <c r="N81" s="563"/>
      <c r="O81" s="563"/>
      <c r="P81" s="566"/>
      <c r="Q81" s="545"/>
      <c r="R81" s="545"/>
      <c r="S81" s="570"/>
      <c r="T81" s="592"/>
      <c r="U81" s="541"/>
      <c r="W81" s="29"/>
      <c r="X81" s="29"/>
      <c r="Y81" s="29"/>
      <c r="Z81" s="29"/>
      <c r="AD81" s="13"/>
      <c r="AE81" s="13"/>
      <c r="AF81" s="13"/>
      <c r="AG81" s="13"/>
      <c r="AH81" s="13"/>
      <c r="AI81" s="13"/>
    </row>
    <row r="82" spans="1:35" s="500" customFormat="1" ht="25" customHeight="1">
      <c r="A82" s="498"/>
      <c r="B82" s="546">
        <v>2</v>
      </c>
      <c r="C82" s="571">
        <v>6</v>
      </c>
      <c r="D82" s="571">
        <v>58</v>
      </c>
      <c r="E82" s="571" t="s">
        <v>280</v>
      </c>
      <c r="F82" s="571" t="s">
        <v>283</v>
      </c>
      <c r="G82" s="574">
        <v>2512.3200000000002</v>
      </c>
      <c r="H82" s="555" t="s">
        <v>274</v>
      </c>
      <c r="I82" s="577">
        <v>1</v>
      </c>
      <c r="J82" s="499" t="s">
        <v>147</v>
      </c>
      <c r="K82" s="57">
        <f>+$K$13</f>
        <v>801016</v>
      </c>
      <c r="L82" s="499"/>
      <c r="M82" s="57">
        <f>+$M$13</f>
        <v>0</v>
      </c>
      <c r="N82" s="561" t="s">
        <v>151</v>
      </c>
      <c r="O82" s="561" t="s">
        <v>297</v>
      </c>
      <c r="P82" s="564" t="s">
        <v>298</v>
      </c>
      <c r="Q82" s="544" t="s">
        <v>299</v>
      </c>
      <c r="R82" s="544" t="s">
        <v>300</v>
      </c>
      <c r="S82" s="568">
        <f t="shared" ref="S82" si="37">IF(COUNTIF(J82:K84,"CUMPLE")&gt;=1,(G82*I82),0)* (IF(N82="PRESENTÓ CERTIFICADO",1,0))* (IF(O82="ACORDE A ITEM 6.2.2.1 (T.R.)",1,0) )* ( IF(OR(Q82="SIN OBSERVACIÓN", Q82="REQUERIMIENTOS SUBSANADOS"),1,0)) *(IF(OR(R82="NINGUNO", R82="CUMPLEN CON LO SOLICITADO"),1,0))</f>
        <v>0</v>
      </c>
      <c r="T82" s="592"/>
      <c r="U82" s="541">
        <f t="shared" si="36"/>
        <v>1</v>
      </c>
      <c r="W82" s="29"/>
      <c r="X82" s="29"/>
      <c r="Y82" s="29"/>
      <c r="Z82" s="29"/>
      <c r="AD82" s="13"/>
      <c r="AE82" s="13"/>
      <c r="AF82" s="13"/>
      <c r="AG82" s="13"/>
      <c r="AH82" s="13"/>
      <c r="AI82" s="13"/>
    </row>
    <row r="83" spans="1:35" s="500" customFormat="1" ht="25" customHeight="1">
      <c r="A83" s="498"/>
      <c r="B83" s="547"/>
      <c r="C83" s="572"/>
      <c r="D83" s="572"/>
      <c r="E83" s="572"/>
      <c r="F83" s="572"/>
      <c r="G83" s="575"/>
      <c r="H83" s="556"/>
      <c r="I83" s="578"/>
      <c r="J83" s="499" t="s">
        <v>147</v>
      </c>
      <c r="K83" s="57">
        <f>+$K$14</f>
        <v>811015</v>
      </c>
      <c r="L83" s="542"/>
      <c r="M83" s="544">
        <f>+$M$14</f>
        <v>0</v>
      </c>
      <c r="N83" s="562"/>
      <c r="O83" s="562"/>
      <c r="P83" s="565"/>
      <c r="Q83" s="567"/>
      <c r="R83" s="567"/>
      <c r="S83" s="569"/>
      <c r="T83" s="592"/>
      <c r="U83" s="541"/>
      <c r="W83" s="29"/>
      <c r="X83" s="29"/>
      <c r="Y83" s="29"/>
      <c r="Z83" s="29"/>
      <c r="AD83" s="13"/>
      <c r="AE83" s="13"/>
      <c r="AF83" s="13"/>
      <c r="AG83" s="13"/>
      <c r="AH83" s="13"/>
      <c r="AI83" s="13"/>
    </row>
    <row r="84" spans="1:35" s="500" customFormat="1" ht="25" customHeight="1">
      <c r="A84" s="498"/>
      <c r="B84" s="548"/>
      <c r="C84" s="573"/>
      <c r="D84" s="573"/>
      <c r="E84" s="573"/>
      <c r="F84" s="573"/>
      <c r="G84" s="576"/>
      <c r="H84" s="557"/>
      <c r="I84" s="579"/>
      <c r="J84" s="499" t="s">
        <v>290</v>
      </c>
      <c r="K84" s="57">
        <f>+$K$15</f>
        <v>841116</v>
      </c>
      <c r="L84" s="543"/>
      <c r="M84" s="545"/>
      <c r="N84" s="563"/>
      <c r="O84" s="563"/>
      <c r="P84" s="566"/>
      <c r="Q84" s="545"/>
      <c r="R84" s="545"/>
      <c r="S84" s="570"/>
      <c r="T84" s="592"/>
      <c r="U84" s="541"/>
      <c r="W84" s="29"/>
      <c r="X84" s="29"/>
      <c r="Y84" s="29"/>
      <c r="Z84" s="29"/>
      <c r="AD84" s="13"/>
      <c r="AE84" s="13"/>
      <c r="AF84" s="13"/>
      <c r="AG84" s="13"/>
      <c r="AH84" s="13"/>
      <c r="AI84" s="13"/>
    </row>
    <row r="85" spans="1:35" s="500" customFormat="1" ht="25" customHeight="1">
      <c r="A85" s="498"/>
      <c r="B85" s="546">
        <v>3</v>
      </c>
      <c r="C85" s="549">
        <v>14</v>
      </c>
      <c r="D85" s="549">
        <v>26</v>
      </c>
      <c r="E85" s="613">
        <v>40756</v>
      </c>
      <c r="F85" s="549" t="s">
        <v>292</v>
      </c>
      <c r="G85" s="552">
        <v>410.75</v>
      </c>
      <c r="H85" s="555" t="s">
        <v>274</v>
      </c>
      <c r="I85" s="558">
        <v>1</v>
      </c>
      <c r="J85" s="499" t="s">
        <v>147</v>
      </c>
      <c r="K85" s="57">
        <f>+$K$13</f>
        <v>801016</v>
      </c>
      <c r="L85" s="499"/>
      <c r="M85" s="57">
        <f>+$M$13</f>
        <v>0</v>
      </c>
      <c r="N85" s="561" t="s">
        <v>151</v>
      </c>
      <c r="O85" s="561" t="s">
        <v>294</v>
      </c>
      <c r="P85" s="564"/>
      <c r="Q85" s="544" t="s">
        <v>153</v>
      </c>
      <c r="R85" s="544" t="s">
        <v>295</v>
      </c>
      <c r="S85" s="568">
        <f t="shared" ref="S85" si="38">IF(COUNTIF(J85:K87,"CUMPLE")&gt;=1,(G85*I85),0)* (IF(N85="PRESENTÓ CERTIFICADO",1,0))* (IF(O85="ACORDE A ITEM 6.2.2.1 (T.R.)",1,0) )* ( IF(OR(Q85="SIN OBSERVACIÓN", Q85="REQUERIMIENTOS SUBSANADOS"),1,0)) *(IF(OR(R85="NINGUNO", R85="CUMPLEN CON LO SOLICITADO"),1,0))</f>
        <v>410.75</v>
      </c>
      <c r="T85" s="592"/>
      <c r="U85" s="541">
        <f t="shared" si="36"/>
        <v>1</v>
      </c>
      <c r="W85" s="29"/>
      <c r="X85" s="29"/>
      <c r="Y85" s="29"/>
      <c r="Z85" s="29"/>
      <c r="AA85" s="13"/>
      <c r="AB85" s="13"/>
      <c r="AC85" s="13"/>
      <c r="AD85" s="13"/>
      <c r="AE85" s="13"/>
      <c r="AF85" s="13"/>
      <c r="AG85" s="13"/>
      <c r="AH85" s="13"/>
      <c r="AI85" s="13"/>
    </row>
    <row r="86" spans="1:35" s="500" customFormat="1" ht="25" customHeight="1">
      <c r="A86" s="498"/>
      <c r="B86" s="547"/>
      <c r="C86" s="550"/>
      <c r="D86" s="550"/>
      <c r="E86" s="550"/>
      <c r="F86" s="550"/>
      <c r="G86" s="553"/>
      <c r="H86" s="556"/>
      <c r="I86" s="559"/>
      <c r="J86" s="499" t="s">
        <v>147</v>
      </c>
      <c r="K86" s="57">
        <f>+$K$14</f>
        <v>811015</v>
      </c>
      <c r="L86" s="542"/>
      <c r="M86" s="544">
        <f>+$M$14</f>
        <v>0</v>
      </c>
      <c r="N86" s="562"/>
      <c r="O86" s="562"/>
      <c r="P86" s="565"/>
      <c r="Q86" s="567"/>
      <c r="R86" s="567"/>
      <c r="S86" s="569"/>
      <c r="T86" s="592"/>
      <c r="U86" s="541"/>
      <c r="W86" s="29"/>
      <c r="X86" s="29"/>
      <c r="Y86" s="29"/>
      <c r="Z86" s="29"/>
      <c r="AH86" s="13"/>
      <c r="AI86" s="13"/>
    </row>
    <row r="87" spans="1:35" s="500" customFormat="1" ht="25" customHeight="1">
      <c r="A87" s="498"/>
      <c r="B87" s="548"/>
      <c r="C87" s="551"/>
      <c r="D87" s="551"/>
      <c r="E87" s="551"/>
      <c r="F87" s="551"/>
      <c r="G87" s="554"/>
      <c r="H87" s="557"/>
      <c r="I87" s="560"/>
      <c r="J87" s="499" t="s">
        <v>290</v>
      </c>
      <c r="K87" s="57">
        <f>+$K$15</f>
        <v>841116</v>
      </c>
      <c r="L87" s="543"/>
      <c r="M87" s="545"/>
      <c r="N87" s="563"/>
      <c r="O87" s="563"/>
      <c r="P87" s="566"/>
      <c r="Q87" s="545"/>
      <c r="R87" s="545"/>
      <c r="S87" s="570"/>
      <c r="T87" s="592"/>
      <c r="U87" s="541"/>
      <c r="W87" s="29"/>
      <c r="X87" s="29"/>
      <c r="Y87" s="29"/>
      <c r="Z87" s="29"/>
    </row>
    <row r="88" spans="1:35" s="500" customFormat="1" ht="25" customHeight="1">
      <c r="A88" s="498"/>
      <c r="B88" s="546">
        <v>4</v>
      </c>
      <c r="C88" s="571">
        <v>56</v>
      </c>
      <c r="D88" s="571">
        <v>93</v>
      </c>
      <c r="E88" s="614">
        <v>41127</v>
      </c>
      <c r="F88" s="571" t="s">
        <v>293</v>
      </c>
      <c r="G88" s="574">
        <v>651.88</v>
      </c>
      <c r="H88" s="555" t="s">
        <v>274</v>
      </c>
      <c r="I88" s="577">
        <v>1</v>
      </c>
      <c r="J88" s="499" t="s">
        <v>290</v>
      </c>
      <c r="K88" s="57">
        <f>+$K$13</f>
        <v>801016</v>
      </c>
      <c r="L88" s="499"/>
      <c r="M88" s="57">
        <f>+$M$13</f>
        <v>0</v>
      </c>
      <c r="N88" s="561" t="s">
        <v>151</v>
      </c>
      <c r="O88" s="561" t="s">
        <v>294</v>
      </c>
      <c r="P88" s="564"/>
      <c r="Q88" s="544" t="s">
        <v>153</v>
      </c>
      <c r="R88" s="544" t="s">
        <v>295</v>
      </c>
      <c r="S88" s="568">
        <f t="shared" ref="S88" si="39">IF(COUNTIF(J88:K90,"CUMPLE")&gt;=1,(G88*I88),0)* (IF(N88="PRESENTÓ CERTIFICADO",1,0))* (IF(O88="ACORDE A ITEM 6.2.2.1 (T.R.)",1,0) )* ( IF(OR(Q88="SIN OBSERVACIÓN", Q88="REQUERIMIENTOS SUBSANADOS"),1,0)) *(IF(OR(R88="NINGUNO", R88="CUMPLEN CON LO SOLICITADO"),1,0))</f>
        <v>651.88</v>
      </c>
      <c r="T88" s="592"/>
      <c r="U88" s="541">
        <f t="shared" si="36"/>
        <v>1</v>
      </c>
      <c r="W88" s="29"/>
      <c r="X88" s="29"/>
      <c r="Y88" s="29"/>
      <c r="Z88" s="29"/>
      <c r="AA88" s="13"/>
      <c r="AB88" s="13"/>
      <c r="AC88" s="13"/>
      <c r="AD88" s="13"/>
      <c r="AE88" s="13"/>
      <c r="AF88" s="13"/>
      <c r="AG88" s="13"/>
    </row>
    <row r="89" spans="1:35" s="500" customFormat="1" ht="25" customHeight="1">
      <c r="A89" s="498"/>
      <c r="B89" s="547"/>
      <c r="C89" s="572"/>
      <c r="D89" s="572"/>
      <c r="E89" s="572"/>
      <c r="F89" s="572"/>
      <c r="G89" s="575"/>
      <c r="H89" s="556"/>
      <c r="I89" s="578"/>
      <c r="J89" s="499" t="s">
        <v>147</v>
      </c>
      <c r="K89" s="57">
        <f>+$K$14</f>
        <v>811015</v>
      </c>
      <c r="L89" s="542"/>
      <c r="M89" s="544">
        <f>+$M$14</f>
        <v>0</v>
      </c>
      <c r="N89" s="562"/>
      <c r="O89" s="562"/>
      <c r="P89" s="565"/>
      <c r="Q89" s="567"/>
      <c r="R89" s="567"/>
      <c r="S89" s="569"/>
      <c r="T89" s="592"/>
      <c r="U89" s="541"/>
      <c r="W89" s="29"/>
      <c r="X89" s="29"/>
      <c r="Y89" s="29"/>
      <c r="Z89" s="29"/>
      <c r="AA89" s="13"/>
      <c r="AB89" s="13"/>
      <c r="AC89" s="13"/>
      <c r="AD89" s="13"/>
      <c r="AE89" s="13"/>
      <c r="AF89" s="13"/>
      <c r="AG89" s="13"/>
    </row>
    <row r="90" spans="1:35" s="500" customFormat="1" ht="25" customHeight="1">
      <c r="A90" s="498"/>
      <c r="B90" s="548"/>
      <c r="C90" s="573"/>
      <c r="D90" s="573"/>
      <c r="E90" s="573"/>
      <c r="F90" s="573"/>
      <c r="G90" s="576"/>
      <c r="H90" s="557"/>
      <c r="I90" s="579"/>
      <c r="J90" s="499" t="s">
        <v>290</v>
      </c>
      <c r="K90" s="57">
        <f>+$K$15</f>
        <v>841116</v>
      </c>
      <c r="L90" s="543"/>
      <c r="M90" s="545"/>
      <c r="N90" s="563"/>
      <c r="O90" s="563"/>
      <c r="P90" s="566"/>
      <c r="Q90" s="545"/>
      <c r="R90" s="545"/>
      <c r="S90" s="570"/>
      <c r="T90" s="592"/>
      <c r="U90" s="541"/>
      <c r="W90" s="29"/>
      <c r="X90" s="29"/>
      <c r="Y90" s="29"/>
      <c r="Z90" s="29"/>
      <c r="AA90" s="29"/>
      <c r="AB90" s="29"/>
      <c r="AC90" s="29"/>
      <c r="AD90" s="501"/>
      <c r="AE90" s="501"/>
      <c r="AF90" s="501"/>
      <c r="AG90" s="501"/>
    </row>
    <row r="91" spans="1:35" s="500" customFormat="1" ht="25" customHeight="1">
      <c r="A91" s="498"/>
      <c r="B91" s="546">
        <v>5</v>
      </c>
      <c r="C91" s="549">
        <v>36</v>
      </c>
      <c r="D91" s="549">
        <v>82</v>
      </c>
      <c r="E91" s="549" t="s">
        <v>281</v>
      </c>
      <c r="F91" s="549" t="s">
        <v>284</v>
      </c>
      <c r="G91" s="552">
        <v>2099.61</v>
      </c>
      <c r="H91" s="555" t="s">
        <v>274</v>
      </c>
      <c r="I91" s="558">
        <v>1</v>
      </c>
      <c r="J91" s="499" t="s">
        <v>147</v>
      </c>
      <c r="K91" s="57">
        <f>+$K$13</f>
        <v>801016</v>
      </c>
      <c r="L91" s="499"/>
      <c r="M91" s="57">
        <f>+$M$13</f>
        <v>0</v>
      </c>
      <c r="N91" s="561" t="s">
        <v>151</v>
      </c>
      <c r="O91" s="561" t="s">
        <v>294</v>
      </c>
      <c r="P91" s="564"/>
      <c r="Q91" s="544" t="s">
        <v>153</v>
      </c>
      <c r="R91" s="544" t="s">
        <v>295</v>
      </c>
      <c r="S91" s="568">
        <f t="shared" ref="S91" si="40">IF(COUNTIF(J91:K93,"CUMPLE")&gt;=1,(G91*I91),0)* (IF(N91="PRESENTÓ CERTIFICADO",1,0))* (IF(O91="ACORDE A ITEM 6.2.2.1 (T.R.)",1,0) )* ( IF(OR(Q91="SIN OBSERVACIÓN", Q91="REQUERIMIENTOS SUBSANADOS"),1,0)) *(IF(OR(R91="NINGUNO", R91="CUMPLEN CON LO SOLICITADO"),1,0))</f>
        <v>2099.61</v>
      </c>
      <c r="T91" s="592"/>
      <c r="U91" s="541">
        <f t="shared" si="36"/>
        <v>1</v>
      </c>
      <c r="W91" s="29"/>
      <c r="X91" s="29"/>
      <c r="Y91" s="29"/>
      <c r="Z91" s="29"/>
      <c r="AA91" s="29"/>
      <c r="AB91" s="29"/>
      <c r="AC91" s="29"/>
      <c r="AD91" s="501"/>
      <c r="AE91" s="501"/>
      <c r="AF91" s="501"/>
      <c r="AG91" s="501"/>
    </row>
    <row r="92" spans="1:35" s="500" customFormat="1" ht="25" customHeight="1">
      <c r="A92" s="498"/>
      <c r="B92" s="547"/>
      <c r="C92" s="550"/>
      <c r="D92" s="550"/>
      <c r="E92" s="550"/>
      <c r="F92" s="550"/>
      <c r="G92" s="553"/>
      <c r="H92" s="556"/>
      <c r="I92" s="559"/>
      <c r="J92" s="499" t="s">
        <v>147</v>
      </c>
      <c r="K92" s="57">
        <f>+$K$14</f>
        <v>811015</v>
      </c>
      <c r="L92" s="542"/>
      <c r="M92" s="544">
        <f>+$M$14</f>
        <v>0</v>
      </c>
      <c r="N92" s="562"/>
      <c r="O92" s="562"/>
      <c r="P92" s="565"/>
      <c r="Q92" s="567"/>
      <c r="R92" s="567"/>
      <c r="S92" s="569"/>
      <c r="T92" s="592"/>
      <c r="U92" s="541"/>
      <c r="W92" s="29"/>
      <c r="X92" s="29"/>
      <c r="Y92" s="29"/>
      <c r="Z92" s="29"/>
      <c r="AA92" s="29"/>
      <c r="AB92" s="29"/>
      <c r="AC92" s="29"/>
    </row>
    <row r="93" spans="1:35" s="500" customFormat="1" ht="25" customHeight="1">
      <c r="A93" s="498"/>
      <c r="B93" s="548"/>
      <c r="C93" s="551"/>
      <c r="D93" s="551"/>
      <c r="E93" s="551"/>
      <c r="F93" s="551"/>
      <c r="G93" s="554"/>
      <c r="H93" s="557"/>
      <c r="I93" s="560"/>
      <c r="J93" s="499" t="s">
        <v>290</v>
      </c>
      <c r="K93" s="57">
        <f>+$K$15</f>
        <v>841116</v>
      </c>
      <c r="L93" s="543"/>
      <c r="M93" s="545"/>
      <c r="N93" s="563"/>
      <c r="O93" s="563"/>
      <c r="P93" s="566"/>
      <c r="Q93" s="545"/>
      <c r="R93" s="545"/>
      <c r="S93" s="570"/>
      <c r="T93" s="593"/>
      <c r="U93" s="541"/>
      <c r="W93" s="29"/>
      <c r="X93" s="29"/>
      <c r="Y93" s="29"/>
      <c r="Z93" s="29"/>
      <c r="AA93" s="29"/>
      <c r="AB93" s="29"/>
      <c r="AC93" s="29"/>
    </row>
    <row r="94" spans="1:35" ht="25" customHeight="1">
      <c r="A94" s="13"/>
      <c r="B94" s="580" t="str">
        <f>IF(S95=" "," ",IF(S95&gt;=$H$6,"CUMPLE CON LA EXPERIENCIA REQUERIDA","NO CUMPLE CON LA EXPERIENCIA REQUERIDA"))</f>
        <v>CUMPLE CON LA EXPERIENCIA REQUERIDA</v>
      </c>
      <c r="C94" s="581"/>
      <c r="D94" s="581"/>
      <c r="E94" s="581"/>
      <c r="F94" s="581"/>
      <c r="G94" s="581"/>
      <c r="H94" s="581"/>
      <c r="I94" s="581"/>
      <c r="J94" s="581"/>
      <c r="K94" s="581"/>
      <c r="L94" s="581"/>
      <c r="M94" s="581"/>
      <c r="N94" s="581"/>
      <c r="O94" s="582"/>
      <c r="P94" s="586" t="s">
        <v>46</v>
      </c>
      <c r="Q94" s="587"/>
      <c r="R94" s="588"/>
      <c r="S94" s="503">
        <f>IF(T79="SI",SUM(S79:S93),0)</f>
        <v>8965.77</v>
      </c>
      <c r="T94" s="589" t="str">
        <f>IF(S95=" "," ",IF(S95&gt;=$H$6,"CUMPLE","NO CUMPLE"))</f>
        <v>CUMPLE</v>
      </c>
      <c r="AA94" s="29"/>
      <c r="AB94" s="29"/>
      <c r="AC94" s="29"/>
      <c r="AD94" s="500"/>
      <c r="AE94" s="500"/>
      <c r="AF94" s="500"/>
      <c r="AG94" s="500"/>
      <c r="AH94" s="500"/>
    </row>
    <row r="95" spans="1:35" s="500" customFormat="1" ht="25" customHeight="1">
      <c r="B95" s="583"/>
      <c r="C95" s="584"/>
      <c r="D95" s="584"/>
      <c r="E95" s="584"/>
      <c r="F95" s="584"/>
      <c r="G95" s="584"/>
      <c r="H95" s="584"/>
      <c r="I95" s="584"/>
      <c r="J95" s="584"/>
      <c r="K95" s="584"/>
      <c r="L95" s="584"/>
      <c r="M95" s="584"/>
      <c r="N95" s="584"/>
      <c r="O95" s="585"/>
      <c r="P95" s="586" t="s">
        <v>47</v>
      </c>
      <c r="Q95" s="587"/>
      <c r="R95" s="588"/>
      <c r="S95" s="503">
        <f>IFERROR((S94/$P$6)," ")</f>
        <v>12.115905405405407</v>
      </c>
      <c r="T95" s="590"/>
      <c r="W95" s="29"/>
      <c r="X95" s="29"/>
      <c r="Y95" s="29"/>
      <c r="Z95" s="29"/>
      <c r="AA95" s="29"/>
      <c r="AB95" s="29"/>
      <c r="AC95" s="29"/>
    </row>
    <row r="96" spans="1:35" ht="30" customHeight="1">
      <c r="AA96" s="29"/>
      <c r="AB96" s="29"/>
      <c r="AC96" s="29"/>
      <c r="AD96" s="500"/>
      <c r="AE96" s="500"/>
      <c r="AF96" s="500"/>
      <c r="AG96" s="500"/>
    </row>
    <row r="97" spans="1:35" ht="30" customHeight="1">
      <c r="AA97" s="29"/>
      <c r="AB97" s="29"/>
      <c r="AC97" s="29"/>
      <c r="AD97" s="500"/>
      <c r="AE97" s="500"/>
      <c r="AF97" s="500"/>
      <c r="AG97" s="500"/>
      <c r="AH97" s="500"/>
    </row>
    <row r="98" spans="1:35" ht="63.75" hidden="1" customHeight="1">
      <c r="B98" s="465">
        <v>5</v>
      </c>
      <c r="C98" s="601" t="s">
        <v>25</v>
      </c>
      <c r="D98" s="602"/>
      <c r="E98" s="603"/>
      <c r="F98" s="604">
        <f>IFERROR(VLOOKUP(B98,LISTA_OFERENTES,2,FALSE)," ")</f>
        <v>0</v>
      </c>
      <c r="G98" s="605"/>
      <c r="H98" s="605"/>
      <c r="I98" s="605"/>
      <c r="J98" s="605"/>
      <c r="K98" s="605"/>
      <c r="L98" s="605"/>
      <c r="M98" s="605"/>
      <c r="N98" s="605"/>
      <c r="O98" s="606"/>
      <c r="P98" s="607" t="s">
        <v>26</v>
      </c>
      <c r="Q98" s="608"/>
      <c r="R98" s="609"/>
      <c r="S98" s="491">
        <f>5-(INT(COUNTBLANK(C101:C115))-10)</f>
        <v>0</v>
      </c>
      <c r="AA98" s="29"/>
      <c r="AB98" s="29"/>
      <c r="AC98" s="29"/>
      <c r="AD98" s="500"/>
      <c r="AE98" s="500"/>
      <c r="AF98" s="500"/>
      <c r="AG98" s="500"/>
    </row>
    <row r="99" spans="1:35" s="501" customFormat="1" ht="30" hidden="1" customHeight="1">
      <c r="B99" s="610" t="s">
        <v>27</v>
      </c>
      <c r="C99" s="596" t="s">
        <v>28</v>
      </c>
      <c r="D99" s="596" t="s">
        <v>29</v>
      </c>
      <c r="E99" s="596" t="s">
        <v>30</v>
      </c>
      <c r="F99" s="596" t="s">
        <v>31</v>
      </c>
      <c r="G99" s="596" t="s">
        <v>32</v>
      </c>
      <c r="H99" s="596" t="s">
        <v>33</v>
      </c>
      <c r="I99" s="596" t="s">
        <v>34</v>
      </c>
      <c r="J99" s="594" t="s">
        <v>35</v>
      </c>
      <c r="K99" s="612"/>
      <c r="L99" s="612"/>
      <c r="M99" s="595"/>
      <c r="N99" s="596" t="s">
        <v>36</v>
      </c>
      <c r="O99" s="596" t="s">
        <v>37</v>
      </c>
      <c r="P99" s="594" t="s">
        <v>38</v>
      </c>
      <c r="Q99" s="595"/>
      <c r="R99" s="596" t="s">
        <v>39</v>
      </c>
      <c r="S99" s="596" t="s">
        <v>40</v>
      </c>
      <c r="T99"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99" s="596" t="str">
        <f>+$U$11</f>
        <v xml:space="preserve">VERIFICACIÓN CONDICIÓN DE EXPERIENCIA  </v>
      </c>
      <c r="V99" s="504"/>
      <c r="W99" s="29"/>
      <c r="X99" s="29"/>
      <c r="Y99" s="29"/>
      <c r="Z99" s="29"/>
      <c r="AA99" s="29"/>
      <c r="AB99" s="29"/>
      <c r="AC99" s="29"/>
      <c r="AD99" s="500"/>
      <c r="AE99" s="500"/>
      <c r="AF99" s="500"/>
      <c r="AG99" s="500"/>
      <c r="AH99" s="13"/>
    </row>
    <row r="100" spans="1:35" s="501" customFormat="1" ht="90.75" hidden="1" customHeight="1">
      <c r="B100" s="611"/>
      <c r="C100" s="597"/>
      <c r="D100" s="597"/>
      <c r="E100" s="597"/>
      <c r="F100" s="597"/>
      <c r="G100" s="597"/>
      <c r="H100" s="597"/>
      <c r="I100" s="597"/>
      <c r="J100" s="598" t="s">
        <v>43</v>
      </c>
      <c r="K100" s="599"/>
      <c r="L100" s="599"/>
      <c r="M100" s="600"/>
      <c r="N100" s="597"/>
      <c r="O100" s="597"/>
      <c r="P100" s="493" t="s">
        <v>10</v>
      </c>
      <c r="Q100" s="493" t="s">
        <v>44</v>
      </c>
      <c r="R100" s="597"/>
      <c r="S100" s="597"/>
      <c r="T100" s="597"/>
      <c r="U100" s="597"/>
      <c r="V100" s="504"/>
      <c r="W100" s="29"/>
      <c r="X100" s="29"/>
      <c r="Y100" s="29"/>
      <c r="Z100" s="29"/>
      <c r="AA100" s="29"/>
      <c r="AB100" s="29"/>
      <c r="AC100" s="29"/>
      <c r="AD100" s="500"/>
      <c r="AE100" s="500"/>
      <c r="AF100" s="500"/>
      <c r="AG100" s="500"/>
      <c r="AH100" s="13"/>
    </row>
    <row r="101" spans="1:35" s="500" customFormat="1" ht="35" hidden="1" customHeight="1">
      <c r="A101" s="498"/>
      <c r="B101" s="546">
        <v>1</v>
      </c>
      <c r="C101" s="549"/>
      <c r="D101" s="549"/>
      <c r="E101" s="549"/>
      <c r="F101" s="549"/>
      <c r="G101" s="552"/>
      <c r="H101" s="555"/>
      <c r="I101" s="558"/>
      <c r="J101" s="499"/>
      <c r="K101" s="57">
        <f>+$K$13</f>
        <v>801016</v>
      </c>
      <c r="L101" s="499"/>
      <c r="M101" s="57">
        <f>+$M$13</f>
        <v>0</v>
      </c>
      <c r="N101" s="561"/>
      <c r="O101" s="561"/>
      <c r="P101" s="564"/>
      <c r="Q101" s="544"/>
      <c r="R101" s="544"/>
      <c r="S101" s="568">
        <f>IF(COUNTIF(J101:K103,"CUMPLE")&gt;=1,(G101*I101),0)* (IF(N101="PRESENTÓ CERTIFICADO",1,0))* (IF(O101="ACORDE A ITEM 5.2.2 (T.R.)",1,0) )* ( IF(OR(Q101="SIN OBSERVACIÓN", Q101="REQUERIMIENTOS SUBSANADOS"),1,0)) *(IF(OR(R101="NINGUNO", R101="CUMPLEN CON LO SOLICITADO"),1,0))</f>
        <v>0</v>
      </c>
      <c r="T101" s="591"/>
      <c r="U101" s="541">
        <f t="shared" ref="U101:U113" si="41">IF(COUNTIF(J101:K103,"CUMPLE")&gt;=1,1,0)</f>
        <v>0</v>
      </c>
      <c r="W101" s="29"/>
      <c r="X101" s="29"/>
      <c r="Y101" s="29"/>
      <c r="Z101" s="29"/>
      <c r="AD101" s="13"/>
      <c r="AE101" s="13"/>
      <c r="AF101" s="13"/>
      <c r="AG101" s="13"/>
      <c r="AH101" s="13"/>
      <c r="AI101" s="13"/>
    </row>
    <row r="102" spans="1:35" s="500" customFormat="1" ht="35" hidden="1" customHeight="1">
      <c r="A102" s="498"/>
      <c r="B102" s="547"/>
      <c r="C102" s="550"/>
      <c r="D102" s="550"/>
      <c r="E102" s="550"/>
      <c r="F102" s="550"/>
      <c r="G102" s="553"/>
      <c r="H102" s="556"/>
      <c r="I102" s="559"/>
      <c r="J102" s="499"/>
      <c r="K102" s="57">
        <f>+$K$14</f>
        <v>811015</v>
      </c>
      <c r="L102" s="542"/>
      <c r="M102" s="544">
        <f>+$M$14</f>
        <v>0</v>
      </c>
      <c r="N102" s="562"/>
      <c r="O102" s="562"/>
      <c r="P102" s="565"/>
      <c r="Q102" s="567"/>
      <c r="R102" s="567"/>
      <c r="S102" s="569"/>
      <c r="T102" s="592"/>
      <c r="U102" s="541"/>
      <c r="W102" s="29"/>
      <c r="X102" s="29"/>
      <c r="Y102" s="29"/>
      <c r="Z102" s="29"/>
      <c r="AD102" s="13"/>
      <c r="AE102" s="13"/>
      <c r="AF102" s="13"/>
      <c r="AG102" s="13"/>
      <c r="AH102" s="13"/>
      <c r="AI102" s="13"/>
    </row>
    <row r="103" spans="1:35" s="500" customFormat="1" ht="35" hidden="1" customHeight="1">
      <c r="A103" s="498"/>
      <c r="B103" s="548"/>
      <c r="C103" s="551"/>
      <c r="D103" s="551"/>
      <c r="E103" s="551"/>
      <c r="F103" s="551"/>
      <c r="G103" s="554"/>
      <c r="H103" s="557"/>
      <c r="I103" s="560"/>
      <c r="J103" s="499"/>
      <c r="K103" s="57">
        <f>+$K$15</f>
        <v>841116</v>
      </c>
      <c r="L103" s="543"/>
      <c r="M103" s="545"/>
      <c r="N103" s="563"/>
      <c r="O103" s="563"/>
      <c r="P103" s="566"/>
      <c r="Q103" s="545"/>
      <c r="R103" s="545"/>
      <c r="S103" s="570"/>
      <c r="T103" s="592"/>
      <c r="U103" s="541"/>
      <c r="W103" s="29"/>
      <c r="X103" s="29"/>
      <c r="Y103" s="29"/>
      <c r="Z103" s="29"/>
      <c r="AD103" s="13"/>
      <c r="AE103" s="13"/>
      <c r="AF103" s="13"/>
      <c r="AG103" s="13"/>
      <c r="AH103" s="13"/>
      <c r="AI103" s="13"/>
    </row>
    <row r="104" spans="1:35" s="500" customFormat="1" ht="32.25" hidden="1" customHeight="1">
      <c r="A104" s="498"/>
      <c r="B104" s="546">
        <v>2</v>
      </c>
      <c r="C104" s="571"/>
      <c r="D104" s="571"/>
      <c r="E104" s="571"/>
      <c r="F104" s="571"/>
      <c r="G104" s="574"/>
      <c r="H104" s="555"/>
      <c r="I104" s="558"/>
      <c r="J104" s="499"/>
      <c r="K104" s="57">
        <f>+$K$13</f>
        <v>801016</v>
      </c>
      <c r="L104" s="499"/>
      <c r="M104" s="57">
        <f>+$M$13</f>
        <v>0</v>
      </c>
      <c r="N104" s="561"/>
      <c r="O104" s="561"/>
      <c r="P104" s="564"/>
      <c r="Q104" s="544"/>
      <c r="R104" s="544"/>
      <c r="S104" s="568">
        <f>IF(COUNTIF(J104:K106,"CUMPLE")&gt;=1,(G104*I104),0)* (IF(N104="PRESENTÓ CERTIFICADO",1,0))* (IF(O104="ACORDE A ITEM 5.2.2 (T.R.)",1,0) )* ( IF(OR(Q104="SIN OBSERVACIÓN", Q104="REQUERIMIENTOS SUBSANADOS"),1,0)) *(IF(OR(R104="NINGUNO", R104="CUMPLEN CON LO SOLICITADO"),1,0))</f>
        <v>0</v>
      </c>
      <c r="T104" s="592"/>
      <c r="U104" s="541">
        <f t="shared" si="41"/>
        <v>0</v>
      </c>
      <c r="W104" s="29"/>
      <c r="X104" s="29"/>
      <c r="Y104" s="29"/>
      <c r="Z104" s="29"/>
      <c r="AD104" s="13"/>
      <c r="AE104" s="13"/>
      <c r="AF104" s="13"/>
      <c r="AG104" s="13"/>
      <c r="AH104" s="13"/>
      <c r="AI104" s="13"/>
    </row>
    <row r="105" spans="1:35" s="500" customFormat="1" ht="30.75" hidden="1" customHeight="1">
      <c r="A105" s="498"/>
      <c r="B105" s="547"/>
      <c r="C105" s="572"/>
      <c r="D105" s="572"/>
      <c r="E105" s="572"/>
      <c r="F105" s="572"/>
      <c r="G105" s="575"/>
      <c r="H105" s="556"/>
      <c r="I105" s="559"/>
      <c r="J105" s="499"/>
      <c r="K105" s="57">
        <f>+$K$14</f>
        <v>811015</v>
      </c>
      <c r="L105" s="542"/>
      <c r="M105" s="544">
        <f>+$M$14</f>
        <v>0</v>
      </c>
      <c r="N105" s="562"/>
      <c r="O105" s="562"/>
      <c r="P105" s="565"/>
      <c r="Q105" s="567"/>
      <c r="R105" s="567"/>
      <c r="S105" s="569"/>
      <c r="T105" s="592"/>
      <c r="U105" s="541"/>
      <c r="W105" s="29"/>
      <c r="X105" s="29"/>
      <c r="Y105" s="29"/>
      <c r="Z105" s="29"/>
      <c r="AD105" s="13"/>
      <c r="AE105" s="13"/>
      <c r="AF105" s="13"/>
      <c r="AG105" s="13"/>
      <c r="AH105" s="13"/>
      <c r="AI105" s="13"/>
    </row>
    <row r="106" spans="1:35" s="500" customFormat="1" ht="35" hidden="1" customHeight="1">
      <c r="A106" s="498"/>
      <c r="B106" s="548"/>
      <c r="C106" s="573"/>
      <c r="D106" s="573"/>
      <c r="E106" s="573"/>
      <c r="F106" s="573"/>
      <c r="G106" s="576"/>
      <c r="H106" s="557"/>
      <c r="I106" s="560"/>
      <c r="J106" s="499"/>
      <c r="K106" s="57">
        <f>+$K$15</f>
        <v>841116</v>
      </c>
      <c r="L106" s="543"/>
      <c r="M106" s="545"/>
      <c r="N106" s="563"/>
      <c r="O106" s="563"/>
      <c r="P106" s="566"/>
      <c r="Q106" s="545"/>
      <c r="R106" s="545"/>
      <c r="S106" s="570"/>
      <c r="T106" s="592"/>
      <c r="U106" s="541"/>
      <c r="W106" s="29"/>
      <c r="X106" s="29"/>
      <c r="Y106" s="29"/>
      <c r="Z106" s="29"/>
      <c r="AD106" s="13"/>
      <c r="AE106" s="13"/>
      <c r="AF106" s="13"/>
      <c r="AG106" s="13"/>
      <c r="AH106" s="13"/>
      <c r="AI106" s="13"/>
    </row>
    <row r="107" spans="1:35" s="500" customFormat="1" ht="25" hidden="1" customHeight="1">
      <c r="A107" s="498"/>
      <c r="B107" s="546">
        <v>3</v>
      </c>
      <c r="C107" s="549"/>
      <c r="D107" s="549"/>
      <c r="E107" s="549"/>
      <c r="F107" s="549"/>
      <c r="G107" s="552"/>
      <c r="H107" s="555"/>
      <c r="I107" s="558"/>
      <c r="J107" s="499"/>
      <c r="K107" s="57">
        <f>+$K$13</f>
        <v>801016</v>
      </c>
      <c r="L107" s="499"/>
      <c r="M107" s="57">
        <f>+$M$13</f>
        <v>0</v>
      </c>
      <c r="N107" s="561"/>
      <c r="O107" s="561"/>
      <c r="P107" s="564"/>
      <c r="Q107" s="544"/>
      <c r="R107" s="544"/>
      <c r="S107" s="568">
        <f>IF(COUNTIF(J107:K109,"CUMPLE")&gt;=1,(G107*I107),0)* (IF(N107="PRESENTÓ CERTIFICADO",1,0))* (IF(O107="ACORDE A ITEM 5.2.2 (T.R.)",1,0) )* ( IF(OR(Q107="SIN OBSERVACIÓN", Q107="REQUERIMIENTOS SUBSANADOS"),1,0)) *(IF(OR(R107="NINGUNO", R107="CUMPLEN CON LO SOLICITADO"),1,0))</f>
        <v>0</v>
      </c>
      <c r="T107" s="592"/>
      <c r="U107" s="541">
        <f t="shared" si="41"/>
        <v>0</v>
      </c>
      <c r="W107" s="29"/>
      <c r="X107" s="29"/>
      <c r="Y107" s="29"/>
      <c r="Z107" s="29"/>
      <c r="AA107" s="13"/>
      <c r="AB107" s="13"/>
      <c r="AC107" s="13"/>
      <c r="AD107" s="13"/>
      <c r="AE107" s="13"/>
      <c r="AF107" s="13"/>
      <c r="AG107" s="13"/>
      <c r="AH107" s="13"/>
      <c r="AI107" s="13"/>
    </row>
    <row r="108" spans="1:35" s="500" customFormat="1" ht="25" hidden="1" customHeight="1">
      <c r="A108" s="498"/>
      <c r="B108" s="547"/>
      <c r="C108" s="550"/>
      <c r="D108" s="550"/>
      <c r="E108" s="550"/>
      <c r="F108" s="550"/>
      <c r="G108" s="553"/>
      <c r="H108" s="556"/>
      <c r="I108" s="559"/>
      <c r="J108" s="499"/>
      <c r="K108" s="57">
        <f>+$K$14</f>
        <v>811015</v>
      </c>
      <c r="L108" s="542"/>
      <c r="M108" s="544">
        <f>+$M$14</f>
        <v>0</v>
      </c>
      <c r="N108" s="562"/>
      <c r="O108" s="562"/>
      <c r="P108" s="565"/>
      <c r="Q108" s="567"/>
      <c r="R108" s="567"/>
      <c r="S108" s="569"/>
      <c r="T108" s="592"/>
      <c r="U108" s="541"/>
      <c r="W108" s="29"/>
      <c r="X108" s="29"/>
      <c r="Y108" s="29"/>
      <c r="Z108" s="29"/>
      <c r="AH108" s="13"/>
      <c r="AI108" s="13"/>
    </row>
    <row r="109" spans="1:35" s="500" customFormat="1" ht="25" hidden="1" customHeight="1">
      <c r="A109" s="498"/>
      <c r="B109" s="548"/>
      <c r="C109" s="551"/>
      <c r="D109" s="551"/>
      <c r="E109" s="551"/>
      <c r="F109" s="551"/>
      <c r="G109" s="554"/>
      <c r="H109" s="557"/>
      <c r="I109" s="560"/>
      <c r="J109" s="499"/>
      <c r="K109" s="57">
        <f>+$K$15</f>
        <v>841116</v>
      </c>
      <c r="L109" s="543"/>
      <c r="M109" s="545"/>
      <c r="N109" s="563"/>
      <c r="O109" s="563"/>
      <c r="P109" s="566"/>
      <c r="Q109" s="545"/>
      <c r="R109" s="545"/>
      <c r="S109" s="570"/>
      <c r="T109" s="592"/>
      <c r="U109" s="541"/>
      <c r="W109" s="29"/>
      <c r="X109" s="29"/>
      <c r="Y109" s="29"/>
      <c r="Z109" s="29"/>
    </row>
    <row r="110" spans="1:35" s="500" customFormat="1" ht="30" hidden="1" customHeight="1">
      <c r="A110" s="498"/>
      <c r="B110" s="546">
        <v>4</v>
      </c>
      <c r="C110" s="571"/>
      <c r="D110" s="571"/>
      <c r="E110" s="571"/>
      <c r="F110" s="571"/>
      <c r="G110" s="574"/>
      <c r="H110" s="555"/>
      <c r="I110" s="577"/>
      <c r="J110" s="499"/>
      <c r="K110" s="57">
        <f>+$K$13</f>
        <v>801016</v>
      </c>
      <c r="L110" s="499"/>
      <c r="M110" s="57">
        <f>+$M$13</f>
        <v>0</v>
      </c>
      <c r="N110" s="561"/>
      <c r="O110" s="561"/>
      <c r="P110" s="564"/>
      <c r="Q110" s="544"/>
      <c r="R110" s="544"/>
      <c r="S110" s="568">
        <f>IF(COUNTIF(J110:K112,"CUMPLE")&gt;=1,(G110*I110),0)* (IF(N110="PRESENTÓ CERTIFICADO",1,0))* (IF(O110="ACORDE A ITEM 5.2.2 (T.R.)",1,0) )* ( IF(OR(Q110="SIN OBSERVACIÓN", Q110="REQUERIMIENTOS SUBSANADOS"),1,0)) *(IF(OR(R110="NINGUNO", R110="CUMPLEN CON LO SOLICITADO"),1,0))</f>
        <v>0</v>
      </c>
      <c r="T110" s="592"/>
      <c r="U110" s="541">
        <f t="shared" si="41"/>
        <v>0</v>
      </c>
      <c r="W110" s="29"/>
      <c r="X110" s="29"/>
      <c r="Y110" s="29"/>
      <c r="Z110" s="29"/>
      <c r="AA110" s="13"/>
      <c r="AB110" s="13"/>
      <c r="AC110" s="13"/>
      <c r="AD110" s="13"/>
      <c r="AE110" s="13"/>
      <c r="AF110" s="13"/>
      <c r="AG110" s="13"/>
    </row>
    <row r="111" spans="1:35" s="500" customFormat="1" ht="35" hidden="1" customHeight="1">
      <c r="A111" s="498"/>
      <c r="B111" s="547"/>
      <c r="C111" s="572"/>
      <c r="D111" s="572"/>
      <c r="E111" s="572"/>
      <c r="F111" s="572"/>
      <c r="G111" s="575"/>
      <c r="H111" s="556"/>
      <c r="I111" s="578"/>
      <c r="J111" s="499"/>
      <c r="K111" s="57">
        <f>+$K$14</f>
        <v>811015</v>
      </c>
      <c r="L111" s="542"/>
      <c r="M111" s="544">
        <f>+$M$14</f>
        <v>0</v>
      </c>
      <c r="N111" s="562"/>
      <c r="O111" s="562"/>
      <c r="P111" s="565"/>
      <c r="Q111" s="567"/>
      <c r="R111" s="567"/>
      <c r="S111" s="569"/>
      <c r="T111" s="592"/>
      <c r="U111" s="541"/>
      <c r="W111" s="29"/>
      <c r="X111" s="29"/>
      <c r="Y111" s="29"/>
      <c r="Z111" s="29"/>
      <c r="AA111" s="13"/>
      <c r="AB111" s="13"/>
      <c r="AC111" s="13"/>
      <c r="AD111" s="13"/>
      <c r="AE111" s="13"/>
      <c r="AF111" s="13"/>
      <c r="AG111" s="13"/>
    </row>
    <row r="112" spans="1:35" s="500" customFormat="1" ht="35" hidden="1" customHeight="1">
      <c r="A112" s="498"/>
      <c r="B112" s="548"/>
      <c r="C112" s="573"/>
      <c r="D112" s="573"/>
      <c r="E112" s="573"/>
      <c r="F112" s="573"/>
      <c r="G112" s="576"/>
      <c r="H112" s="557"/>
      <c r="I112" s="579"/>
      <c r="J112" s="499"/>
      <c r="K112" s="57">
        <f>+$K$15</f>
        <v>841116</v>
      </c>
      <c r="L112" s="543"/>
      <c r="M112" s="545"/>
      <c r="N112" s="563"/>
      <c r="O112" s="563"/>
      <c r="P112" s="566"/>
      <c r="Q112" s="545"/>
      <c r="R112" s="545"/>
      <c r="S112" s="570"/>
      <c r="T112" s="592"/>
      <c r="U112" s="541"/>
      <c r="W112" s="29"/>
      <c r="X112" s="29"/>
      <c r="Y112" s="29"/>
      <c r="Z112" s="29"/>
      <c r="AA112" s="29"/>
      <c r="AB112" s="29"/>
      <c r="AC112" s="29"/>
      <c r="AD112" s="501"/>
      <c r="AE112" s="501"/>
      <c r="AF112" s="501"/>
      <c r="AG112" s="501"/>
    </row>
    <row r="113" spans="1:35" s="500" customFormat="1" ht="25" hidden="1" customHeight="1">
      <c r="A113" s="498"/>
      <c r="B113" s="546">
        <v>5</v>
      </c>
      <c r="C113" s="549"/>
      <c r="D113" s="549"/>
      <c r="E113" s="549"/>
      <c r="F113" s="549"/>
      <c r="G113" s="552"/>
      <c r="H113" s="555"/>
      <c r="I113" s="558"/>
      <c r="J113" s="499"/>
      <c r="K113" s="57">
        <f>+$K$13</f>
        <v>801016</v>
      </c>
      <c r="L113" s="499"/>
      <c r="M113" s="57">
        <f>+$M$13</f>
        <v>0</v>
      </c>
      <c r="N113" s="561"/>
      <c r="O113" s="561"/>
      <c r="P113" s="564"/>
      <c r="Q113" s="544"/>
      <c r="R113" s="544"/>
      <c r="S113" s="568">
        <f>IF(COUNTIF(J113:K115,"CUMPLE")&gt;=1,(G113*I113),0)* (IF(N113="PRESENTÓ CERTIFICADO",1,0))* (IF(O113="ACORDE A ITEM 5.2.2 (T.R.)",1,0) )* ( IF(OR(Q113="SIN OBSERVACIÓN", Q113="REQUERIMIENTOS SUBSANADOS"),1,0)) *(IF(OR(R113="NINGUNO", R113="CUMPLEN CON LO SOLICITADO"),1,0))</f>
        <v>0</v>
      </c>
      <c r="T113" s="592"/>
      <c r="U113" s="541">
        <f t="shared" si="41"/>
        <v>0</v>
      </c>
      <c r="W113" s="29"/>
      <c r="X113" s="29"/>
      <c r="Y113" s="29"/>
      <c r="Z113" s="29"/>
      <c r="AA113" s="29"/>
      <c r="AB113" s="29"/>
      <c r="AC113" s="29"/>
      <c r="AD113" s="501"/>
      <c r="AE113" s="501"/>
      <c r="AF113" s="501"/>
      <c r="AG113" s="501"/>
    </row>
    <row r="114" spans="1:35" s="500" customFormat="1" ht="25" hidden="1" customHeight="1">
      <c r="A114" s="498"/>
      <c r="B114" s="547"/>
      <c r="C114" s="550"/>
      <c r="D114" s="550"/>
      <c r="E114" s="550"/>
      <c r="F114" s="550"/>
      <c r="G114" s="553"/>
      <c r="H114" s="556"/>
      <c r="I114" s="559"/>
      <c r="J114" s="499"/>
      <c r="K114" s="57">
        <f>+$K$14</f>
        <v>811015</v>
      </c>
      <c r="L114" s="542"/>
      <c r="M114" s="544">
        <f>+$M$14</f>
        <v>0</v>
      </c>
      <c r="N114" s="562"/>
      <c r="O114" s="562"/>
      <c r="P114" s="565"/>
      <c r="Q114" s="567"/>
      <c r="R114" s="567"/>
      <c r="S114" s="569"/>
      <c r="T114" s="592"/>
      <c r="U114" s="541"/>
      <c r="W114" s="29"/>
      <c r="X114" s="29"/>
      <c r="Y114" s="29"/>
      <c r="Z114" s="29"/>
      <c r="AA114" s="29"/>
      <c r="AB114" s="29"/>
      <c r="AC114" s="29"/>
    </row>
    <row r="115" spans="1:35" s="500" customFormat="1" ht="25" hidden="1" customHeight="1">
      <c r="A115" s="498"/>
      <c r="B115" s="548"/>
      <c r="C115" s="551"/>
      <c r="D115" s="551"/>
      <c r="E115" s="551"/>
      <c r="F115" s="551"/>
      <c r="G115" s="554"/>
      <c r="H115" s="557"/>
      <c r="I115" s="560"/>
      <c r="J115" s="499"/>
      <c r="K115" s="57">
        <f>+$K$15</f>
        <v>841116</v>
      </c>
      <c r="L115" s="543"/>
      <c r="M115" s="545"/>
      <c r="N115" s="563"/>
      <c r="O115" s="563"/>
      <c r="P115" s="566"/>
      <c r="Q115" s="545"/>
      <c r="R115" s="545"/>
      <c r="S115" s="570"/>
      <c r="T115" s="593"/>
      <c r="U115" s="541"/>
      <c r="W115" s="29"/>
      <c r="X115" s="29"/>
      <c r="Y115" s="29"/>
      <c r="Z115" s="29"/>
      <c r="AA115" s="29"/>
      <c r="AB115" s="29"/>
      <c r="AC115" s="29"/>
    </row>
    <row r="116" spans="1:35" ht="25" hidden="1" customHeight="1">
      <c r="A116" s="13"/>
      <c r="B116" s="580" t="str">
        <f>IF(S117=" "," ",IF(S117&gt;=$H$6,"CUMPLE CON LA EXPERIENCIA REQUERIDA","NO CUMPLE CON LA EXPERIENCIA REQUERIDA"))</f>
        <v>NO CUMPLE CON LA EXPERIENCIA REQUERIDA</v>
      </c>
      <c r="C116" s="581"/>
      <c r="D116" s="581"/>
      <c r="E116" s="581"/>
      <c r="F116" s="581"/>
      <c r="G116" s="581"/>
      <c r="H116" s="581"/>
      <c r="I116" s="581"/>
      <c r="J116" s="581"/>
      <c r="K116" s="581"/>
      <c r="L116" s="581"/>
      <c r="M116" s="581"/>
      <c r="N116" s="581"/>
      <c r="O116" s="582"/>
      <c r="P116" s="586" t="s">
        <v>46</v>
      </c>
      <c r="Q116" s="587"/>
      <c r="R116" s="588"/>
      <c r="S116" s="503">
        <f>IF(T101="SI",SUM(S101:S115),0)</f>
        <v>0</v>
      </c>
      <c r="T116" s="589" t="str">
        <f>IF(S117=" "," ",IF(S117&gt;=$H$6,"CUMPLE","NO CUMPLE"))</f>
        <v>NO CUMPLE</v>
      </c>
      <c r="AA116" s="29"/>
      <c r="AB116" s="29"/>
      <c r="AC116" s="29"/>
      <c r="AD116" s="500"/>
      <c r="AE116" s="500"/>
      <c r="AF116" s="500"/>
      <c r="AG116" s="500"/>
      <c r="AH116" s="500"/>
    </row>
    <row r="117" spans="1:35" s="500" customFormat="1" ht="25" hidden="1" customHeight="1">
      <c r="B117" s="583"/>
      <c r="C117" s="584"/>
      <c r="D117" s="584"/>
      <c r="E117" s="584"/>
      <c r="F117" s="584"/>
      <c r="G117" s="584"/>
      <c r="H117" s="584"/>
      <c r="I117" s="584"/>
      <c r="J117" s="584"/>
      <c r="K117" s="584"/>
      <c r="L117" s="584"/>
      <c r="M117" s="584"/>
      <c r="N117" s="584"/>
      <c r="O117" s="585"/>
      <c r="P117" s="586" t="s">
        <v>47</v>
      </c>
      <c r="Q117" s="587"/>
      <c r="R117" s="588"/>
      <c r="S117" s="503">
        <f>IFERROR((S116/$P$6)," ")</f>
        <v>0</v>
      </c>
      <c r="T117" s="590"/>
      <c r="W117" s="29"/>
      <c r="X117" s="29"/>
      <c r="Y117" s="29"/>
      <c r="Z117" s="29"/>
      <c r="AA117" s="29"/>
      <c r="AB117" s="29"/>
      <c r="AC117" s="29"/>
    </row>
    <row r="118" spans="1:35" ht="30" hidden="1" customHeight="1">
      <c r="AA118" s="29"/>
      <c r="AB118" s="29"/>
      <c r="AC118" s="29"/>
      <c r="AD118" s="500"/>
      <c r="AE118" s="500"/>
      <c r="AF118" s="500"/>
      <c r="AG118" s="500"/>
    </row>
    <row r="119" spans="1:35" ht="30" hidden="1" customHeight="1">
      <c r="AA119" s="29"/>
      <c r="AB119" s="29"/>
      <c r="AC119" s="29"/>
      <c r="AD119" s="500"/>
      <c r="AE119" s="500"/>
      <c r="AF119" s="500"/>
      <c r="AG119" s="500"/>
      <c r="AH119" s="500"/>
    </row>
    <row r="120" spans="1:35" ht="66" hidden="1" customHeight="1">
      <c r="B120" s="465">
        <v>6</v>
      </c>
      <c r="C120" s="601" t="s">
        <v>25</v>
      </c>
      <c r="D120" s="602"/>
      <c r="E120" s="603"/>
      <c r="F120" s="604">
        <f>IFERROR(VLOOKUP(B120,LISTA_OFERENTES,2,FALSE)," ")</f>
        <v>0</v>
      </c>
      <c r="G120" s="605"/>
      <c r="H120" s="605"/>
      <c r="I120" s="605"/>
      <c r="J120" s="605"/>
      <c r="K120" s="605"/>
      <c r="L120" s="605"/>
      <c r="M120" s="605"/>
      <c r="N120" s="605"/>
      <c r="O120" s="606"/>
      <c r="P120" s="607" t="s">
        <v>26</v>
      </c>
      <c r="Q120" s="608"/>
      <c r="R120" s="609"/>
      <c r="S120" s="491">
        <f>5-(INT(COUNTBLANK(C123:C137))-10)</f>
        <v>0</v>
      </c>
      <c r="AA120" s="29"/>
      <c r="AB120" s="29"/>
      <c r="AC120" s="29"/>
      <c r="AD120" s="500"/>
      <c r="AE120" s="500"/>
      <c r="AF120" s="500"/>
      <c r="AG120" s="500"/>
    </row>
    <row r="121" spans="1:35" s="501" customFormat="1" ht="30" hidden="1" customHeight="1">
      <c r="B121" s="610" t="s">
        <v>27</v>
      </c>
      <c r="C121" s="596" t="s">
        <v>28</v>
      </c>
      <c r="D121" s="596" t="s">
        <v>29</v>
      </c>
      <c r="E121" s="596" t="s">
        <v>30</v>
      </c>
      <c r="F121" s="596" t="s">
        <v>31</v>
      </c>
      <c r="G121" s="596" t="s">
        <v>32</v>
      </c>
      <c r="H121" s="596" t="s">
        <v>33</v>
      </c>
      <c r="I121" s="596" t="s">
        <v>34</v>
      </c>
      <c r="J121" s="594" t="s">
        <v>35</v>
      </c>
      <c r="K121" s="612"/>
      <c r="L121" s="612"/>
      <c r="M121" s="595"/>
      <c r="N121" s="596" t="s">
        <v>36</v>
      </c>
      <c r="O121" s="596" t="s">
        <v>37</v>
      </c>
      <c r="P121" s="594" t="s">
        <v>38</v>
      </c>
      <c r="Q121" s="595"/>
      <c r="R121" s="596" t="s">
        <v>39</v>
      </c>
      <c r="S121" s="596" t="s">
        <v>40</v>
      </c>
      <c r="T121"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121" s="596" t="str">
        <f>+$U$11</f>
        <v xml:space="preserve">VERIFICACIÓN CONDICIÓN DE EXPERIENCIA  </v>
      </c>
      <c r="V121" s="504"/>
      <c r="W121" s="29"/>
      <c r="X121" s="29"/>
      <c r="Y121" s="29"/>
      <c r="Z121" s="29"/>
      <c r="AA121" s="29"/>
      <c r="AB121" s="29"/>
      <c r="AC121" s="29"/>
      <c r="AD121" s="500"/>
      <c r="AE121" s="500"/>
      <c r="AF121" s="500"/>
      <c r="AG121" s="500"/>
      <c r="AH121" s="13"/>
    </row>
    <row r="122" spans="1:35" s="501" customFormat="1" ht="106.5" hidden="1" customHeight="1">
      <c r="B122" s="611"/>
      <c r="C122" s="597"/>
      <c r="D122" s="597"/>
      <c r="E122" s="597"/>
      <c r="F122" s="597"/>
      <c r="G122" s="597"/>
      <c r="H122" s="597"/>
      <c r="I122" s="597"/>
      <c r="J122" s="598" t="s">
        <v>43</v>
      </c>
      <c r="K122" s="599"/>
      <c r="L122" s="599"/>
      <c r="M122" s="600"/>
      <c r="N122" s="597"/>
      <c r="O122" s="597"/>
      <c r="P122" s="493" t="s">
        <v>10</v>
      </c>
      <c r="Q122" s="493" t="s">
        <v>44</v>
      </c>
      <c r="R122" s="597"/>
      <c r="S122" s="597"/>
      <c r="T122" s="597"/>
      <c r="U122" s="597"/>
      <c r="V122" s="504"/>
      <c r="W122" s="29"/>
      <c r="X122" s="29"/>
      <c r="Y122" s="29"/>
      <c r="Z122" s="29"/>
      <c r="AA122" s="29"/>
      <c r="AB122" s="29"/>
      <c r="AC122" s="29"/>
      <c r="AD122" s="500"/>
      <c r="AE122" s="500"/>
      <c r="AF122" s="500"/>
      <c r="AG122" s="500"/>
      <c r="AH122" s="13"/>
    </row>
    <row r="123" spans="1:35" s="500" customFormat="1" ht="35" hidden="1" customHeight="1">
      <c r="A123" s="498"/>
      <c r="B123" s="546">
        <v>1</v>
      </c>
      <c r="C123" s="549"/>
      <c r="D123" s="549"/>
      <c r="E123" s="549"/>
      <c r="F123" s="549"/>
      <c r="G123" s="552"/>
      <c r="H123" s="555"/>
      <c r="I123" s="558"/>
      <c r="J123" s="499"/>
      <c r="K123" s="57">
        <f>+$K$13</f>
        <v>801016</v>
      </c>
      <c r="L123" s="499"/>
      <c r="M123" s="57">
        <f>+$M$13</f>
        <v>0</v>
      </c>
      <c r="N123" s="561"/>
      <c r="O123" s="561"/>
      <c r="P123" s="564"/>
      <c r="Q123" s="544"/>
      <c r="R123" s="544"/>
      <c r="S123" s="568">
        <f>IF(COUNTIF(J123:K125,"CUMPLE")&gt;=1,(G123*I123),0)* (IF(N123="PRESENTÓ CERTIFICADO",1,0))* (IF(O123="ACORDE A ITEM 5.2.2 (T.R.)",1,0) )* ( IF(OR(Q123="SIN OBSERVACIÓN", Q123="REQUERIMIENTOS SUBSANADOS"),1,0)) *(IF(OR(R123="NINGUNO", R123="CUMPLEN CON LO SOLICITADO"),1,0))</f>
        <v>0</v>
      </c>
      <c r="T123" s="591"/>
      <c r="U123" s="541">
        <f t="shared" ref="U123" si="42">IF(COUNTIF(J123:K125,"CUMPLE")&gt;=1,1,0)</f>
        <v>0</v>
      </c>
      <c r="W123" s="29"/>
      <c r="X123" s="29"/>
      <c r="Y123" s="29"/>
      <c r="Z123" s="29"/>
      <c r="AD123" s="13"/>
      <c r="AE123" s="13"/>
      <c r="AF123" s="13"/>
      <c r="AG123" s="13"/>
      <c r="AH123" s="13"/>
      <c r="AI123" s="13"/>
    </row>
    <row r="124" spans="1:35" s="500" customFormat="1" ht="35" hidden="1" customHeight="1">
      <c r="A124" s="498"/>
      <c r="B124" s="547"/>
      <c r="C124" s="550"/>
      <c r="D124" s="550"/>
      <c r="E124" s="550"/>
      <c r="F124" s="550"/>
      <c r="G124" s="553"/>
      <c r="H124" s="556"/>
      <c r="I124" s="559"/>
      <c r="J124" s="499"/>
      <c r="K124" s="57">
        <f>+$K$14</f>
        <v>811015</v>
      </c>
      <c r="L124" s="542"/>
      <c r="M124" s="544">
        <f>+$M$14</f>
        <v>0</v>
      </c>
      <c r="N124" s="562"/>
      <c r="O124" s="562"/>
      <c r="P124" s="565"/>
      <c r="Q124" s="567"/>
      <c r="R124" s="567"/>
      <c r="S124" s="569"/>
      <c r="T124" s="592"/>
      <c r="U124" s="541"/>
      <c r="W124" s="29"/>
      <c r="X124" s="29"/>
      <c r="Y124" s="29"/>
      <c r="Z124" s="29"/>
      <c r="AD124" s="13"/>
      <c r="AE124" s="13"/>
      <c r="AF124" s="13"/>
      <c r="AG124" s="13"/>
      <c r="AH124" s="13"/>
      <c r="AI124" s="13"/>
    </row>
    <row r="125" spans="1:35" s="500" customFormat="1" ht="35" hidden="1" customHeight="1">
      <c r="A125" s="498"/>
      <c r="B125" s="548"/>
      <c r="C125" s="551"/>
      <c r="D125" s="551"/>
      <c r="E125" s="551"/>
      <c r="F125" s="551"/>
      <c r="G125" s="554"/>
      <c r="H125" s="557"/>
      <c r="I125" s="560"/>
      <c r="J125" s="499"/>
      <c r="K125" s="57">
        <f>+$K$15</f>
        <v>841116</v>
      </c>
      <c r="L125" s="543"/>
      <c r="M125" s="545"/>
      <c r="N125" s="563"/>
      <c r="O125" s="563"/>
      <c r="P125" s="566"/>
      <c r="Q125" s="545"/>
      <c r="R125" s="545"/>
      <c r="S125" s="570"/>
      <c r="T125" s="592"/>
      <c r="U125" s="541"/>
      <c r="W125" s="29"/>
      <c r="X125" s="29"/>
      <c r="Y125" s="29"/>
      <c r="Z125" s="29"/>
      <c r="AD125" s="13"/>
      <c r="AE125" s="13"/>
      <c r="AF125" s="13"/>
      <c r="AG125" s="13"/>
      <c r="AH125" s="13"/>
      <c r="AI125" s="13"/>
    </row>
    <row r="126" spans="1:35" s="500" customFormat="1" ht="35" hidden="1" customHeight="1">
      <c r="A126" s="498"/>
      <c r="B126" s="546">
        <v>2</v>
      </c>
      <c r="C126" s="571"/>
      <c r="D126" s="571"/>
      <c r="E126" s="571"/>
      <c r="F126" s="571"/>
      <c r="G126" s="574"/>
      <c r="H126" s="555"/>
      <c r="I126" s="558"/>
      <c r="J126" s="499"/>
      <c r="K126" s="57">
        <f>+$K$13</f>
        <v>801016</v>
      </c>
      <c r="L126" s="499"/>
      <c r="M126" s="57">
        <f>+$M$13</f>
        <v>0</v>
      </c>
      <c r="N126" s="561"/>
      <c r="O126" s="561"/>
      <c r="P126" s="564"/>
      <c r="Q126" s="544"/>
      <c r="R126" s="544"/>
      <c r="S126" s="568">
        <f>IF(COUNTIF(J126:K128,"CUMPLE")&gt;=1,(G126*I126),0)* (IF(N126="PRESENTÓ CERTIFICADO",1,0))* (IF(O126="ACORDE A ITEM 5.2.2 (T.R.)",1,0) )* ( IF(OR(Q126="SIN OBSERVACIÓN", Q126="REQUERIMIENTOS SUBSANADOS"),1,0)) *(IF(OR(R126="NINGUNO", R126="CUMPLEN CON LO SOLICITADO"),1,0))</f>
        <v>0</v>
      </c>
      <c r="T126" s="592"/>
      <c r="U126" s="541">
        <f t="shared" ref="U126" si="43">IF(COUNTIF(J126:K128,"CUMPLE")&gt;=1,1,0)</f>
        <v>0</v>
      </c>
      <c r="W126" s="29"/>
      <c r="X126" s="29"/>
      <c r="Y126" s="29"/>
      <c r="Z126" s="29"/>
      <c r="AD126" s="13"/>
      <c r="AE126" s="13"/>
      <c r="AF126" s="13"/>
      <c r="AG126" s="13"/>
      <c r="AH126" s="13"/>
      <c r="AI126" s="13"/>
    </row>
    <row r="127" spans="1:35" s="500" customFormat="1" ht="35" hidden="1" customHeight="1">
      <c r="A127" s="498"/>
      <c r="B127" s="547"/>
      <c r="C127" s="572"/>
      <c r="D127" s="572"/>
      <c r="E127" s="572"/>
      <c r="F127" s="572"/>
      <c r="G127" s="575"/>
      <c r="H127" s="556"/>
      <c r="I127" s="559"/>
      <c r="J127" s="499"/>
      <c r="K127" s="57">
        <f>+$K$14</f>
        <v>811015</v>
      </c>
      <c r="L127" s="542"/>
      <c r="M127" s="544">
        <f>+$M$14</f>
        <v>0</v>
      </c>
      <c r="N127" s="562"/>
      <c r="O127" s="562"/>
      <c r="P127" s="565"/>
      <c r="Q127" s="567"/>
      <c r="R127" s="567"/>
      <c r="S127" s="569"/>
      <c r="T127" s="592"/>
      <c r="U127" s="541"/>
      <c r="W127" s="29"/>
      <c r="X127" s="29"/>
      <c r="Y127" s="29"/>
      <c r="Z127" s="29"/>
      <c r="AD127" s="13"/>
      <c r="AE127" s="13"/>
      <c r="AF127" s="13"/>
      <c r="AG127" s="13"/>
      <c r="AH127" s="13"/>
      <c r="AI127" s="13"/>
    </row>
    <row r="128" spans="1:35" s="500" customFormat="1" ht="35" hidden="1" customHeight="1">
      <c r="A128" s="498"/>
      <c r="B128" s="548"/>
      <c r="C128" s="573"/>
      <c r="D128" s="573"/>
      <c r="E128" s="573"/>
      <c r="F128" s="573"/>
      <c r="G128" s="576"/>
      <c r="H128" s="557"/>
      <c r="I128" s="560"/>
      <c r="J128" s="499"/>
      <c r="K128" s="57">
        <f>+$K$15</f>
        <v>841116</v>
      </c>
      <c r="L128" s="543"/>
      <c r="M128" s="545"/>
      <c r="N128" s="563"/>
      <c r="O128" s="563"/>
      <c r="P128" s="566"/>
      <c r="Q128" s="545"/>
      <c r="R128" s="545"/>
      <c r="S128" s="570"/>
      <c r="T128" s="592"/>
      <c r="U128" s="541"/>
      <c r="W128" s="29"/>
      <c r="X128" s="29"/>
      <c r="Y128" s="29"/>
      <c r="Z128" s="29"/>
      <c r="AD128" s="13"/>
      <c r="AE128" s="13"/>
      <c r="AF128" s="13"/>
      <c r="AG128" s="13"/>
      <c r="AH128" s="13"/>
      <c r="AI128" s="13"/>
    </row>
    <row r="129" spans="1:35" s="500" customFormat="1" ht="35" hidden="1" customHeight="1">
      <c r="A129" s="498"/>
      <c r="B129" s="546">
        <v>3</v>
      </c>
      <c r="C129" s="549"/>
      <c r="D129" s="549"/>
      <c r="E129" s="549"/>
      <c r="F129" s="549"/>
      <c r="G129" s="552"/>
      <c r="H129" s="555"/>
      <c r="I129" s="558"/>
      <c r="J129" s="499"/>
      <c r="K129" s="57">
        <f>+$K$13</f>
        <v>801016</v>
      </c>
      <c r="L129" s="499"/>
      <c r="M129" s="57">
        <f>+$M$13</f>
        <v>0</v>
      </c>
      <c r="N129" s="561"/>
      <c r="O129" s="561"/>
      <c r="P129" s="564"/>
      <c r="Q129" s="544"/>
      <c r="R129" s="544"/>
      <c r="S129" s="568">
        <f>IF(COUNTIF(J129:K131,"CUMPLE")&gt;=1,(G129*I129),0)* (IF(N129="PRESENTÓ CERTIFICADO",1,0))* (IF(O129="ACORDE A ITEM 5.2.2 (T.R.)",1,0) )* ( IF(OR(Q129="SIN OBSERVACIÓN", Q129="REQUERIMIENTOS SUBSANADOS"),1,0)) *(IF(OR(R129="NINGUNO", R129="CUMPLEN CON LO SOLICITADO"),1,0))</f>
        <v>0</v>
      </c>
      <c r="T129" s="592"/>
      <c r="U129" s="541">
        <f t="shared" ref="U129" si="44">IF(COUNTIF(J129:K131,"CUMPLE")&gt;=1,1,0)</f>
        <v>0</v>
      </c>
      <c r="W129" s="29"/>
      <c r="X129" s="29"/>
      <c r="Y129" s="29"/>
      <c r="Z129" s="29"/>
      <c r="AA129" s="13"/>
      <c r="AB129" s="13"/>
      <c r="AC129" s="13"/>
      <c r="AD129" s="13"/>
      <c r="AE129" s="13"/>
      <c r="AF129" s="13"/>
      <c r="AG129" s="13"/>
      <c r="AH129" s="13"/>
      <c r="AI129" s="13"/>
    </row>
    <row r="130" spans="1:35" s="500" customFormat="1" ht="35" hidden="1" customHeight="1">
      <c r="A130" s="498"/>
      <c r="B130" s="547"/>
      <c r="C130" s="550"/>
      <c r="D130" s="550"/>
      <c r="E130" s="550"/>
      <c r="F130" s="550"/>
      <c r="G130" s="553"/>
      <c r="H130" s="556"/>
      <c r="I130" s="559"/>
      <c r="J130" s="499"/>
      <c r="K130" s="57">
        <f>+$K$14</f>
        <v>811015</v>
      </c>
      <c r="L130" s="542"/>
      <c r="M130" s="544">
        <f>+$M$14</f>
        <v>0</v>
      </c>
      <c r="N130" s="562"/>
      <c r="O130" s="562"/>
      <c r="P130" s="565"/>
      <c r="Q130" s="567"/>
      <c r="R130" s="567"/>
      <c r="S130" s="569"/>
      <c r="T130" s="592"/>
      <c r="U130" s="541"/>
      <c r="W130" s="29"/>
      <c r="X130" s="29"/>
      <c r="Y130" s="29"/>
      <c r="Z130" s="29"/>
      <c r="AH130" s="13"/>
      <c r="AI130" s="13"/>
    </row>
    <row r="131" spans="1:35" s="500" customFormat="1" ht="35" hidden="1" customHeight="1">
      <c r="A131" s="498"/>
      <c r="B131" s="548"/>
      <c r="C131" s="551"/>
      <c r="D131" s="551"/>
      <c r="E131" s="551"/>
      <c r="F131" s="551"/>
      <c r="G131" s="554"/>
      <c r="H131" s="557"/>
      <c r="I131" s="560"/>
      <c r="J131" s="499"/>
      <c r="K131" s="57">
        <f>+$K$15</f>
        <v>841116</v>
      </c>
      <c r="L131" s="543"/>
      <c r="M131" s="545"/>
      <c r="N131" s="563"/>
      <c r="O131" s="563"/>
      <c r="P131" s="566"/>
      <c r="Q131" s="545"/>
      <c r="R131" s="545"/>
      <c r="S131" s="570"/>
      <c r="T131" s="592"/>
      <c r="U131" s="541"/>
      <c r="W131" s="29"/>
      <c r="X131" s="29"/>
      <c r="Y131" s="29"/>
      <c r="Z131" s="29"/>
    </row>
    <row r="132" spans="1:35" s="500" customFormat="1" ht="35" hidden="1" customHeight="1">
      <c r="A132" s="498"/>
      <c r="B132" s="546">
        <v>4</v>
      </c>
      <c r="C132" s="571"/>
      <c r="D132" s="571"/>
      <c r="E132" s="571"/>
      <c r="F132" s="571"/>
      <c r="G132" s="574"/>
      <c r="H132" s="555"/>
      <c r="I132" s="577"/>
      <c r="J132" s="499"/>
      <c r="K132" s="57">
        <f>+$K$13</f>
        <v>801016</v>
      </c>
      <c r="L132" s="499"/>
      <c r="M132" s="57">
        <f>+$M$13</f>
        <v>0</v>
      </c>
      <c r="N132" s="561"/>
      <c r="O132" s="561"/>
      <c r="P132" s="564"/>
      <c r="Q132" s="544"/>
      <c r="R132" s="544"/>
      <c r="S132" s="568">
        <f>IF(COUNTIF(J132:K134,"CUMPLE")&gt;=1,(G132*I132),0)* (IF(N132="PRESENTÓ CERTIFICADO",1,0))* (IF(O132="ACORDE A ITEM 5.2.2 (T.R.)",1,0) )* ( IF(OR(Q132="SIN OBSERVACIÓN", Q132="REQUERIMIENTOS SUBSANADOS"),1,0)) *(IF(OR(R132="NINGUNO", R132="CUMPLEN CON LO SOLICITADO"),1,0))</f>
        <v>0</v>
      </c>
      <c r="T132" s="592"/>
      <c r="U132" s="541">
        <f t="shared" ref="U132" si="45">IF(COUNTIF(J132:K134,"CUMPLE")&gt;=1,1,0)</f>
        <v>0</v>
      </c>
      <c r="W132" s="29"/>
      <c r="X132" s="29"/>
      <c r="Y132" s="29"/>
      <c r="Z132" s="29"/>
      <c r="AA132" s="13"/>
      <c r="AB132" s="13"/>
      <c r="AC132" s="13"/>
      <c r="AD132" s="13"/>
      <c r="AE132" s="13"/>
      <c r="AF132" s="13"/>
      <c r="AG132" s="13"/>
    </row>
    <row r="133" spans="1:35" s="500" customFormat="1" ht="35" hidden="1" customHeight="1">
      <c r="A133" s="498"/>
      <c r="B133" s="547"/>
      <c r="C133" s="572"/>
      <c r="D133" s="572"/>
      <c r="E133" s="572"/>
      <c r="F133" s="572"/>
      <c r="G133" s="575"/>
      <c r="H133" s="556"/>
      <c r="I133" s="578"/>
      <c r="J133" s="499"/>
      <c r="K133" s="57">
        <f>+$K$14</f>
        <v>811015</v>
      </c>
      <c r="L133" s="542"/>
      <c r="M133" s="544">
        <f>+$M$14</f>
        <v>0</v>
      </c>
      <c r="N133" s="562"/>
      <c r="O133" s="562"/>
      <c r="P133" s="565"/>
      <c r="Q133" s="567"/>
      <c r="R133" s="567"/>
      <c r="S133" s="569"/>
      <c r="T133" s="592"/>
      <c r="U133" s="541"/>
      <c r="W133" s="29"/>
      <c r="X133" s="29"/>
      <c r="Y133" s="29"/>
      <c r="Z133" s="29"/>
      <c r="AA133" s="13"/>
      <c r="AB133" s="13"/>
      <c r="AC133" s="13"/>
      <c r="AD133" s="13"/>
      <c r="AE133" s="13"/>
      <c r="AF133" s="13"/>
      <c r="AG133" s="13"/>
    </row>
    <row r="134" spans="1:35" s="500" customFormat="1" ht="35" hidden="1" customHeight="1">
      <c r="A134" s="498"/>
      <c r="B134" s="548"/>
      <c r="C134" s="573"/>
      <c r="D134" s="573"/>
      <c r="E134" s="573"/>
      <c r="F134" s="573"/>
      <c r="G134" s="576"/>
      <c r="H134" s="557"/>
      <c r="I134" s="579"/>
      <c r="J134" s="499"/>
      <c r="K134" s="57">
        <f>+$K$15</f>
        <v>841116</v>
      </c>
      <c r="L134" s="543"/>
      <c r="M134" s="545"/>
      <c r="N134" s="563"/>
      <c r="O134" s="563"/>
      <c r="P134" s="566"/>
      <c r="Q134" s="545"/>
      <c r="R134" s="545"/>
      <c r="S134" s="570"/>
      <c r="T134" s="592"/>
      <c r="U134" s="541"/>
      <c r="W134" s="29"/>
      <c r="X134" s="29"/>
      <c r="Y134" s="29"/>
      <c r="Z134" s="29"/>
      <c r="AA134" s="29"/>
      <c r="AB134" s="29"/>
      <c r="AC134" s="29"/>
      <c r="AD134" s="501"/>
      <c r="AE134" s="501"/>
      <c r="AF134" s="501"/>
      <c r="AG134" s="501"/>
    </row>
    <row r="135" spans="1:35" s="500" customFormat="1" ht="25" hidden="1" customHeight="1">
      <c r="A135" s="498"/>
      <c r="B135" s="546">
        <v>5</v>
      </c>
      <c r="C135" s="549"/>
      <c r="D135" s="549"/>
      <c r="E135" s="549"/>
      <c r="F135" s="549"/>
      <c r="G135" s="552"/>
      <c r="H135" s="555"/>
      <c r="I135" s="558"/>
      <c r="J135" s="499"/>
      <c r="K135" s="57">
        <f>+$K$13</f>
        <v>801016</v>
      </c>
      <c r="L135" s="499"/>
      <c r="M135" s="57">
        <f>+$M$13</f>
        <v>0</v>
      </c>
      <c r="N135" s="561"/>
      <c r="O135" s="561"/>
      <c r="P135" s="564"/>
      <c r="Q135" s="544"/>
      <c r="R135" s="544"/>
      <c r="S135" s="568">
        <f>IF(COUNTIF(J135:K137,"CUMPLE")&gt;=1,(G135*I135),0)* (IF(N135="PRESENTÓ CERTIFICADO",1,0))* (IF(O135="ACORDE A ITEM 5.2.2 (T.R.)",1,0) )* ( IF(OR(Q135="SIN OBSERVACIÓN", Q135="REQUERIMIENTOS SUBSANADOS"),1,0)) *(IF(OR(R135="NINGUNO", R135="CUMPLEN CON LO SOLICITADO"),1,0))</f>
        <v>0</v>
      </c>
      <c r="T135" s="592"/>
      <c r="U135" s="541">
        <f t="shared" ref="U135" si="46">IF(COUNTIF(J135:K137,"CUMPLE")&gt;=1,1,0)</f>
        <v>0</v>
      </c>
      <c r="W135" s="29"/>
      <c r="X135" s="29"/>
      <c r="Y135" s="29"/>
      <c r="Z135" s="29"/>
      <c r="AA135" s="29"/>
      <c r="AB135" s="29"/>
      <c r="AC135" s="29"/>
      <c r="AD135" s="501"/>
      <c r="AE135" s="501"/>
      <c r="AF135" s="501"/>
      <c r="AG135" s="501"/>
    </row>
    <row r="136" spans="1:35" s="500" customFormat="1" ht="25" hidden="1" customHeight="1">
      <c r="A136" s="498"/>
      <c r="B136" s="547"/>
      <c r="C136" s="550"/>
      <c r="D136" s="550"/>
      <c r="E136" s="550"/>
      <c r="F136" s="550"/>
      <c r="G136" s="553"/>
      <c r="H136" s="556"/>
      <c r="I136" s="559"/>
      <c r="J136" s="499"/>
      <c r="K136" s="57">
        <f>+$K$14</f>
        <v>811015</v>
      </c>
      <c r="L136" s="542"/>
      <c r="M136" s="544">
        <f>+$M$14</f>
        <v>0</v>
      </c>
      <c r="N136" s="562"/>
      <c r="O136" s="562"/>
      <c r="P136" s="565"/>
      <c r="Q136" s="567"/>
      <c r="R136" s="567"/>
      <c r="S136" s="569"/>
      <c r="T136" s="592"/>
      <c r="U136" s="541"/>
      <c r="W136" s="29"/>
      <c r="X136" s="29"/>
      <c r="Y136" s="29"/>
      <c r="Z136" s="29"/>
      <c r="AA136" s="29"/>
      <c r="AB136" s="29"/>
      <c r="AC136" s="29"/>
    </row>
    <row r="137" spans="1:35" s="500" customFormat="1" ht="25" hidden="1" customHeight="1">
      <c r="A137" s="498"/>
      <c r="B137" s="548"/>
      <c r="C137" s="551"/>
      <c r="D137" s="551"/>
      <c r="E137" s="551"/>
      <c r="F137" s="551"/>
      <c r="G137" s="554"/>
      <c r="H137" s="557"/>
      <c r="I137" s="560"/>
      <c r="J137" s="499"/>
      <c r="K137" s="57">
        <f>+$K$15</f>
        <v>841116</v>
      </c>
      <c r="L137" s="543"/>
      <c r="M137" s="545"/>
      <c r="N137" s="563"/>
      <c r="O137" s="563"/>
      <c r="P137" s="566"/>
      <c r="Q137" s="545"/>
      <c r="R137" s="545"/>
      <c r="S137" s="570"/>
      <c r="T137" s="593"/>
      <c r="U137" s="541"/>
      <c r="W137" s="29"/>
      <c r="X137" s="29"/>
      <c r="Y137" s="29"/>
      <c r="Z137" s="29"/>
      <c r="AA137" s="29"/>
      <c r="AB137" s="29"/>
      <c r="AC137" s="29"/>
    </row>
    <row r="138" spans="1:35" ht="25" hidden="1" customHeight="1">
      <c r="A138" s="13"/>
      <c r="B138" s="580" t="str">
        <f>IF(S139=" "," ",IF(S139&gt;=$H$6,"CUMPLE CON LA EXPERIENCIA REQUERIDA","NO CUMPLE CON LA EXPERIENCIA REQUERIDA"))</f>
        <v>NO CUMPLE CON LA EXPERIENCIA REQUERIDA</v>
      </c>
      <c r="C138" s="581"/>
      <c r="D138" s="581"/>
      <c r="E138" s="581"/>
      <c r="F138" s="581"/>
      <c r="G138" s="581"/>
      <c r="H138" s="581"/>
      <c r="I138" s="581"/>
      <c r="J138" s="581"/>
      <c r="K138" s="581"/>
      <c r="L138" s="581"/>
      <c r="M138" s="581"/>
      <c r="N138" s="581"/>
      <c r="O138" s="582"/>
      <c r="P138" s="586" t="s">
        <v>46</v>
      </c>
      <c r="Q138" s="587"/>
      <c r="R138" s="588"/>
      <c r="S138" s="503">
        <f>IF(T123="SI",SUM(S123:S137),0)</f>
        <v>0</v>
      </c>
      <c r="T138" s="589" t="str">
        <f>IF(S139=" "," ",IF(S139&gt;=$H$6,"CUMPLE","NO CUMPLE"))</f>
        <v>NO CUMPLE</v>
      </c>
      <c r="AA138" s="29"/>
      <c r="AB138" s="29"/>
      <c r="AC138" s="29"/>
      <c r="AD138" s="500"/>
      <c r="AE138" s="500"/>
      <c r="AF138" s="500"/>
      <c r="AG138" s="500"/>
      <c r="AH138" s="500"/>
    </row>
    <row r="139" spans="1:35" s="500" customFormat="1" ht="25" hidden="1" customHeight="1">
      <c r="B139" s="583"/>
      <c r="C139" s="584"/>
      <c r="D139" s="584"/>
      <c r="E139" s="584"/>
      <c r="F139" s="584"/>
      <c r="G139" s="584"/>
      <c r="H139" s="584"/>
      <c r="I139" s="584"/>
      <c r="J139" s="584"/>
      <c r="K139" s="584"/>
      <c r="L139" s="584"/>
      <c r="M139" s="584"/>
      <c r="N139" s="584"/>
      <c r="O139" s="585"/>
      <c r="P139" s="586" t="s">
        <v>47</v>
      </c>
      <c r="Q139" s="587"/>
      <c r="R139" s="588"/>
      <c r="S139" s="503">
        <f>IFERROR((S138/$P$6)," ")</f>
        <v>0</v>
      </c>
      <c r="T139" s="590"/>
      <c r="W139" s="29"/>
      <c r="X139" s="29"/>
      <c r="Y139" s="29"/>
      <c r="Z139" s="29"/>
      <c r="AA139" s="29"/>
      <c r="AB139" s="29"/>
      <c r="AC139" s="29"/>
    </row>
    <row r="140" spans="1:35" ht="30" hidden="1" customHeight="1">
      <c r="AA140" s="29"/>
      <c r="AB140" s="29"/>
      <c r="AC140" s="29"/>
      <c r="AD140" s="500"/>
      <c r="AE140" s="500"/>
      <c r="AF140" s="500"/>
      <c r="AG140" s="500"/>
    </row>
    <row r="141" spans="1:35" ht="30" hidden="1" customHeight="1">
      <c r="AA141" s="29"/>
      <c r="AB141" s="29"/>
      <c r="AC141" s="29"/>
      <c r="AD141" s="500"/>
      <c r="AE141" s="500"/>
      <c r="AF141" s="500"/>
      <c r="AG141" s="500"/>
      <c r="AH141" s="500"/>
    </row>
    <row r="142" spans="1:35" ht="64.5" hidden="1" customHeight="1">
      <c r="B142" s="465">
        <v>7</v>
      </c>
      <c r="C142" s="601" t="s">
        <v>25</v>
      </c>
      <c r="D142" s="602"/>
      <c r="E142" s="603"/>
      <c r="F142" s="604">
        <f>IFERROR(VLOOKUP(B142,LISTA_OFERENTES,2,FALSE)," ")</f>
        <v>0</v>
      </c>
      <c r="G142" s="605"/>
      <c r="H142" s="605"/>
      <c r="I142" s="605"/>
      <c r="J142" s="605"/>
      <c r="K142" s="605"/>
      <c r="L142" s="605"/>
      <c r="M142" s="605"/>
      <c r="N142" s="605"/>
      <c r="O142" s="606"/>
      <c r="P142" s="607" t="s">
        <v>26</v>
      </c>
      <c r="Q142" s="608"/>
      <c r="R142" s="609"/>
      <c r="S142" s="491">
        <f>5-(INT(COUNTBLANK(C145:C159))-10)</f>
        <v>0</v>
      </c>
      <c r="AA142" s="29"/>
      <c r="AB142" s="29"/>
      <c r="AC142" s="29"/>
      <c r="AD142" s="500"/>
      <c r="AE142" s="500"/>
      <c r="AF142" s="500"/>
      <c r="AG142" s="500"/>
    </row>
    <row r="143" spans="1:35" s="501" customFormat="1" ht="30" hidden="1" customHeight="1">
      <c r="B143" s="610" t="s">
        <v>27</v>
      </c>
      <c r="C143" s="596" t="s">
        <v>28</v>
      </c>
      <c r="D143" s="596" t="s">
        <v>29</v>
      </c>
      <c r="E143" s="596" t="s">
        <v>30</v>
      </c>
      <c r="F143" s="596" t="s">
        <v>31</v>
      </c>
      <c r="G143" s="596" t="s">
        <v>32</v>
      </c>
      <c r="H143" s="596" t="s">
        <v>33</v>
      </c>
      <c r="I143" s="596" t="s">
        <v>34</v>
      </c>
      <c r="J143" s="594" t="s">
        <v>35</v>
      </c>
      <c r="K143" s="612"/>
      <c r="L143" s="612"/>
      <c r="M143" s="595"/>
      <c r="N143" s="596" t="s">
        <v>36</v>
      </c>
      <c r="O143" s="596" t="s">
        <v>37</v>
      </c>
      <c r="P143" s="594" t="s">
        <v>38</v>
      </c>
      <c r="Q143" s="595"/>
      <c r="R143" s="596" t="s">
        <v>39</v>
      </c>
      <c r="S143" s="596" t="s">
        <v>40</v>
      </c>
      <c r="T143"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143" s="596" t="str">
        <f>+$U$11</f>
        <v xml:space="preserve">VERIFICACIÓN CONDICIÓN DE EXPERIENCIA  </v>
      </c>
      <c r="V143" s="504"/>
      <c r="W143" s="29"/>
      <c r="X143" s="29"/>
      <c r="Y143" s="29"/>
      <c r="Z143" s="29"/>
      <c r="AA143" s="29"/>
      <c r="AB143" s="29"/>
      <c r="AC143" s="29"/>
      <c r="AD143" s="500"/>
      <c r="AE143" s="500"/>
      <c r="AF143" s="500"/>
      <c r="AG143" s="500"/>
      <c r="AH143" s="13"/>
    </row>
    <row r="144" spans="1:35" s="501" customFormat="1" ht="113.25" hidden="1" customHeight="1">
      <c r="B144" s="611"/>
      <c r="C144" s="597"/>
      <c r="D144" s="597"/>
      <c r="E144" s="597"/>
      <c r="F144" s="597"/>
      <c r="G144" s="597"/>
      <c r="H144" s="597"/>
      <c r="I144" s="597"/>
      <c r="J144" s="598" t="s">
        <v>43</v>
      </c>
      <c r="K144" s="599"/>
      <c r="L144" s="599"/>
      <c r="M144" s="600"/>
      <c r="N144" s="597"/>
      <c r="O144" s="597"/>
      <c r="P144" s="493" t="s">
        <v>10</v>
      </c>
      <c r="Q144" s="493" t="s">
        <v>44</v>
      </c>
      <c r="R144" s="597"/>
      <c r="S144" s="597"/>
      <c r="T144" s="597"/>
      <c r="U144" s="597"/>
      <c r="V144" s="504"/>
      <c r="W144" s="29"/>
      <c r="X144" s="29"/>
      <c r="Y144" s="29"/>
      <c r="Z144" s="29"/>
      <c r="AA144" s="29"/>
      <c r="AB144" s="29"/>
      <c r="AC144" s="29"/>
      <c r="AD144" s="500"/>
      <c r="AE144" s="500"/>
      <c r="AF144" s="500"/>
      <c r="AG144" s="500"/>
      <c r="AH144" s="13"/>
    </row>
    <row r="145" spans="1:35" s="500" customFormat="1" ht="25" hidden="1" customHeight="1">
      <c r="A145" s="498"/>
      <c r="B145" s="546">
        <v>1</v>
      </c>
      <c r="C145" s="549"/>
      <c r="D145" s="549"/>
      <c r="E145" s="549"/>
      <c r="F145" s="549"/>
      <c r="G145" s="552"/>
      <c r="H145" s="555"/>
      <c r="I145" s="558"/>
      <c r="J145" s="499"/>
      <c r="K145" s="57">
        <f>+$K$13</f>
        <v>801016</v>
      </c>
      <c r="L145" s="499"/>
      <c r="M145" s="57">
        <f>+$M$13</f>
        <v>0</v>
      </c>
      <c r="N145" s="561"/>
      <c r="O145" s="561"/>
      <c r="P145" s="564"/>
      <c r="Q145" s="544"/>
      <c r="R145" s="544"/>
      <c r="S145" s="568">
        <f>IF(COUNTIF(J145:K147,"CUMPLE")&gt;=1,(G145*I145),0)* (IF(N145="PRESENTÓ CERTIFICADO",1,0))* (IF(O145="ACORDE A ITEM 5.2.2 (T.R.)",1,0) )* ( IF(OR(Q145="SIN OBSERVACIÓN", Q145="REQUERIMIENTOS SUBSANADOS"),1,0)) *(IF(OR(R145="NINGUNO", R145="CUMPLEN CON LO SOLICITADO"),1,0))</f>
        <v>0</v>
      </c>
      <c r="T145" s="591"/>
      <c r="U145" s="541">
        <f>IF(COUNTIF(J145:K147,"CUMPLE")&gt;=1,1,0)</f>
        <v>0</v>
      </c>
      <c r="W145" s="29"/>
      <c r="X145" s="29"/>
      <c r="Y145" s="29"/>
      <c r="Z145" s="29"/>
      <c r="AD145" s="13"/>
      <c r="AE145" s="13"/>
      <c r="AF145" s="13"/>
      <c r="AG145" s="13"/>
      <c r="AH145" s="13"/>
      <c r="AI145" s="13"/>
    </row>
    <row r="146" spans="1:35" s="500" customFormat="1" ht="25" hidden="1" customHeight="1">
      <c r="A146" s="498"/>
      <c r="B146" s="547"/>
      <c r="C146" s="550"/>
      <c r="D146" s="550"/>
      <c r="E146" s="550"/>
      <c r="F146" s="550"/>
      <c r="G146" s="553"/>
      <c r="H146" s="556"/>
      <c r="I146" s="559"/>
      <c r="J146" s="499"/>
      <c r="K146" s="57">
        <f>+$K$14</f>
        <v>811015</v>
      </c>
      <c r="L146" s="542"/>
      <c r="M146" s="544">
        <f>+$M$14</f>
        <v>0</v>
      </c>
      <c r="N146" s="562"/>
      <c r="O146" s="562"/>
      <c r="P146" s="565"/>
      <c r="Q146" s="567"/>
      <c r="R146" s="567"/>
      <c r="S146" s="569"/>
      <c r="T146" s="592"/>
      <c r="U146" s="541"/>
      <c r="W146" s="29"/>
      <c r="X146" s="29"/>
      <c r="Y146" s="29"/>
      <c r="Z146" s="29"/>
      <c r="AD146" s="13"/>
      <c r="AE146" s="13"/>
      <c r="AF146" s="13"/>
      <c r="AG146" s="13"/>
      <c r="AH146" s="13"/>
      <c r="AI146" s="13"/>
    </row>
    <row r="147" spans="1:35" s="500" customFormat="1" ht="36" hidden="1" customHeight="1">
      <c r="A147" s="498"/>
      <c r="B147" s="548"/>
      <c r="C147" s="551"/>
      <c r="D147" s="551"/>
      <c r="E147" s="551"/>
      <c r="F147" s="551"/>
      <c r="G147" s="554"/>
      <c r="H147" s="557"/>
      <c r="I147" s="560"/>
      <c r="J147" s="499"/>
      <c r="K147" s="57">
        <f>+$K$15</f>
        <v>841116</v>
      </c>
      <c r="L147" s="543"/>
      <c r="M147" s="545"/>
      <c r="N147" s="563"/>
      <c r="O147" s="563"/>
      <c r="P147" s="566"/>
      <c r="Q147" s="545"/>
      <c r="R147" s="545"/>
      <c r="S147" s="570"/>
      <c r="T147" s="592"/>
      <c r="U147" s="541"/>
      <c r="W147" s="29"/>
      <c r="X147" s="29"/>
      <c r="Y147" s="29"/>
      <c r="Z147" s="29"/>
      <c r="AD147" s="13"/>
      <c r="AE147" s="13"/>
      <c r="AF147" s="13"/>
      <c r="AG147" s="13"/>
      <c r="AH147" s="13"/>
      <c r="AI147" s="13"/>
    </row>
    <row r="148" spans="1:35" s="500" customFormat="1" ht="25" hidden="1" customHeight="1">
      <c r="A148" s="498"/>
      <c r="B148" s="546">
        <v>2</v>
      </c>
      <c r="C148" s="571"/>
      <c r="D148" s="571"/>
      <c r="E148" s="571"/>
      <c r="F148" s="549"/>
      <c r="G148" s="574"/>
      <c r="H148" s="555"/>
      <c r="I148" s="577"/>
      <c r="J148" s="499"/>
      <c r="K148" s="57">
        <f>+$K$13</f>
        <v>801016</v>
      </c>
      <c r="L148" s="499"/>
      <c r="M148" s="57">
        <f>+$M$13</f>
        <v>0</v>
      </c>
      <c r="N148" s="561"/>
      <c r="O148" s="561"/>
      <c r="P148" s="564"/>
      <c r="Q148" s="544"/>
      <c r="R148" s="544"/>
      <c r="S148" s="568">
        <f>IF(COUNTIF(J148:K150,"CUMPLE")&gt;=1,(G148*I148),0)* (IF(N148="PRESENTÓ CERTIFICADO",1,0))* (IF(O148="ACORDE A ITEM 5.2.2 (T.R.)",1,0) )* ( IF(OR(Q148="SIN OBSERVACIÓN", Q148="REQUERIMIENTOS SUBSANADOS"),1,0)) *(IF(OR(R148="NINGUNO", R148="CUMPLEN CON LO SOLICITADO"),1,0))</f>
        <v>0</v>
      </c>
      <c r="T148" s="592"/>
      <c r="U148" s="541">
        <f>IF(COUNTIF(J148:K150,"CUMPLE")&gt;=1,1,0)</f>
        <v>0</v>
      </c>
      <c r="W148" s="29"/>
      <c r="X148" s="29"/>
      <c r="Y148" s="29"/>
      <c r="Z148" s="29"/>
      <c r="AD148" s="13"/>
      <c r="AE148" s="13"/>
      <c r="AF148" s="13"/>
      <c r="AG148" s="13"/>
      <c r="AH148" s="13"/>
      <c r="AI148" s="13"/>
    </row>
    <row r="149" spans="1:35" s="500" customFormat="1" ht="25" hidden="1" customHeight="1">
      <c r="A149" s="498"/>
      <c r="B149" s="547"/>
      <c r="C149" s="572"/>
      <c r="D149" s="572"/>
      <c r="E149" s="572"/>
      <c r="F149" s="550"/>
      <c r="G149" s="575"/>
      <c r="H149" s="556"/>
      <c r="I149" s="578"/>
      <c r="J149" s="499"/>
      <c r="K149" s="57">
        <f>+$K$14</f>
        <v>811015</v>
      </c>
      <c r="L149" s="542"/>
      <c r="M149" s="544">
        <f>+$M$14</f>
        <v>0</v>
      </c>
      <c r="N149" s="562"/>
      <c r="O149" s="562"/>
      <c r="P149" s="565"/>
      <c r="Q149" s="567"/>
      <c r="R149" s="567"/>
      <c r="S149" s="569"/>
      <c r="T149" s="592"/>
      <c r="U149" s="541"/>
      <c r="W149" s="29"/>
      <c r="X149" s="29"/>
      <c r="Y149" s="29"/>
      <c r="Z149" s="29"/>
      <c r="AD149" s="13"/>
      <c r="AE149" s="13"/>
      <c r="AF149" s="13"/>
      <c r="AG149" s="13"/>
      <c r="AH149" s="13"/>
      <c r="AI149" s="13"/>
    </row>
    <row r="150" spans="1:35" s="500" customFormat="1" ht="40.5" hidden="1" customHeight="1">
      <c r="A150" s="498"/>
      <c r="B150" s="548"/>
      <c r="C150" s="573"/>
      <c r="D150" s="573"/>
      <c r="E150" s="573"/>
      <c r="F150" s="551"/>
      <c r="G150" s="576"/>
      <c r="H150" s="557"/>
      <c r="I150" s="579"/>
      <c r="J150" s="499"/>
      <c r="K150" s="57">
        <f>+$K$15</f>
        <v>841116</v>
      </c>
      <c r="L150" s="543"/>
      <c r="M150" s="545"/>
      <c r="N150" s="563"/>
      <c r="O150" s="563"/>
      <c r="P150" s="566"/>
      <c r="Q150" s="545"/>
      <c r="R150" s="545"/>
      <c r="S150" s="570"/>
      <c r="T150" s="592"/>
      <c r="U150" s="541"/>
      <c r="W150" s="29"/>
      <c r="X150" s="29"/>
      <c r="Y150" s="29"/>
      <c r="Z150" s="29"/>
      <c r="AD150" s="13"/>
      <c r="AE150" s="13"/>
      <c r="AF150" s="13"/>
      <c r="AG150" s="13"/>
      <c r="AH150" s="13"/>
      <c r="AI150" s="13"/>
    </row>
    <row r="151" spans="1:35" s="500" customFormat="1" ht="25" hidden="1" customHeight="1">
      <c r="A151" s="498"/>
      <c r="B151" s="546">
        <v>3</v>
      </c>
      <c r="C151" s="549"/>
      <c r="D151" s="549"/>
      <c r="E151" s="549"/>
      <c r="F151" s="549"/>
      <c r="G151" s="552"/>
      <c r="H151" s="555"/>
      <c r="I151" s="558"/>
      <c r="J151" s="499"/>
      <c r="K151" s="57">
        <f>+$K$13</f>
        <v>801016</v>
      </c>
      <c r="L151" s="499"/>
      <c r="M151" s="57">
        <f>+$M$13</f>
        <v>0</v>
      </c>
      <c r="N151" s="561"/>
      <c r="O151" s="561"/>
      <c r="P151" s="564"/>
      <c r="Q151" s="544"/>
      <c r="R151" s="544"/>
      <c r="S151" s="568">
        <f>IF(COUNTIF(J151:K153,"CUMPLE")&gt;=1,(G151*I151),0)* (IF(N151="PRESENTÓ CERTIFICADO",1,0))* (IF(O151="ACORDE A ITEM 5.2.2 (T.R.)",1,0) )* ( IF(OR(Q151="SIN OBSERVACIÓN", Q151="REQUERIMIENTOS SUBSANADOS"),1,0)) *(IF(OR(R151="NINGUNO", R151="CUMPLEN CON LO SOLICITADO"),1,0))</f>
        <v>0</v>
      </c>
      <c r="T151" s="592"/>
      <c r="U151" s="541">
        <f>IF(COUNTIF(L151:M153,"CUMPLE")&gt;=1,1,0)</f>
        <v>0</v>
      </c>
      <c r="W151" s="29"/>
      <c r="X151" s="29"/>
      <c r="Y151" s="29"/>
      <c r="Z151" s="29"/>
      <c r="AA151" s="13"/>
      <c r="AB151" s="13"/>
      <c r="AC151" s="13"/>
      <c r="AD151" s="13"/>
      <c r="AE151" s="13"/>
      <c r="AF151" s="13"/>
      <c r="AG151" s="13"/>
      <c r="AH151" s="13"/>
      <c r="AI151" s="13"/>
    </row>
    <row r="152" spans="1:35" s="500" customFormat="1" ht="25" hidden="1" customHeight="1">
      <c r="A152" s="498"/>
      <c r="B152" s="547"/>
      <c r="C152" s="550"/>
      <c r="D152" s="550"/>
      <c r="E152" s="550"/>
      <c r="F152" s="550"/>
      <c r="G152" s="553"/>
      <c r="H152" s="556"/>
      <c r="I152" s="559"/>
      <c r="J152" s="499"/>
      <c r="K152" s="57">
        <f>+$K$14</f>
        <v>811015</v>
      </c>
      <c r="L152" s="542"/>
      <c r="M152" s="544">
        <f>+$M$14</f>
        <v>0</v>
      </c>
      <c r="N152" s="562"/>
      <c r="O152" s="562"/>
      <c r="P152" s="565"/>
      <c r="Q152" s="567"/>
      <c r="R152" s="567"/>
      <c r="S152" s="569"/>
      <c r="T152" s="592"/>
      <c r="U152" s="541"/>
      <c r="W152" s="29"/>
      <c r="X152" s="29"/>
      <c r="Y152" s="29"/>
      <c r="Z152" s="29"/>
      <c r="AH152" s="13"/>
      <c r="AI152" s="13"/>
    </row>
    <row r="153" spans="1:35" s="500" customFormat="1" ht="35.25" hidden="1" customHeight="1">
      <c r="A153" s="498"/>
      <c r="B153" s="548"/>
      <c r="C153" s="551"/>
      <c r="D153" s="551"/>
      <c r="E153" s="551"/>
      <c r="F153" s="551"/>
      <c r="G153" s="554"/>
      <c r="H153" s="557"/>
      <c r="I153" s="560"/>
      <c r="J153" s="499"/>
      <c r="K153" s="57">
        <f>+$K$15</f>
        <v>841116</v>
      </c>
      <c r="L153" s="543"/>
      <c r="M153" s="545"/>
      <c r="N153" s="563"/>
      <c r="O153" s="563"/>
      <c r="P153" s="566"/>
      <c r="Q153" s="545"/>
      <c r="R153" s="545"/>
      <c r="S153" s="570"/>
      <c r="T153" s="592"/>
      <c r="U153" s="541"/>
      <c r="W153" s="29"/>
      <c r="X153" s="29"/>
      <c r="Y153" s="29"/>
      <c r="Z153" s="29"/>
    </row>
    <row r="154" spans="1:35" s="500" customFormat="1" ht="25" hidden="1" customHeight="1">
      <c r="A154" s="498"/>
      <c r="B154" s="546">
        <v>4</v>
      </c>
      <c r="C154" s="571"/>
      <c r="D154" s="571"/>
      <c r="E154" s="571"/>
      <c r="F154" s="571"/>
      <c r="G154" s="574"/>
      <c r="H154" s="555"/>
      <c r="I154" s="577"/>
      <c r="J154" s="499"/>
      <c r="K154" s="57">
        <f>+$K$13</f>
        <v>801016</v>
      </c>
      <c r="L154" s="499"/>
      <c r="M154" s="57">
        <f>+$M$13</f>
        <v>0</v>
      </c>
      <c r="N154" s="561"/>
      <c r="O154" s="561"/>
      <c r="P154" s="564"/>
      <c r="Q154" s="544"/>
      <c r="R154" s="544"/>
      <c r="S154" s="568">
        <f>IF(COUNTIF(J154:K156,"CUMPLE")&gt;=1,(G154*I154),0)* (IF(N154="PRESENTÓ CERTIFICADO",1,0))* (IF(O154="ACORDE A ITEM 5.2.2 (T.R.)",1,0) )* ( IF(OR(Q154="SIN OBSERVACIÓN", Q154="REQUERIMIENTOS SUBSANADOS"),1,0)) *(IF(OR(R154="NINGUNO", R154="CUMPLEN CON LO SOLICITADO"),1,0))</f>
        <v>0</v>
      </c>
      <c r="T154" s="592"/>
      <c r="U154" s="541">
        <f>IF(COUNTIF(L154:M156,"CUMPLE")&gt;=1,1,0)</f>
        <v>0</v>
      </c>
      <c r="W154" s="29"/>
      <c r="X154" s="29"/>
      <c r="Y154" s="29"/>
      <c r="Z154" s="29"/>
      <c r="AA154" s="13"/>
      <c r="AB154" s="13"/>
      <c r="AC154" s="13"/>
      <c r="AD154" s="13"/>
      <c r="AE154" s="13"/>
      <c r="AF154" s="13"/>
      <c r="AG154" s="13"/>
    </row>
    <row r="155" spans="1:35" s="500" customFormat="1" ht="25" hidden="1" customHeight="1">
      <c r="A155" s="498"/>
      <c r="B155" s="547"/>
      <c r="C155" s="572"/>
      <c r="D155" s="572"/>
      <c r="E155" s="572"/>
      <c r="F155" s="572"/>
      <c r="G155" s="575"/>
      <c r="H155" s="556"/>
      <c r="I155" s="578"/>
      <c r="J155" s="499"/>
      <c r="K155" s="57">
        <f>+$K$14</f>
        <v>811015</v>
      </c>
      <c r="L155" s="542"/>
      <c r="M155" s="544">
        <f>+$M$14</f>
        <v>0</v>
      </c>
      <c r="N155" s="562"/>
      <c r="O155" s="562"/>
      <c r="P155" s="565"/>
      <c r="Q155" s="567"/>
      <c r="R155" s="567"/>
      <c r="S155" s="569"/>
      <c r="T155" s="592"/>
      <c r="U155" s="541"/>
      <c r="W155" s="29"/>
      <c r="X155" s="29"/>
      <c r="Y155" s="29"/>
      <c r="Z155" s="29"/>
      <c r="AA155" s="13"/>
      <c r="AB155" s="13"/>
      <c r="AC155" s="13"/>
      <c r="AD155" s="13"/>
      <c r="AE155" s="13"/>
      <c r="AF155" s="13"/>
      <c r="AG155" s="13"/>
    </row>
    <row r="156" spans="1:35" s="500" customFormat="1" ht="25" hidden="1" customHeight="1">
      <c r="A156" s="498"/>
      <c r="B156" s="548"/>
      <c r="C156" s="573"/>
      <c r="D156" s="573"/>
      <c r="E156" s="573"/>
      <c r="F156" s="573"/>
      <c r="G156" s="576"/>
      <c r="H156" s="557"/>
      <c r="I156" s="579"/>
      <c r="J156" s="499"/>
      <c r="K156" s="57">
        <f>+$K$15</f>
        <v>841116</v>
      </c>
      <c r="L156" s="543"/>
      <c r="M156" s="545"/>
      <c r="N156" s="563"/>
      <c r="O156" s="563"/>
      <c r="P156" s="566"/>
      <c r="Q156" s="545"/>
      <c r="R156" s="545"/>
      <c r="S156" s="570"/>
      <c r="T156" s="592"/>
      <c r="U156" s="541"/>
      <c r="W156" s="29"/>
      <c r="X156" s="29"/>
      <c r="Y156" s="29"/>
      <c r="Z156" s="29"/>
      <c r="AA156" s="29"/>
      <c r="AB156" s="29"/>
      <c r="AC156" s="29"/>
      <c r="AD156" s="501"/>
      <c r="AE156" s="501"/>
      <c r="AF156" s="501"/>
      <c r="AG156" s="501"/>
    </row>
    <row r="157" spans="1:35" s="500" customFormat="1" ht="25" hidden="1" customHeight="1">
      <c r="A157" s="498"/>
      <c r="B157" s="546">
        <v>5</v>
      </c>
      <c r="C157" s="549"/>
      <c r="D157" s="549"/>
      <c r="E157" s="549"/>
      <c r="F157" s="549"/>
      <c r="G157" s="552"/>
      <c r="H157" s="555"/>
      <c r="I157" s="558"/>
      <c r="J157" s="499"/>
      <c r="K157" s="57">
        <f>+$K$13</f>
        <v>801016</v>
      </c>
      <c r="L157" s="499"/>
      <c r="M157" s="57">
        <f>+$M$13</f>
        <v>0</v>
      </c>
      <c r="N157" s="561"/>
      <c r="O157" s="561"/>
      <c r="P157" s="564"/>
      <c r="Q157" s="544"/>
      <c r="R157" s="544"/>
      <c r="S157" s="568">
        <f>IF(COUNTIF(J157:K159,"CUMPLE")&gt;=1,(G157*I157),0)* (IF(N157="PRESENTÓ CERTIFICADO",1,0))* (IF(O157="ACORDE A ITEM 5.2.2 (T.R.)",1,0) )* ( IF(OR(Q157="SIN OBSERVACIÓN", Q157="REQUERIMIENTOS SUBSANADOS"),1,0)) *(IF(OR(R157="NINGUNO", R157="CUMPLEN CON LO SOLICITADO"),1,0))</f>
        <v>0</v>
      </c>
      <c r="T157" s="592"/>
      <c r="U157" s="541">
        <f>IF(COUNTIF(L157:M159,"CUMPLE")&gt;=1,1,0)</f>
        <v>0</v>
      </c>
      <c r="W157" s="29"/>
      <c r="X157" s="29"/>
      <c r="Y157" s="29"/>
      <c r="Z157" s="29"/>
      <c r="AA157" s="29"/>
      <c r="AB157" s="29"/>
      <c r="AC157" s="29"/>
      <c r="AD157" s="501"/>
      <c r="AE157" s="501"/>
      <c r="AF157" s="501"/>
      <c r="AG157" s="501"/>
    </row>
    <row r="158" spans="1:35" s="500" customFormat="1" ht="25" hidden="1" customHeight="1">
      <c r="A158" s="498"/>
      <c r="B158" s="547"/>
      <c r="C158" s="550"/>
      <c r="D158" s="550"/>
      <c r="E158" s="550"/>
      <c r="F158" s="550"/>
      <c r="G158" s="553"/>
      <c r="H158" s="556"/>
      <c r="I158" s="559"/>
      <c r="J158" s="499"/>
      <c r="K158" s="57">
        <f>+$K$14</f>
        <v>811015</v>
      </c>
      <c r="L158" s="542"/>
      <c r="M158" s="544">
        <f>+$M$14</f>
        <v>0</v>
      </c>
      <c r="N158" s="562"/>
      <c r="O158" s="562"/>
      <c r="P158" s="565"/>
      <c r="Q158" s="567"/>
      <c r="R158" s="567"/>
      <c r="S158" s="569"/>
      <c r="T158" s="592"/>
      <c r="U158" s="541"/>
      <c r="W158" s="29"/>
      <c r="X158" s="29"/>
      <c r="Y158" s="29"/>
      <c r="Z158" s="29"/>
      <c r="AA158" s="29"/>
      <c r="AB158" s="29"/>
      <c r="AC158" s="29"/>
    </row>
    <row r="159" spans="1:35" s="500" customFormat="1" ht="25" hidden="1" customHeight="1">
      <c r="A159" s="498"/>
      <c r="B159" s="548"/>
      <c r="C159" s="551"/>
      <c r="D159" s="551"/>
      <c r="E159" s="551"/>
      <c r="F159" s="551"/>
      <c r="G159" s="554"/>
      <c r="H159" s="557"/>
      <c r="I159" s="560"/>
      <c r="J159" s="499"/>
      <c r="K159" s="57">
        <f>+$K$15</f>
        <v>841116</v>
      </c>
      <c r="L159" s="543"/>
      <c r="M159" s="545"/>
      <c r="N159" s="563"/>
      <c r="O159" s="563"/>
      <c r="P159" s="566"/>
      <c r="Q159" s="545"/>
      <c r="R159" s="545"/>
      <c r="S159" s="570"/>
      <c r="T159" s="593"/>
      <c r="U159" s="541"/>
      <c r="W159" s="29"/>
      <c r="X159" s="29"/>
      <c r="Y159" s="29"/>
      <c r="Z159" s="29"/>
      <c r="AA159" s="29"/>
      <c r="AB159" s="29"/>
      <c r="AC159" s="29"/>
    </row>
    <row r="160" spans="1:35" ht="25" hidden="1" customHeight="1">
      <c r="A160" s="13"/>
      <c r="B160" s="580" t="str">
        <f>IF(S161=" "," ",IF(S161&gt;=$H$6,"CUMPLE CON LA EXPERIENCIA REQUERIDA","NO CUMPLE CON LA EXPERIENCIA REQUERIDA"))</f>
        <v>NO CUMPLE CON LA EXPERIENCIA REQUERIDA</v>
      </c>
      <c r="C160" s="581"/>
      <c r="D160" s="581"/>
      <c r="E160" s="581"/>
      <c r="F160" s="581"/>
      <c r="G160" s="581"/>
      <c r="H160" s="581"/>
      <c r="I160" s="581"/>
      <c r="J160" s="581"/>
      <c r="K160" s="581"/>
      <c r="L160" s="581"/>
      <c r="M160" s="581"/>
      <c r="N160" s="581"/>
      <c r="O160" s="582"/>
      <c r="P160" s="586" t="s">
        <v>46</v>
      </c>
      <c r="Q160" s="587"/>
      <c r="R160" s="588"/>
      <c r="S160" s="503">
        <f>IF(T145="SI",SUM(S145:S159),0)</f>
        <v>0</v>
      </c>
      <c r="T160" s="589" t="str">
        <f>IF(S161=" "," ",IF(S161&gt;=$H$6,"CUMPLE","NO CUMPLE"))</f>
        <v>NO CUMPLE</v>
      </c>
      <c r="AA160" s="29"/>
      <c r="AB160" s="29"/>
      <c r="AC160" s="29"/>
      <c r="AD160" s="500"/>
      <c r="AE160" s="500"/>
      <c r="AF160" s="500"/>
      <c r="AG160" s="500"/>
      <c r="AH160" s="500"/>
    </row>
    <row r="161" spans="1:35" s="500" customFormat="1" ht="25" hidden="1" customHeight="1">
      <c r="B161" s="583"/>
      <c r="C161" s="584"/>
      <c r="D161" s="584"/>
      <c r="E161" s="584"/>
      <c r="F161" s="584"/>
      <c r="G161" s="584"/>
      <c r="H161" s="584"/>
      <c r="I161" s="584"/>
      <c r="J161" s="584"/>
      <c r="K161" s="584"/>
      <c r="L161" s="584"/>
      <c r="M161" s="584"/>
      <c r="N161" s="584"/>
      <c r="O161" s="585"/>
      <c r="P161" s="586" t="s">
        <v>47</v>
      </c>
      <c r="Q161" s="587"/>
      <c r="R161" s="588"/>
      <c r="S161" s="503">
        <f>IFERROR((S160/$P$6)," ")</f>
        <v>0</v>
      </c>
      <c r="T161" s="590"/>
      <c r="W161" s="29"/>
      <c r="X161" s="29"/>
      <c r="Y161" s="29"/>
      <c r="Z161" s="29"/>
      <c r="AA161" s="29"/>
      <c r="AB161" s="29"/>
      <c r="AC161" s="29"/>
    </row>
    <row r="162" spans="1:35" ht="30" hidden="1" customHeight="1">
      <c r="AA162" s="29"/>
      <c r="AB162" s="29"/>
      <c r="AC162" s="29"/>
      <c r="AD162" s="500"/>
      <c r="AE162" s="500"/>
      <c r="AF162" s="500"/>
      <c r="AG162" s="500"/>
    </row>
    <row r="163" spans="1:35" ht="30" hidden="1" customHeight="1">
      <c r="AA163" s="29"/>
      <c r="AB163" s="29"/>
      <c r="AC163" s="29"/>
      <c r="AD163" s="500"/>
      <c r="AE163" s="500"/>
      <c r="AF163" s="500"/>
      <c r="AG163" s="500"/>
      <c r="AH163" s="500"/>
    </row>
    <row r="164" spans="1:35" ht="64.5" hidden="1" customHeight="1">
      <c r="B164" s="465">
        <v>8</v>
      </c>
      <c r="C164" s="601" t="s">
        <v>25</v>
      </c>
      <c r="D164" s="602"/>
      <c r="E164" s="603"/>
      <c r="F164" s="604">
        <f>IFERROR(VLOOKUP(B164,LISTA_OFERENTES,2,FALSE)," ")</f>
        <v>0</v>
      </c>
      <c r="G164" s="605"/>
      <c r="H164" s="605"/>
      <c r="I164" s="605"/>
      <c r="J164" s="605"/>
      <c r="K164" s="605"/>
      <c r="L164" s="605"/>
      <c r="M164" s="605"/>
      <c r="N164" s="605"/>
      <c r="O164" s="606"/>
      <c r="P164" s="607" t="s">
        <v>26</v>
      </c>
      <c r="Q164" s="608"/>
      <c r="R164" s="609"/>
      <c r="S164" s="491">
        <f>5-(INT(COUNTBLANK(C167:C181))-10)</f>
        <v>0</v>
      </c>
      <c r="AA164" s="29"/>
      <c r="AB164" s="29"/>
      <c r="AC164" s="29"/>
      <c r="AD164" s="500"/>
      <c r="AE164" s="500"/>
      <c r="AF164" s="500"/>
      <c r="AG164" s="500"/>
    </row>
    <row r="165" spans="1:35" s="501" customFormat="1" ht="30" hidden="1" customHeight="1">
      <c r="B165" s="610" t="s">
        <v>27</v>
      </c>
      <c r="C165" s="596" t="s">
        <v>28</v>
      </c>
      <c r="D165" s="596" t="s">
        <v>29</v>
      </c>
      <c r="E165" s="596" t="s">
        <v>30</v>
      </c>
      <c r="F165" s="596" t="s">
        <v>31</v>
      </c>
      <c r="G165" s="596" t="s">
        <v>32</v>
      </c>
      <c r="H165" s="596" t="s">
        <v>33</v>
      </c>
      <c r="I165" s="596" t="s">
        <v>34</v>
      </c>
      <c r="J165" s="594" t="s">
        <v>35</v>
      </c>
      <c r="K165" s="612"/>
      <c r="L165" s="612"/>
      <c r="M165" s="595"/>
      <c r="N165" s="596" t="s">
        <v>36</v>
      </c>
      <c r="O165" s="596" t="s">
        <v>37</v>
      </c>
      <c r="P165" s="594" t="s">
        <v>38</v>
      </c>
      <c r="Q165" s="595"/>
      <c r="R165" s="596" t="s">
        <v>39</v>
      </c>
      <c r="S165" s="596" t="s">
        <v>40</v>
      </c>
      <c r="T165"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165" s="596" t="str">
        <f>+$U$11</f>
        <v xml:space="preserve">VERIFICACIÓN CONDICIÓN DE EXPERIENCIA  </v>
      </c>
      <c r="V165" s="504"/>
      <c r="W165" s="29"/>
      <c r="X165" s="29"/>
      <c r="Y165" s="29"/>
      <c r="Z165" s="29"/>
      <c r="AA165" s="29"/>
      <c r="AB165" s="29"/>
      <c r="AC165" s="29"/>
      <c r="AD165" s="500"/>
      <c r="AE165" s="500"/>
      <c r="AF165" s="500"/>
      <c r="AG165" s="500"/>
      <c r="AH165" s="13"/>
    </row>
    <row r="166" spans="1:35" s="501" customFormat="1" ht="63" hidden="1" customHeight="1">
      <c r="B166" s="611"/>
      <c r="C166" s="597"/>
      <c r="D166" s="597"/>
      <c r="E166" s="597"/>
      <c r="F166" s="597"/>
      <c r="G166" s="597"/>
      <c r="H166" s="597"/>
      <c r="I166" s="597"/>
      <c r="J166" s="598" t="s">
        <v>43</v>
      </c>
      <c r="K166" s="599"/>
      <c r="L166" s="599"/>
      <c r="M166" s="600"/>
      <c r="N166" s="597"/>
      <c r="O166" s="597"/>
      <c r="P166" s="493" t="s">
        <v>10</v>
      </c>
      <c r="Q166" s="493" t="s">
        <v>44</v>
      </c>
      <c r="R166" s="597"/>
      <c r="S166" s="597"/>
      <c r="T166" s="597"/>
      <c r="U166" s="597"/>
      <c r="V166" s="504"/>
      <c r="W166" s="29"/>
      <c r="X166" s="29"/>
      <c r="Y166" s="29"/>
      <c r="Z166" s="29"/>
      <c r="AA166" s="29"/>
      <c r="AB166" s="29"/>
      <c r="AC166" s="29"/>
      <c r="AD166" s="500"/>
      <c r="AE166" s="500"/>
      <c r="AF166" s="500"/>
      <c r="AG166" s="500"/>
      <c r="AH166" s="13"/>
    </row>
    <row r="167" spans="1:35" s="500" customFormat="1" ht="25" hidden="1" customHeight="1">
      <c r="A167" s="498"/>
      <c r="B167" s="546">
        <v>1</v>
      </c>
      <c r="C167" s="549"/>
      <c r="D167" s="549"/>
      <c r="E167" s="549"/>
      <c r="F167" s="549"/>
      <c r="G167" s="552"/>
      <c r="H167" s="555"/>
      <c r="I167" s="558"/>
      <c r="J167" s="499"/>
      <c r="K167" s="57">
        <f>+$K$13</f>
        <v>801016</v>
      </c>
      <c r="L167" s="499"/>
      <c r="M167" s="57">
        <f>+$M$13</f>
        <v>0</v>
      </c>
      <c r="N167" s="561"/>
      <c r="O167" s="561"/>
      <c r="P167" s="564"/>
      <c r="Q167" s="544"/>
      <c r="R167" s="544"/>
      <c r="S167" s="568">
        <f>IF(COUNTIF(J167:K169,"CUMPLE")&gt;=1,(G167*I167),0)* (IF(N167="PRESENTÓ CERTIFICADO",1,0))* (IF(O167="ACORDE A ITEM 5.2.2 (T.R.)",1,0) )* ( IF(OR(Q167="SIN OBSERVACIÓN", Q167="REQUERIMIENTOS SUBSANADOS"),1,0)) *(IF(OR(R167="NINGUNO", R167="CUMPLEN CON LO SOLICITADO"),1,0))</f>
        <v>0</v>
      </c>
      <c r="T167" s="591"/>
      <c r="U167" s="541">
        <f>IF(COUNTIF(J167:K169,"CUMPLE")&gt;=1,1,0)</f>
        <v>0</v>
      </c>
      <c r="W167" s="29"/>
      <c r="X167" s="29"/>
      <c r="Y167" s="29"/>
      <c r="Z167" s="29"/>
      <c r="AD167" s="13"/>
      <c r="AE167" s="13"/>
      <c r="AF167" s="13"/>
      <c r="AG167" s="13"/>
      <c r="AH167" s="13"/>
      <c r="AI167" s="13"/>
    </row>
    <row r="168" spans="1:35" s="500" customFormat="1" ht="25" hidden="1" customHeight="1">
      <c r="A168" s="498"/>
      <c r="B168" s="547"/>
      <c r="C168" s="550"/>
      <c r="D168" s="550"/>
      <c r="E168" s="550"/>
      <c r="F168" s="550"/>
      <c r="G168" s="553"/>
      <c r="H168" s="556"/>
      <c r="I168" s="559"/>
      <c r="J168" s="499"/>
      <c r="K168" s="57">
        <f>+$K$14</f>
        <v>811015</v>
      </c>
      <c r="L168" s="542"/>
      <c r="M168" s="544">
        <f>+$M$14</f>
        <v>0</v>
      </c>
      <c r="N168" s="562"/>
      <c r="O168" s="562"/>
      <c r="P168" s="565"/>
      <c r="Q168" s="567"/>
      <c r="R168" s="567"/>
      <c r="S168" s="569"/>
      <c r="T168" s="592"/>
      <c r="U168" s="541"/>
      <c r="W168" s="29"/>
      <c r="X168" s="29"/>
      <c r="Y168" s="29"/>
      <c r="Z168" s="29"/>
      <c r="AD168" s="13"/>
      <c r="AE168" s="13"/>
      <c r="AF168" s="13"/>
      <c r="AG168" s="13"/>
      <c r="AH168" s="13"/>
      <c r="AI168" s="13"/>
    </row>
    <row r="169" spans="1:35" s="500" customFormat="1" ht="25" hidden="1" customHeight="1">
      <c r="A169" s="498"/>
      <c r="B169" s="548"/>
      <c r="C169" s="551"/>
      <c r="D169" s="551"/>
      <c r="E169" s="551"/>
      <c r="F169" s="551"/>
      <c r="G169" s="554"/>
      <c r="H169" s="557"/>
      <c r="I169" s="560"/>
      <c r="J169" s="499"/>
      <c r="K169" s="57">
        <f>+$K$15</f>
        <v>841116</v>
      </c>
      <c r="L169" s="543"/>
      <c r="M169" s="545"/>
      <c r="N169" s="563"/>
      <c r="O169" s="563"/>
      <c r="P169" s="566"/>
      <c r="Q169" s="545"/>
      <c r="R169" s="545"/>
      <c r="S169" s="570"/>
      <c r="T169" s="592"/>
      <c r="U169" s="541"/>
      <c r="W169" s="29"/>
      <c r="X169" s="29"/>
      <c r="Y169" s="29"/>
      <c r="Z169" s="29"/>
      <c r="AD169" s="13"/>
      <c r="AE169" s="13"/>
      <c r="AF169" s="13"/>
      <c r="AG169" s="13"/>
      <c r="AH169" s="13"/>
      <c r="AI169" s="13"/>
    </row>
    <row r="170" spans="1:35" s="500" customFormat="1" ht="25" hidden="1" customHeight="1">
      <c r="A170" s="498"/>
      <c r="B170" s="546">
        <v>2</v>
      </c>
      <c r="C170" s="571"/>
      <c r="D170" s="571"/>
      <c r="E170" s="571"/>
      <c r="F170" s="571"/>
      <c r="G170" s="574"/>
      <c r="H170" s="555"/>
      <c r="I170" s="577"/>
      <c r="J170" s="499"/>
      <c r="K170" s="57">
        <f>+$K$13</f>
        <v>801016</v>
      </c>
      <c r="L170" s="499"/>
      <c r="M170" s="57">
        <f>+$M$13</f>
        <v>0</v>
      </c>
      <c r="N170" s="561"/>
      <c r="O170" s="561"/>
      <c r="P170" s="564"/>
      <c r="Q170" s="544"/>
      <c r="R170" s="544"/>
      <c r="S170" s="568">
        <f>IF(COUNTIF(J170:K172,"CUMPLE")&gt;=1,(G170*I170),0)* (IF(N170="PRESENTÓ CERTIFICADO",1,0))* (IF(O170="ACORDE A ITEM 5.2.2 (T.R.)",1,0) )* ( IF(OR(Q170="SIN OBSERVACIÓN", Q170="REQUERIMIENTOS SUBSANADOS"),1,0)) *(IF(OR(R170="NINGUNO", R170="CUMPLEN CON LO SOLICITADO"),1,0))</f>
        <v>0</v>
      </c>
      <c r="T170" s="592"/>
      <c r="U170" s="541">
        <f t="shared" ref="U170" si="47">IF(COUNTIF(J170:K172,"CUMPLE")&gt;=1,1,0)</f>
        <v>0</v>
      </c>
      <c r="W170" s="29"/>
      <c r="X170" s="29"/>
      <c r="Y170" s="29"/>
      <c r="Z170" s="29"/>
      <c r="AD170" s="13"/>
      <c r="AE170" s="13"/>
      <c r="AF170" s="13"/>
      <c r="AG170" s="13"/>
      <c r="AH170" s="13"/>
      <c r="AI170" s="13"/>
    </row>
    <row r="171" spans="1:35" s="500" customFormat="1" ht="25" hidden="1" customHeight="1">
      <c r="A171" s="498"/>
      <c r="B171" s="547"/>
      <c r="C171" s="572"/>
      <c r="D171" s="572"/>
      <c r="E171" s="572"/>
      <c r="F171" s="572"/>
      <c r="G171" s="575"/>
      <c r="H171" s="556"/>
      <c r="I171" s="578"/>
      <c r="J171" s="499"/>
      <c r="K171" s="57">
        <f>+$K$14</f>
        <v>811015</v>
      </c>
      <c r="L171" s="542"/>
      <c r="M171" s="544">
        <f>+$M$14</f>
        <v>0</v>
      </c>
      <c r="N171" s="562"/>
      <c r="O171" s="562"/>
      <c r="P171" s="565"/>
      <c r="Q171" s="567"/>
      <c r="R171" s="567"/>
      <c r="S171" s="569"/>
      <c r="T171" s="592"/>
      <c r="U171" s="541"/>
      <c r="W171" s="29"/>
      <c r="X171" s="29"/>
      <c r="Y171" s="29"/>
      <c r="Z171" s="29"/>
      <c r="AD171" s="13"/>
      <c r="AE171" s="13"/>
      <c r="AF171" s="13"/>
      <c r="AG171" s="13"/>
      <c r="AH171" s="13"/>
      <c r="AI171" s="13"/>
    </row>
    <row r="172" spans="1:35" s="500" customFormat="1" ht="25" hidden="1" customHeight="1">
      <c r="A172" s="498"/>
      <c r="B172" s="548"/>
      <c r="C172" s="573"/>
      <c r="D172" s="573"/>
      <c r="E172" s="573"/>
      <c r="F172" s="573"/>
      <c r="G172" s="576"/>
      <c r="H172" s="557"/>
      <c r="I172" s="579"/>
      <c r="J172" s="499"/>
      <c r="K172" s="57">
        <f>+$K$15</f>
        <v>841116</v>
      </c>
      <c r="L172" s="543"/>
      <c r="M172" s="545"/>
      <c r="N172" s="563"/>
      <c r="O172" s="563"/>
      <c r="P172" s="566"/>
      <c r="Q172" s="545"/>
      <c r="R172" s="545"/>
      <c r="S172" s="570"/>
      <c r="T172" s="592"/>
      <c r="U172" s="541"/>
      <c r="W172" s="29"/>
      <c r="X172" s="29"/>
      <c r="Y172" s="29"/>
      <c r="Z172" s="29"/>
      <c r="AD172" s="13"/>
      <c r="AE172" s="13"/>
      <c r="AF172" s="13"/>
      <c r="AG172" s="13"/>
      <c r="AH172" s="13"/>
      <c r="AI172" s="13"/>
    </row>
    <row r="173" spans="1:35" s="500" customFormat="1" ht="25" hidden="1" customHeight="1">
      <c r="A173" s="498"/>
      <c r="B173" s="546">
        <v>3</v>
      </c>
      <c r="C173" s="549"/>
      <c r="D173" s="549"/>
      <c r="E173" s="549"/>
      <c r="F173" s="549"/>
      <c r="G173" s="552"/>
      <c r="H173" s="555"/>
      <c r="I173" s="558"/>
      <c r="J173" s="499"/>
      <c r="K173" s="57">
        <f>+$K$13</f>
        <v>801016</v>
      </c>
      <c r="L173" s="499"/>
      <c r="M173" s="57">
        <f>+$M$13</f>
        <v>0</v>
      </c>
      <c r="N173" s="561"/>
      <c r="O173" s="561"/>
      <c r="P173" s="564"/>
      <c r="Q173" s="544"/>
      <c r="R173" s="544"/>
      <c r="S173" s="568">
        <f>IF(COUNTIF(J173:K175,"CUMPLE")&gt;=1,(G173*I173),0)* (IF(N173="PRESENTÓ CERTIFICADO",1,0))* (IF(O173="ACORDE A ITEM 5.2.2 (T.R.)",1,0) )* ( IF(OR(Q173="SIN OBSERVACIÓN", Q173="REQUERIMIENTOS SUBSANADOS"),1,0)) *(IF(OR(R173="NINGUNO", R173="CUMPLEN CON LO SOLICITADO"),1,0))</f>
        <v>0</v>
      </c>
      <c r="T173" s="592"/>
      <c r="U173" s="541">
        <f t="shared" ref="U173" si="48">IF(COUNTIF(J173:K175,"CUMPLE")&gt;=1,1,0)</f>
        <v>0</v>
      </c>
      <c r="W173" s="29"/>
      <c r="X173" s="29"/>
      <c r="Y173" s="29"/>
      <c r="Z173" s="29"/>
      <c r="AA173" s="13"/>
      <c r="AB173" s="13"/>
      <c r="AC173" s="13"/>
      <c r="AD173" s="13"/>
      <c r="AE173" s="13"/>
      <c r="AF173" s="13"/>
      <c r="AG173" s="13"/>
      <c r="AH173" s="13"/>
      <c r="AI173" s="13"/>
    </row>
    <row r="174" spans="1:35" s="500" customFormat="1" ht="25" hidden="1" customHeight="1">
      <c r="A174" s="498"/>
      <c r="B174" s="547"/>
      <c r="C174" s="550"/>
      <c r="D174" s="550"/>
      <c r="E174" s="550"/>
      <c r="F174" s="550"/>
      <c r="G174" s="553"/>
      <c r="H174" s="556"/>
      <c r="I174" s="559"/>
      <c r="J174" s="499"/>
      <c r="K174" s="57">
        <f>+$K$14</f>
        <v>811015</v>
      </c>
      <c r="L174" s="542"/>
      <c r="M174" s="544">
        <f>+$M$14</f>
        <v>0</v>
      </c>
      <c r="N174" s="562"/>
      <c r="O174" s="562"/>
      <c r="P174" s="565"/>
      <c r="Q174" s="567"/>
      <c r="R174" s="567"/>
      <c r="S174" s="569"/>
      <c r="T174" s="592"/>
      <c r="U174" s="541"/>
      <c r="W174" s="29"/>
      <c r="X174" s="29"/>
      <c r="Y174" s="29"/>
      <c r="Z174" s="29"/>
      <c r="AH174" s="13"/>
      <c r="AI174" s="13"/>
    </row>
    <row r="175" spans="1:35" s="500" customFormat="1" ht="25" hidden="1" customHeight="1">
      <c r="A175" s="498"/>
      <c r="B175" s="548"/>
      <c r="C175" s="551"/>
      <c r="D175" s="551"/>
      <c r="E175" s="551"/>
      <c r="F175" s="551"/>
      <c r="G175" s="554"/>
      <c r="H175" s="557"/>
      <c r="I175" s="560"/>
      <c r="J175" s="499"/>
      <c r="K175" s="57">
        <f>+$K$15</f>
        <v>841116</v>
      </c>
      <c r="L175" s="543"/>
      <c r="M175" s="545"/>
      <c r="N175" s="563"/>
      <c r="O175" s="563"/>
      <c r="P175" s="566"/>
      <c r="Q175" s="545"/>
      <c r="R175" s="545"/>
      <c r="S175" s="570"/>
      <c r="T175" s="592"/>
      <c r="U175" s="541"/>
      <c r="W175" s="29"/>
      <c r="X175" s="29"/>
      <c r="Y175" s="29"/>
      <c r="Z175" s="29"/>
    </row>
    <row r="176" spans="1:35" s="500" customFormat="1" ht="25" hidden="1" customHeight="1">
      <c r="A176" s="498"/>
      <c r="B176" s="546">
        <v>4</v>
      </c>
      <c r="C176" s="571"/>
      <c r="D176" s="571"/>
      <c r="E176" s="571"/>
      <c r="F176" s="571"/>
      <c r="G176" s="574"/>
      <c r="H176" s="555"/>
      <c r="I176" s="577"/>
      <c r="J176" s="499"/>
      <c r="K176" s="57">
        <f>+$K$13</f>
        <v>801016</v>
      </c>
      <c r="L176" s="499"/>
      <c r="M176" s="57">
        <f>+$M$13</f>
        <v>0</v>
      </c>
      <c r="N176" s="561"/>
      <c r="O176" s="561"/>
      <c r="P176" s="564"/>
      <c r="Q176" s="544"/>
      <c r="R176" s="544"/>
      <c r="S176" s="568">
        <f>IF(COUNTIF(J176:K178,"CUMPLE")&gt;=1,(G176*I176),0)* (IF(N176="PRESENTÓ CERTIFICADO",1,0))* (IF(O176="ACORDE A ITEM 5.2.2 (T.R.)",1,0) )* ( IF(OR(Q176="SIN OBSERVACIÓN", Q176="REQUERIMIENTOS SUBSANADOS"),1,0)) *(IF(OR(R176="NINGUNO", R176="CUMPLEN CON LO SOLICITADO"),1,0))</f>
        <v>0</v>
      </c>
      <c r="T176" s="592"/>
      <c r="U176" s="541">
        <f t="shared" ref="U176" si="49">IF(COUNTIF(J176:K178,"CUMPLE")&gt;=1,1,0)</f>
        <v>0</v>
      </c>
      <c r="W176" s="29"/>
      <c r="X176" s="29"/>
      <c r="Y176" s="29"/>
      <c r="Z176" s="29"/>
      <c r="AA176" s="13"/>
      <c r="AB176" s="13"/>
      <c r="AC176" s="13"/>
      <c r="AD176" s="13"/>
      <c r="AE176" s="13"/>
      <c r="AF176" s="13"/>
      <c r="AG176" s="13"/>
    </row>
    <row r="177" spans="1:35" s="500" customFormat="1" ht="25" hidden="1" customHeight="1">
      <c r="A177" s="498"/>
      <c r="B177" s="547"/>
      <c r="C177" s="572"/>
      <c r="D177" s="572"/>
      <c r="E177" s="572"/>
      <c r="F177" s="572"/>
      <c r="G177" s="575"/>
      <c r="H177" s="556"/>
      <c r="I177" s="578"/>
      <c r="J177" s="499"/>
      <c r="K177" s="57">
        <f>+$K$14</f>
        <v>811015</v>
      </c>
      <c r="L177" s="542"/>
      <c r="M177" s="544">
        <f>+$M$14</f>
        <v>0</v>
      </c>
      <c r="N177" s="562"/>
      <c r="O177" s="562"/>
      <c r="P177" s="565"/>
      <c r="Q177" s="567"/>
      <c r="R177" s="567"/>
      <c r="S177" s="569"/>
      <c r="T177" s="592"/>
      <c r="U177" s="541"/>
      <c r="W177" s="29"/>
      <c r="X177" s="29"/>
      <c r="Y177" s="29"/>
      <c r="Z177" s="29"/>
      <c r="AA177" s="13"/>
      <c r="AB177" s="13"/>
      <c r="AC177" s="13"/>
      <c r="AD177" s="13"/>
      <c r="AE177" s="13"/>
      <c r="AF177" s="13"/>
      <c r="AG177" s="13"/>
    </row>
    <row r="178" spans="1:35" s="500" customFormat="1" ht="25" hidden="1" customHeight="1">
      <c r="A178" s="498"/>
      <c r="B178" s="548"/>
      <c r="C178" s="573"/>
      <c r="D178" s="573"/>
      <c r="E178" s="573"/>
      <c r="F178" s="573"/>
      <c r="G178" s="576"/>
      <c r="H178" s="557"/>
      <c r="I178" s="579"/>
      <c r="J178" s="499"/>
      <c r="K178" s="57">
        <f>+$K$15</f>
        <v>841116</v>
      </c>
      <c r="L178" s="543"/>
      <c r="M178" s="545"/>
      <c r="N178" s="563"/>
      <c r="O178" s="563"/>
      <c r="P178" s="566"/>
      <c r="Q178" s="545"/>
      <c r="R178" s="545"/>
      <c r="S178" s="570"/>
      <c r="T178" s="592"/>
      <c r="U178" s="541"/>
      <c r="W178" s="29"/>
      <c r="X178" s="29"/>
      <c r="Y178" s="29"/>
      <c r="Z178" s="29"/>
      <c r="AA178" s="29"/>
      <c r="AB178" s="29"/>
      <c r="AC178" s="29"/>
      <c r="AD178" s="501"/>
      <c r="AE178" s="501"/>
      <c r="AF178" s="501"/>
      <c r="AG178" s="501"/>
    </row>
    <row r="179" spans="1:35" s="500" customFormat="1" ht="25" hidden="1" customHeight="1">
      <c r="A179" s="498"/>
      <c r="B179" s="546">
        <v>5</v>
      </c>
      <c r="C179" s="549"/>
      <c r="D179" s="549"/>
      <c r="E179" s="549"/>
      <c r="F179" s="549"/>
      <c r="G179" s="552"/>
      <c r="H179" s="555"/>
      <c r="I179" s="558"/>
      <c r="J179" s="499"/>
      <c r="K179" s="57">
        <f>+$K$13</f>
        <v>801016</v>
      </c>
      <c r="L179" s="499"/>
      <c r="M179" s="57">
        <f>+$M$13</f>
        <v>0</v>
      </c>
      <c r="N179" s="561"/>
      <c r="O179" s="561"/>
      <c r="P179" s="564"/>
      <c r="Q179" s="544"/>
      <c r="R179" s="544"/>
      <c r="S179" s="568">
        <f>IF(COUNTIF(J179:K181,"CUMPLE")&gt;=1,(G179*I179),0)* (IF(N179="PRESENTÓ CERTIFICADO",1,0))* (IF(O179="ACORDE A ITEM 5.2.2 (T.R.)",1,0) )* ( IF(OR(Q179="SIN OBSERVACIÓN", Q179="REQUERIMIENTOS SUBSANADOS"),1,0)) *(IF(OR(R179="NINGUNO", R179="CUMPLEN CON LO SOLICITADO"),1,0))</f>
        <v>0</v>
      </c>
      <c r="T179" s="592"/>
      <c r="U179" s="541">
        <f t="shared" ref="U179" si="50">IF(COUNTIF(J179:K181,"CUMPLE")&gt;=1,1,0)</f>
        <v>0</v>
      </c>
      <c r="W179" s="29"/>
      <c r="X179" s="29"/>
      <c r="Y179" s="29"/>
      <c r="Z179" s="29"/>
      <c r="AA179" s="29"/>
      <c r="AB179" s="29"/>
      <c r="AC179" s="29"/>
      <c r="AD179" s="501"/>
      <c r="AE179" s="501"/>
      <c r="AF179" s="501"/>
      <c r="AG179" s="501"/>
    </row>
    <row r="180" spans="1:35" s="500" customFormat="1" ht="25" hidden="1" customHeight="1">
      <c r="A180" s="498"/>
      <c r="B180" s="547"/>
      <c r="C180" s="550"/>
      <c r="D180" s="550"/>
      <c r="E180" s="550"/>
      <c r="F180" s="550"/>
      <c r="G180" s="553"/>
      <c r="H180" s="556"/>
      <c r="I180" s="559"/>
      <c r="J180" s="499"/>
      <c r="K180" s="57">
        <f>+$K$14</f>
        <v>811015</v>
      </c>
      <c r="L180" s="542"/>
      <c r="M180" s="544">
        <f>+$M$14</f>
        <v>0</v>
      </c>
      <c r="N180" s="562"/>
      <c r="O180" s="562"/>
      <c r="P180" s="565"/>
      <c r="Q180" s="567"/>
      <c r="R180" s="567"/>
      <c r="S180" s="569"/>
      <c r="T180" s="592"/>
      <c r="U180" s="541"/>
      <c r="W180" s="29"/>
      <c r="X180" s="29"/>
      <c r="Y180" s="29"/>
      <c r="Z180" s="29"/>
      <c r="AA180" s="29"/>
      <c r="AB180" s="29"/>
      <c r="AC180" s="29"/>
    </row>
    <row r="181" spans="1:35" s="500" customFormat="1" ht="25" hidden="1" customHeight="1">
      <c r="A181" s="498"/>
      <c r="B181" s="548"/>
      <c r="C181" s="551"/>
      <c r="D181" s="551"/>
      <c r="E181" s="551"/>
      <c r="F181" s="551"/>
      <c r="G181" s="554"/>
      <c r="H181" s="557"/>
      <c r="I181" s="560"/>
      <c r="J181" s="499"/>
      <c r="K181" s="57">
        <f>+$K$15</f>
        <v>841116</v>
      </c>
      <c r="L181" s="543"/>
      <c r="M181" s="545"/>
      <c r="N181" s="563"/>
      <c r="O181" s="563"/>
      <c r="P181" s="566"/>
      <c r="Q181" s="545"/>
      <c r="R181" s="545"/>
      <c r="S181" s="570"/>
      <c r="T181" s="593"/>
      <c r="U181" s="541"/>
      <c r="W181" s="29"/>
      <c r="X181" s="29"/>
      <c r="Y181" s="29"/>
      <c r="Z181" s="29"/>
      <c r="AA181" s="29"/>
      <c r="AB181" s="29"/>
      <c r="AC181" s="29"/>
    </row>
    <row r="182" spans="1:35" ht="25" hidden="1" customHeight="1">
      <c r="A182" s="13"/>
      <c r="B182" s="580" t="str">
        <f>IF(S183=" "," ",IF(S183&gt;=$H$6,"CUMPLE CON LA EXPERIENCIA REQUERIDA","NO CUMPLE CON LA EXPERIENCIA REQUERIDA"))</f>
        <v>NO CUMPLE CON LA EXPERIENCIA REQUERIDA</v>
      </c>
      <c r="C182" s="581"/>
      <c r="D182" s="581"/>
      <c r="E182" s="581"/>
      <c r="F182" s="581"/>
      <c r="G182" s="581"/>
      <c r="H182" s="581"/>
      <c r="I182" s="581"/>
      <c r="J182" s="581"/>
      <c r="K182" s="581"/>
      <c r="L182" s="581"/>
      <c r="M182" s="581"/>
      <c r="N182" s="581"/>
      <c r="O182" s="582"/>
      <c r="P182" s="586" t="s">
        <v>46</v>
      </c>
      <c r="Q182" s="587"/>
      <c r="R182" s="588"/>
      <c r="S182" s="503">
        <f>IF(T167="SI",SUM(S167:S181),0)</f>
        <v>0</v>
      </c>
      <c r="T182" s="589" t="str">
        <f>IF(S183=" "," ",IF(S183&gt;=$H$6,"CUMPLE","NO CUMPLE"))</f>
        <v>NO CUMPLE</v>
      </c>
      <c r="AA182" s="29"/>
      <c r="AB182" s="29"/>
      <c r="AC182" s="29"/>
      <c r="AD182" s="500"/>
      <c r="AE182" s="500"/>
      <c r="AF182" s="500"/>
      <c r="AG182" s="500"/>
      <c r="AH182" s="500"/>
    </row>
    <row r="183" spans="1:35" s="500" customFormat="1" ht="25" hidden="1" customHeight="1">
      <c r="B183" s="583"/>
      <c r="C183" s="584"/>
      <c r="D183" s="584"/>
      <c r="E183" s="584"/>
      <c r="F183" s="584"/>
      <c r="G183" s="584"/>
      <c r="H183" s="584"/>
      <c r="I183" s="584"/>
      <c r="J183" s="584"/>
      <c r="K183" s="584"/>
      <c r="L183" s="584"/>
      <c r="M183" s="584"/>
      <c r="N183" s="584"/>
      <c r="O183" s="585"/>
      <c r="P183" s="586" t="s">
        <v>47</v>
      </c>
      <c r="Q183" s="587"/>
      <c r="R183" s="588"/>
      <c r="S183" s="503">
        <f>IFERROR((S182/$P$6)," ")</f>
        <v>0</v>
      </c>
      <c r="T183" s="590"/>
      <c r="W183" s="29"/>
      <c r="X183" s="29"/>
      <c r="Y183" s="29"/>
      <c r="Z183" s="29"/>
      <c r="AA183" s="29"/>
      <c r="AB183" s="29"/>
      <c r="AC183" s="29"/>
    </row>
    <row r="184" spans="1:35" ht="30" hidden="1" customHeight="1">
      <c r="AA184" s="29"/>
      <c r="AB184" s="29"/>
      <c r="AC184" s="29"/>
      <c r="AD184" s="500"/>
      <c r="AE184" s="500"/>
      <c r="AF184" s="500"/>
      <c r="AG184" s="500"/>
    </row>
    <row r="185" spans="1:35" ht="30" hidden="1" customHeight="1">
      <c r="AA185" s="29"/>
      <c r="AB185" s="29"/>
      <c r="AC185" s="29"/>
      <c r="AD185" s="500"/>
      <c r="AE185" s="500"/>
      <c r="AF185" s="500"/>
      <c r="AG185" s="500"/>
      <c r="AH185" s="500"/>
    </row>
    <row r="186" spans="1:35" ht="73.5" hidden="1" customHeight="1">
      <c r="B186" s="465">
        <v>9</v>
      </c>
      <c r="C186" s="601" t="s">
        <v>25</v>
      </c>
      <c r="D186" s="602"/>
      <c r="E186" s="603"/>
      <c r="F186" s="604">
        <f>IFERROR(VLOOKUP(B186,LISTA_OFERENTES,2,FALSE)," ")</f>
        <v>0</v>
      </c>
      <c r="G186" s="605"/>
      <c r="H186" s="605"/>
      <c r="I186" s="605"/>
      <c r="J186" s="605"/>
      <c r="K186" s="605"/>
      <c r="L186" s="605"/>
      <c r="M186" s="605"/>
      <c r="N186" s="605"/>
      <c r="O186" s="606"/>
      <c r="P186" s="607" t="s">
        <v>26</v>
      </c>
      <c r="Q186" s="608"/>
      <c r="R186" s="609"/>
      <c r="S186" s="491">
        <f>5-(INT(COUNTBLANK(C189:C203))-10)</f>
        <v>1</v>
      </c>
      <c r="AA186" s="29"/>
      <c r="AB186" s="29"/>
      <c r="AC186" s="29"/>
      <c r="AD186" s="500"/>
      <c r="AE186" s="500"/>
      <c r="AF186" s="500"/>
      <c r="AG186" s="500"/>
    </row>
    <row r="187" spans="1:35" s="501" customFormat="1" ht="30" hidden="1" customHeight="1">
      <c r="B187" s="610" t="s">
        <v>27</v>
      </c>
      <c r="C187" s="596" t="s">
        <v>28</v>
      </c>
      <c r="D187" s="596" t="s">
        <v>29</v>
      </c>
      <c r="E187" s="596" t="s">
        <v>30</v>
      </c>
      <c r="F187" s="596" t="s">
        <v>31</v>
      </c>
      <c r="G187" s="596" t="s">
        <v>32</v>
      </c>
      <c r="H187" s="596" t="s">
        <v>33</v>
      </c>
      <c r="I187" s="596" t="s">
        <v>34</v>
      </c>
      <c r="J187" s="594" t="s">
        <v>35</v>
      </c>
      <c r="K187" s="612"/>
      <c r="L187" s="612"/>
      <c r="M187" s="595"/>
      <c r="N187" s="596" t="s">
        <v>36</v>
      </c>
      <c r="O187" s="596" t="s">
        <v>37</v>
      </c>
      <c r="P187" s="594" t="s">
        <v>38</v>
      </c>
      <c r="Q187" s="595"/>
      <c r="R187" s="596" t="s">
        <v>39</v>
      </c>
      <c r="S187" s="596" t="s">
        <v>40</v>
      </c>
      <c r="T187"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187" s="596" t="str">
        <f>+$U$11</f>
        <v xml:space="preserve">VERIFICACIÓN CONDICIÓN DE EXPERIENCIA  </v>
      </c>
      <c r="V187" s="504"/>
      <c r="W187" s="29"/>
      <c r="X187" s="29"/>
      <c r="Y187" s="29"/>
      <c r="Z187" s="29"/>
      <c r="AA187" s="29"/>
      <c r="AB187" s="29"/>
      <c r="AC187" s="29"/>
      <c r="AD187" s="500"/>
      <c r="AE187" s="500"/>
      <c r="AF187" s="500"/>
      <c r="AG187" s="500"/>
      <c r="AH187" s="13"/>
    </row>
    <row r="188" spans="1:35" s="501" customFormat="1" ht="118.5" hidden="1" customHeight="1">
      <c r="B188" s="611"/>
      <c r="C188" s="597"/>
      <c r="D188" s="597"/>
      <c r="E188" s="597"/>
      <c r="F188" s="597"/>
      <c r="G188" s="597"/>
      <c r="H188" s="597"/>
      <c r="I188" s="597"/>
      <c r="J188" s="598" t="s">
        <v>43</v>
      </c>
      <c r="K188" s="599"/>
      <c r="L188" s="599"/>
      <c r="M188" s="600"/>
      <c r="N188" s="597"/>
      <c r="O188" s="597"/>
      <c r="P188" s="493" t="s">
        <v>10</v>
      </c>
      <c r="Q188" s="493" t="s">
        <v>44</v>
      </c>
      <c r="R188" s="597"/>
      <c r="S188" s="597"/>
      <c r="T188" s="597"/>
      <c r="U188" s="597"/>
      <c r="V188" s="504"/>
      <c r="W188" s="29"/>
      <c r="X188" s="29"/>
      <c r="Y188" s="29"/>
      <c r="Z188" s="29"/>
      <c r="AA188" s="29"/>
      <c r="AB188" s="29"/>
      <c r="AC188" s="29"/>
      <c r="AD188" s="500"/>
      <c r="AE188" s="500"/>
      <c r="AF188" s="500"/>
      <c r="AG188" s="500"/>
      <c r="AH188" s="13"/>
    </row>
    <row r="189" spans="1:35" s="500" customFormat="1" ht="25" hidden="1" customHeight="1">
      <c r="A189" s="498"/>
      <c r="B189" s="546">
        <v>1</v>
      </c>
      <c r="C189" s="549">
        <v>41</v>
      </c>
      <c r="D189" s="549">
        <v>115</v>
      </c>
      <c r="E189" s="549" t="s">
        <v>156</v>
      </c>
      <c r="F189" s="549" t="s">
        <v>157</v>
      </c>
      <c r="G189" s="552">
        <v>6155.56</v>
      </c>
      <c r="H189" s="555" t="s">
        <v>150</v>
      </c>
      <c r="I189" s="558">
        <v>0.5</v>
      </c>
      <c r="J189" s="499" t="s">
        <v>147</v>
      </c>
      <c r="K189" s="57">
        <f>+$K$13</f>
        <v>801016</v>
      </c>
      <c r="L189" s="499"/>
      <c r="M189" s="57">
        <f>+$M$13</f>
        <v>0</v>
      </c>
      <c r="N189" s="561" t="s">
        <v>151</v>
      </c>
      <c r="O189" s="561" t="s">
        <v>152</v>
      </c>
      <c r="P189" s="564"/>
      <c r="Q189" s="544" t="s">
        <v>153</v>
      </c>
      <c r="R189" s="544" t="s">
        <v>154</v>
      </c>
      <c r="S189" s="568">
        <f>IF(COUNTIF(J189:K191,"CUMPLE")&gt;=1,(G189*I189),0)* (IF(N189="PRESENTÓ CERTIFICADO",1,0))* (IF(O189="ACORDE A ITEM 5.2.2 (T.R.)",1,0) )* ( IF(OR(Q189="SIN OBSERVACIÓN", Q189="REQUERIMIENTOS SUBSANADOS"),1,0)) *(IF(OR(R189="NINGUNO", R189="CUMPLEN CON LO SOLICITADO"),1,0))</f>
        <v>3077.78</v>
      </c>
      <c r="T189" s="591" t="s">
        <v>155</v>
      </c>
      <c r="U189" s="541">
        <f>IF(COUNTIF(J189:K191,"CUMPLE")&gt;=1,1,0)</f>
        <v>1</v>
      </c>
      <c r="W189" s="29"/>
      <c r="X189" s="29"/>
      <c r="Y189" s="29"/>
      <c r="Z189" s="29"/>
      <c r="AD189" s="13"/>
      <c r="AE189" s="13"/>
      <c r="AF189" s="13"/>
      <c r="AG189" s="13"/>
      <c r="AH189" s="13"/>
      <c r="AI189" s="13"/>
    </row>
    <row r="190" spans="1:35" s="500" customFormat="1" ht="25" hidden="1" customHeight="1">
      <c r="A190" s="498"/>
      <c r="B190" s="547"/>
      <c r="C190" s="550"/>
      <c r="D190" s="550"/>
      <c r="E190" s="550"/>
      <c r="F190" s="550"/>
      <c r="G190" s="553"/>
      <c r="H190" s="556"/>
      <c r="I190" s="559"/>
      <c r="J190" s="499" t="s">
        <v>147</v>
      </c>
      <c r="K190" s="57">
        <f>+$K$14</f>
        <v>811015</v>
      </c>
      <c r="L190" s="542"/>
      <c r="M190" s="544">
        <f>+$M$14</f>
        <v>0</v>
      </c>
      <c r="N190" s="562"/>
      <c r="O190" s="562"/>
      <c r="P190" s="565"/>
      <c r="Q190" s="567"/>
      <c r="R190" s="567"/>
      <c r="S190" s="569"/>
      <c r="T190" s="592"/>
      <c r="U190" s="541"/>
      <c r="W190" s="29"/>
      <c r="X190" s="29"/>
      <c r="Y190" s="29"/>
      <c r="Z190" s="29"/>
      <c r="AD190" s="13"/>
      <c r="AE190" s="13"/>
      <c r="AF190" s="13"/>
      <c r="AG190" s="13"/>
      <c r="AH190" s="13"/>
      <c r="AI190" s="13"/>
    </row>
    <row r="191" spans="1:35" s="500" customFormat="1" ht="25" hidden="1" customHeight="1">
      <c r="A191" s="498"/>
      <c r="B191" s="548"/>
      <c r="C191" s="551"/>
      <c r="D191" s="551"/>
      <c r="E191" s="551"/>
      <c r="F191" s="551"/>
      <c r="G191" s="554"/>
      <c r="H191" s="557"/>
      <c r="I191" s="560"/>
      <c r="J191" s="499" t="s">
        <v>147</v>
      </c>
      <c r="K191" s="57">
        <f>+$K$15</f>
        <v>841116</v>
      </c>
      <c r="L191" s="543"/>
      <c r="M191" s="545"/>
      <c r="N191" s="563"/>
      <c r="O191" s="563"/>
      <c r="P191" s="566"/>
      <c r="Q191" s="545"/>
      <c r="R191" s="545"/>
      <c r="S191" s="570"/>
      <c r="T191" s="592"/>
      <c r="U191" s="541"/>
      <c r="W191" s="29"/>
      <c r="X191" s="29"/>
      <c r="Y191" s="29"/>
      <c r="Z191" s="29"/>
      <c r="AD191" s="13"/>
      <c r="AE191" s="13"/>
      <c r="AF191" s="13"/>
      <c r="AG191" s="13"/>
      <c r="AH191" s="13"/>
      <c r="AI191" s="13"/>
    </row>
    <row r="192" spans="1:35" s="500" customFormat="1" ht="25" hidden="1" customHeight="1">
      <c r="A192" s="498"/>
      <c r="B192" s="546">
        <v>2</v>
      </c>
      <c r="C192" s="571"/>
      <c r="D192" s="571"/>
      <c r="E192" s="571"/>
      <c r="F192" s="571"/>
      <c r="G192" s="574"/>
      <c r="H192" s="555"/>
      <c r="I192" s="577"/>
      <c r="J192" s="499"/>
      <c r="K192" s="57">
        <f>+$K$13</f>
        <v>801016</v>
      </c>
      <c r="L192" s="499"/>
      <c r="M192" s="57">
        <f>+$M$13</f>
        <v>0</v>
      </c>
      <c r="N192" s="561"/>
      <c r="O192" s="561"/>
      <c r="P192" s="564"/>
      <c r="Q192" s="544"/>
      <c r="R192" s="544"/>
      <c r="S192" s="568">
        <f>IF(COUNTIF(J192:K194,"CUMPLE")&gt;=1,(G192*I192),0)* (IF(N192="PRESENTÓ CERTIFICADO",1,0))* (IF(O192="ACORDE A ITEM 5.2.2 (T.R.)",1,0) )* ( IF(OR(Q192="SIN OBSERVACIÓN", Q192="REQUERIMIENTOS SUBSANADOS"),1,0)) *(IF(OR(R192="NINGUNO", R192="CUMPLEN CON LO SOLICITADO"),1,0))</f>
        <v>0</v>
      </c>
      <c r="T192" s="592"/>
      <c r="U192" s="541">
        <f>IF(COUNTIF(L192:M194,"CUMPLE")&gt;=1,1,0)</f>
        <v>0</v>
      </c>
      <c r="W192" s="29"/>
      <c r="X192" s="29"/>
      <c r="Y192" s="29"/>
      <c r="Z192" s="29"/>
      <c r="AD192" s="13"/>
      <c r="AE192" s="13"/>
      <c r="AF192" s="13"/>
      <c r="AG192" s="13"/>
      <c r="AH192" s="13"/>
      <c r="AI192" s="13"/>
    </row>
    <row r="193" spans="1:35" s="500" customFormat="1" ht="25" hidden="1" customHeight="1">
      <c r="A193" s="498"/>
      <c r="B193" s="547"/>
      <c r="C193" s="572"/>
      <c r="D193" s="572"/>
      <c r="E193" s="572"/>
      <c r="F193" s="572"/>
      <c r="G193" s="575"/>
      <c r="H193" s="556"/>
      <c r="I193" s="578"/>
      <c r="J193" s="499"/>
      <c r="K193" s="57">
        <f>+$K$14</f>
        <v>811015</v>
      </c>
      <c r="L193" s="542"/>
      <c r="M193" s="544">
        <f>+$M$14</f>
        <v>0</v>
      </c>
      <c r="N193" s="562"/>
      <c r="O193" s="562"/>
      <c r="P193" s="565"/>
      <c r="Q193" s="567"/>
      <c r="R193" s="567"/>
      <c r="S193" s="569"/>
      <c r="T193" s="592"/>
      <c r="U193" s="541"/>
      <c r="W193" s="29"/>
      <c r="X193" s="29"/>
      <c r="Y193" s="29"/>
      <c r="Z193" s="29"/>
      <c r="AD193" s="13"/>
      <c r="AE193" s="13"/>
      <c r="AF193" s="13"/>
      <c r="AG193" s="13"/>
      <c r="AH193" s="13"/>
      <c r="AI193" s="13"/>
    </row>
    <row r="194" spans="1:35" s="500" customFormat="1" ht="25" hidden="1" customHeight="1">
      <c r="A194" s="498"/>
      <c r="B194" s="548"/>
      <c r="C194" s="573"/>
      <c r="D194" s="573"/>
      <c r="E194" s="573"/>
      <c r="F194" s="573"/>
      <c r="G194" s="576"/>
      <c r="H194" s="557"/>
      <c r="I194" s="579"/>
      <c r="J194" s="499"/>
      <c r="K194" s="57">
        <f>+$K$15</f>
        <v>841116</v>
      </c>
      <c r="L194" s="543"/>
      <c r="M194" s="545"/>
      <c r="N194" s="563"/>
      <c r="O194" s="563"/>
      <c r="P194" s="566"/>
      <c r="Q194" s="545"/>
      <c r="R194" s="545"/>
      <c r="S194" s="570"/>
      <c r="T194" s="592"/>
      <c r="U194" s="541"/>
      <c r="W194" s="29"/>
      <c r="X194" s="29"/>
      <c r="Y194" s="29"/>
      <c r="Z194" s="29"/>
      <c r="AD194" s="13"/>
      <c r="AE194" s="13"/>
      <c r="AF194" s="13"/>
      <c r="AG194" s="13"/>
      <c r="AH194" s="13"/>
      <c r="AI194" s="13"/>
    </row>
    <row r="195" spans="1:35" s="500" customFormat="1" ht="25" hidden="1" customHeight="1">
      <c r="A195" s="498"/>
      <c r="B195" s="546">
        <v>3</v>
      </c>
      <c r="C195" s="549"/>
      <c r="D195" s="549"/>
      <c r="E195" s="549"/>
      <c r="F195" s="549"/>
      <c r="G195" s="552"/>
      <c r="H195" s="555"/>
      <c r="I195" s="558"/>
      <c r="J195" s="499"/>
      <c r="K195" s="57">
        <f>+$K$13</f>
        <v>801016</v>
      </c>
      <c r="L195" s="499"/>
      <c r="M195" s="57">
        <f>+$M$13</f>
        <v>0</v>
      </c>
      <c r="N195" s="561"/>
      <c r="O195" s="561"/>
      <c r="P195" s="564"/>
      <c r="Q195" s="544"/>
      <c r="R195" s="544"/>
      <c r="S195" s="568">
        <f>IF(COUNTIF(J195:K197,"CUMPLE")&gt;=1,(G195*I195),0)* (IF(N195="PRESENTÓ CERTIFICADO",1,0))* (IF(O195="ACORDE A ITEM 5.2.2 (T.R.)",1,0) )* ( IF(OR(Q195="SIN OBSERVACIÓN", Q195="REQUERIMIENTOS SUBSANADOS"),1,0)) *(IF(OR(R195="NINGUNO", R195="CUMPLEN CON LO SOLICITADO"),1,0))</f>
        <v>0</v>
      </c>
      <c r="T195" s="592"/>
      <c r="U195" s="541">
        <f>IF(COUNTIF(L195:M197,"CUMPLE")&gt;=1,1,0)</f>
        <v>0</v>
      </c>
      <c r="W195" s="29"/>
      <c r="X195" s="29"/>
      <c r="Y195" s="29"/>
      <c r="Z195" s="29"/>
      <c r="AA195" s="13"/>
      <c r="AB195" s="13"/>
      <c r="AC195" s="13"/>
      <c r="AD195" s="13"/>
      <c r="AE195" s="13"/>
      <c r="AF195" s="13"/>
      <c r="AG195" s="13"/>
      <c r="AH195" s="13"/>
      <c r="AI195" s="13"/>
    </row>
    <row r="196" spans="1:35" s="500" customFormat="1" ht="25" hidden="1" customHeight="1">
      <c r="A196" s="498"/>
      <c r="B196" s="547"/>
      <c r="C196" s="550"/>
      <c r="D196" s="550"/>
      <c r="E196" s="550"/>
      <c r="F196" s="550"/>
      <c r="G196" s="553"/>
      <c r="H196" s="556"/>
      <c r="I196" s="559"/>
      <c r="J196" s="499"/>
      <c r="K196" s="57">
        <f>+$K$14</f>
        <v>811015</v>
      </c>
      <c r="L196" s="542"/>
      <c r="M196" s="544">
        <f>+$M$14</f>
        <v>0</v>
      </c>
      <c r="N196" s="562"/>
      <c r="O196" s="562"/>
      <c r="P196" s="565"/>
      <c r="Q196" s="567"/>
      <c r="R196" s="567"/>
      <c r="S196" s="569"/>
      <c r="T196" s="592"/>
      <c r="U196" s="541"/>
      <c r="W196" s="29"/>
      <c r="X196" s="29"/>
      <c r="Y196" s="29"/>
      <c r="Z196" s="29"/>
      <c r="AH196" s="13"/>
      <c r="AI196" s="13"/>
    </row>
    <row r="197" spans="1:35" s="500" customFormat="1" ht="25" hidden="1" customHeight="1">
      <c r="A197" s="498"/>
      <c r="B197" s="548"/>
      <c r="C197" s="551"/>
      <c r="D197" s="551"/>
      <c r="E197" s="551"/>
      <c r="F197" s="551"/>
      <c r="G197" s="554"/>
      <c r="H197" s="557"/>
      <c r="I197" s="560"/>
      <c r="J197" s="499"/>
      <c r="K197" s="57">
        <f>+$K$15</f>
        <v>841116</v>
      </c>
      <c r="L197" s="543"/>
      <c r="M197" s="545"/>
      <c r="N197" s="563"/>
      <c r="O197" s="563"/>
      <c r="P197" s="566"/>
      <c r="Q197" s="545"/>
      <c r="R197" s="545"/>
      <c r="S197" s="570"/>
      <c r="T197" s="592"/>
      <c r="U197" s="541"/>
      <c r="W197" s="29"/>
      <c r="X197" s="29"/>
      <c r="Y197" s="29"/>
      <c r="Z197" s="29"/>
    </row>
    <row r="198" spans="1:35" s="500" customFormat="1" ht="25" hidden="1" customHeight="1">
      <c r="A198" s="498"/>
      <c r="B198" s="546">
        <v>4</v>
      </c>
      <c r="C198" s="571"/>
      <c r="D198" s="571"/>
      <c r="E198" s="571"/>
      <c r="F198" s="571"/>
      <c r="G198" s="574"/>
      <c r="H198" s="555"/>
      <c r="I198" s="577"/>
      <c r="J198" s="499"/>
      <c r="K198" s="57">
        <f>+$K$13</f>
        <v>801016</v>
      </c>
      <c r="L198" s="499"/>
      <c r="M198" s="57">
        <f>+$M$13</f>
        <v>0</v>
      </c>
      <c r="N198" s="561"/>
      <c r="O198" s="561"/>
      <c r="P198" s="564"/>
      <c r="Q198" s="544"/>
      <c r="R198" s="544"/>
      <c r="S198" s="568">
        <f>IF(COUNTIF(J198:K200,"CUMPLE")&gt;=1,(G198*I198),0)* (IF(N198="PRESENTÓ CERTIFICADO",1,0))* (IF(O198="ACORDE A ITEM 5.2.2 (T.R.)",1,0) )* ( IF(OR(Q198="SIN OBSERVACIÓN", Q198="REQUERIMIENTOS SUBSANADOS"),1,0)) *(IF(OR(R198="NINGUNO", R198="CUMPLEN CON LO SOLICITADO"),1,0))</f>
        <v>0</v>
      </c>
      <c r="T198" s="592"/>
      <c r="U198" s="541">
        <f>IF(COUNTIF(L198:M200,"CUMPLE")&gt;=1,1,0)</f>
        <v>0</v>
      </c>
      <c r="W198" s="29"/>
      <c r="X198" s="29"/>
      <c r="Y198" s="29"/>
      <c r="Z198" s="29"/>
      <c r="AA198" s="13"/>
      <c r="AB198" s="13"/>
      <c r="AC198" s="13"/>
      <c r="AD198" s="13"/>
      <c r="AE198" s="13"/>
      <c r="AF198" s="13"/>
      <c r="AG198" s="13"/>
    </row>
    <row r="199" spans="1:35" s="500" customFormat="1" ht="25" hidden="1" customHeight="1">
      <c r="A199" s="498"/>
      <c r="B199" s="547"/>
      <c r="C199" s="572"/>
      <c r="D199" s="572"/>
      <c r="E199" s="572"/>
      <c r="F199" s="572"/>
      <c r="G199" s="575"/>
      <c r="H199" s="556"/>
      <c r="I199" s="578"/>
      <c r="J199" s="499"/>
      <c r="K199" s="57">
        <f>+$K$14</f>
        <v>811015</v>
      </c>
      <c r="L199" s="542"/>
      <c r="M199" s="544">
        <f>+$M$14</f>
        <v>0</v>
      </c>
      <c r="N199" s="562"/>
      <c r="O199" s="562"/>
      <c r="P199" s="565"/>
      <c r="Q199" s="567"/>
      <c r="R199" s="567"/>
      <c r="S199" s="569"/>
      <c r="T199" s="592"/>
      <c r="U199" s="541"/>
      <c r="W199" s="29"/>
      <c r="X199" s="29"/>
      <c r="Y199" s="29"/>
      <c r="Z199" s="29"/>
      <c r="AA199" s="13"/>
      <c r="AB199" s="13"/>
      <c r="AC199" s="13"/>
      <c r="AD199" s="13"/>
      <c r="AE199" s="13"/>
      <c r="AF199" s="13"/>
      <c r="AG199" s="13"/>
    </row>
    <row r="200" spans="1:35" s="500" customFormat="1" ht="25" hidden="1" customHeight="1">
      <c r="A200" s="498"/>
      <c r="B200" s="548"/>
      <c r="C200" s="573"/>
      <c r="D200" s="573"/>
      <c r="E200" s="573"/>
      <c r="F200" s="573"/>
      <c r="G200" s="576"/>
      <c r="H200" s="557"/>
      <c r="I200" s="579"/>
      <c r="J200" s="499"/>
      <c r="K200" s="57">
        <f>+$K$15</f>
        <v>841116</v>
      </c>
      <c r="L200" s="543"/>
      <c r="M200" s="545"/>
      <c r="N200" s="563"/>
      <c r="O200" s="563"/>
      <c r="P200" s="566"/>
      <c r="Q200" s="545"/>
      <c r="R200" s="545"/>
      <c r="S200" s="570"/>
      <c r="T200" s="592"/>
      <c r="U200" s="541"/>
      <c r="W200" s="29"/>
      <c r="X200" s="29"/>
      <c r="Y200" s="29"/>
      <c r="Z200" s="29"/>
      <c r="AA200" s="29"/>
      <c r="AB200" s="29"/>
      <c r="AC200" s="29"/>
      <c r="AD200" s="501"/>
      <c r="AE200" s="501"/>
      <c r="AF200" s="501"/>
      <c r="AG200" s="501"/>
    </row>
    <row r="201" spans="1:35" s="500" customFormat="1" ht="25" hidden="1" customHeight="1">
      <c r="A201" s="498"/>
      <c r="B201" s="546">
        <v>5</v>
      </c>
      <c r="C201" s="549"/>
      <c r="D201" s="549"/>
      <c r="E201" s="549"/>
      <c r="F201" s="549"/>
      <c r="G201" s="552"/>
      <c r="H201" s="555"/>
      <c r="I201" s="558"/>
      <c r="J201" s="499"/>
      <c r="K201" s="57">
        <f>+$K$13</f>
        <v>801016</v>
      </c>
      <c r="L201" s="499"/>
      <c r="M201" s="57">
        <f>+$M$13</f>
        <v>0</v>
      </c>
      <c r="N201" s="561"/>
      <c r="O201" s="561"/>
      <c r="P201" s="564"/>
      <c r="Q201" s="544"/>
      <c r="R201" s="544"/>
      <c r="S201" s="568">
        <f>IF(COUNTIF(J201:K203,"CUMPLE")&gt;=1,(G201*I201),0)* (IF(N201="PRESENTÓ CERTIFICADO",1,0))* (IF(O201="ACORDE A ITEM 5.2.2 (T.R.)",1,0) )* ( IF(OR(Q201="SIN OBSERVACIÓN", Q201="REQUERIMIENTOS SUBSANADOS"),1,0)) *(IF(OR(R201="NINGUNO", R201="CUMPLEN CON LO SOLICITADO"),1,0))</f>
        <v>0</v>
      </c>
      <c r="T201" s="592"/>
      <c r="U201" s="541">
        <f>IF(COUNTIF(L201:M203,"CUMPLE")&gt;=1,1,0)</f>
        <v>0</v>
      </c>
      <c r="W201" s="29"/>
      <c r="X201" s="29"/>
      <c r="Y201" s="29"/>
      <c r="Z201" s="29"/>
      <c r="AA201" s="29"/>
      <c r="AB201" s="29"/>
      <c r="AC201" s="29"/>
      <c r="AD201" s="501"/>
      <c r="AE201" s="501"/>
      <c r="AF201" s="501"/>
      <c r="AG201" s="501"/>
    </row>
    <row r="202" spans="1:35" s="500" customFormat="1" ht="25" hidden="1" customHeight="1">
      <c r="A202" s="498"/>
      <c r="B202" s="547"/>
      <c r="C202" s="550"/>
      <c r="D202" s="550"/>
      <c r="E202" s="550"/>
      <c r="F202" s="550"/>
      <c r="G202" s="553"/>
      <c r="H202" s="556"/>
      <c r="I202" s="559"/>
      <c r="J202" s="499"/>
      <c r="K202" s="57">
        <f>+$K$14</f>
        <v>811015</v>
      </c>
      <c r="L202" s="542"/>
      <c r="M202" s="544">
        <f>+$M$14</f>
        <v>0</v>
      </c>
      <c r="N202" s="562"/>
      <c r="O202" s="562"/>
      <c r="P202" s="565"/>
      <c r="Q202" s="567"/>
      <c r="R202" s="567"/>
      <c r="S202" s="569"/>
      <c r="T202" s="592"/>
      <c r="U202" s="541"/>
      <c r="W202" s="29"/>
      <c r="X202" s="29"/>
      <c r="Y202" s="29"/>
      <c r="Z202" s="29"/>
      <c r="AA202" s="29"/>
      <c r="AB202" s="29"/>
      <c r="AC202" s="29"/>
    </row>
    <row r="203" spans="1:35" s="500" customFormat="1" ht="25" hidden="1" customHeight="1">
      <c r="A203" s="498"/>
      <c r="B203" s="548"/>
      <c r="C203" s="551"/>
      <c r="D203" s="551"/>
      <c r="E203" s="551"/>
      <c r="F203" s="551"/>
      <c r="G203" s="554"/>
      <c r="H203" s="557"/>
      <c r="I203" s="560"/>
      <c r="J203" s="499"/>
      <c r="K203" s="57">
        <f>+$K$15</f>
        <v>841116</v>
      </c>
      <c r="L203" s="543"/>
      <c r="M203" s="545"/>
      <c r="N203" s="563"/>
      <c r="O203" s="563"/>
      <c r="P203" s="566"/>
      <c r="Q203" s="545"/>
      <c r="R203" s="545"/>
      <c r="S203" s="570"/>
      <c r="T203" s="593"/>
      <c r="U203" s="541"/>
      <c r="W203" s="29"/>
      <c r="X203" s="29"/>
      <c r="Y203" s="29"/>
      <c r="Z203" s="29"/>
      <c r="AA203" s="29"/>
      <c r="AB203" s="29"/>
      <c r="AC203" s="29"/>
    </row>
    <row r="204" spans="1:35" ht="25" hidden="1" customHeight="1">
      <c r="A204" s="13"/>
      <c r="B204" s="580" t="str">
        <f>IF(S205=" "," ",IF(S205&gt;=$H$6,"CUMPLE CON LA EXPERIENCIA REQUERIDA","NO CUMPLE CON LA EXPERIENCIA REQUERIDA"))</f>
        <v>CUMPLE CON LA EXPERIENCIA REQUERIDA</v>
      </c>
      <c r="C204" s="581"/>
      <c r="D204" s="581"/>
      <c r="E204" s="581"/>
      <c r="F204" s="581"/>
      <c r="G204" s="581"/>
      <c r="H204" s="581"/>
      <c r="I204" s="581"/>
      <c r="J204" s="581"/>
      <c r="K204" s="581"/>
      <c r="L204" s="581"/>
      <c r="M204" s="581"/>
      <c r="N204" s="581"/>
      <c r="O204" s="582"/>
      <c r="P204" s="586" t="s">
        <v>46</v>
      </c>
      <c r="Q204" s="587"/>
      <c r="R204" s="588"/>
      <c r="S204" s="503">
        <f>IF(T189="SI",SUM(S189:S203),0)</f>
        <v>3077.78</v>
      </c>
      <c r="T204" s="589" t="str">
        <f>IF(S205=" "," ",IF(S205&gt;=$H$6,"CUMPLE","NO CUMPLE"))</f>
        <v>CUMPLE</v>
      </c>
      <c r="AA204" s="29"/>
      <c r="AB204" s="29"/>
      <c r="AC204" s="29"/>
      <c r="AD204" s="500"/>
      <c r="AE204" s="500"/>
      <c r="AF204" s="500"/>
      <c r="AG204" s="500"/>
      <c r="AH204" s="500"/>
    </row>
    <row r="205" spans="1:35" s="500" customFormat="1" ht="25" hidden="1" customHeight="1">
      <c r="B205" s="583"/>
      <c r="C205" s="584"/>
      <c r="D205" s="584"/>
      <c r="E205" s="584"/>
      <c r="F205" s="584"/>
      <c r="G205" s="584"/>
      <c r="H205" s="584"/>
      <c r="I205" s="584"/>
      <c r="J205" s="584"/>
      <c r="K205" s="584"/>
      <c r="L205" s="584"/>
      <c r="M205" s="584"/>
      <c r="N205" s="584"/>
      <c r="O205" s="585"/>
      <c r="P205" s="586" t="s">
        <v>47</v>
      </c>
      <c r="Q205" s="587"/>
      <c r="R205" s="588"/>
      <c r="S205" s="503">
        <f>IFERROR((S204/$P$6)," ")</f>
        <v>4.1591621621621622</v>
      </c>
      <c r="T205" s="590"/>
      <c r="W205" s="29"/>
      <c r="X205" s="29"/>
      <c r="Y205" s="29"/>
      <c r="Z205" s="29"/>
      <c r="AA205" s="29"/>
      <c r="AB205" s="29"/>
      <c r="AC205" s="29"/>
    </row>
    <row r="206" spans="1:35" ht="30" hidden="1" customHeight="1">
      <c r="AA206" s="29"/>
      <c r="AB206" s="29"/>
      <c r="AC206" s="29"/>
      <c r="AD206" s="500"/>
      <c r="AE206" s="500"/>
      <c r="AF206" s="500"/>
      <c r="AG206" s="500"/>
    </row>
    <row r="207" spans="1:35" ht="30" hidden="1" customHeight="1">
      <c r="AA207" s="29"/>
      <c r="AB207" s="29"/>
      <c r="AC207" s="29"/>
      <c r="AD207" s="500"/>
      <c r="AE207" s="500"/>
      <c r="AF207" s="500"/>
      <c r="AG207" s="500"/>
      <c r="AH207" s="500"/>
    </row>
    <row r="208" spans="1:35" hidden="1">
      <c r="B208" s="465">
        <v>10</v>
      </c>
      <c r="C208" s="601" t="s">
        <v>25</v>
      </c>
      <c r="D208" s="602"/>
      <c r="E208" s="603"/>
      <c r="F208" s="604">
        <f>IFERROR(VLOOKUP(B208,LISTA_OFERENTES,2,FALSE)," ")</f>
        <v>0</v>
      </c>
      <c r="G208" s="605"/>
      <c r="H208" s="605"/>
      <c r="I208" s="605"/>
      <c r="J208" s="605"/>
      <c r="K208" s="605"/>
      <c r="L208" s="605"/>
      <c r="M208" s="605"/>
      <c r="N208" s="605"/>
      <c r="O208" s="606"/>
      <c r="P208" s="607" t="s">
        <v>26</v>
      </c>
      <c r="Q208" s="608"/>
      <c r="R208" s="609"/>
      <c r="S208" s="491">
        <f>5-(INT(COUNTBLANK(C211:C225))-10)</f>
        <v>0</v>
      </c>
    </row>
    <row r="209" spans="2:21" ht="54" hidden="1" customHeight="1">
      <c r="B209" s="610" t="s">
        <v>27</v>
      </c>
      <c r="C209" s="596" t="s">
        <v>28</v>
      </c>
      <c r="D209" s="596" t="s">
        <v>29</v>
      </c>
      <c r="E209" s="596" t="s">
        <v>30</v>
      </c>
      <c r="F209" s="596" t="s">
        <v>31</v>
      </c>
      <c r="G209" s="596" t="s">
        <v>32</v>
      </c>
      <c r="H209" s="596" t="s">
        <v>33</v>
      </c>
      <c r="I209" s="596" t="s">
        <v>34</v>
      </c>
      <c r="J209" s="594" t="s">
        <v>35</v>
      </c>
      <c r="K209" s="612"/>
      <c r="L209" s="612"/>
      <c r="M209" s="595"/>
      <c r="N209" s="596" t="s">
        <v>36</v>
      </c>
      <c r="O209" s="596" t="s">
        <v>37</v>
      </c>
      <c r="P209" s="594" t="s">
        <v>38</v>
      </c>
      <c r="Q209" s="595"/>
      <c r="R209" s="596" t="s">
        <v>39</v>
      </c>
      <c r="S209" s="596" t="s">
        <v>40</v>
      </c>
      <c r="T209"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209" s="596" t="str">
        <f>+$U$11</f>
        <v xml:space="preserve">VERIFICACIÓN CONDICIÓN DE EXPERIENCIA  </v>
      </c>
    </row>
    <row r="210" spans="2:21" ht="51" hidden="1" customHeight="1">
      <c r="B210" s="611"/>
      <c r="C210" s="597"/>
      <c r="D210" s="597"/>
      <c r="E210" s="597"/>
      <c r="F210" s="597"/>
      <c r="G210" s="597"/>
      <c r="H210" s="597"/>
      <c r="I210" s="597"/>
      <c r="J210" s="598" t="s">
        <v>43</v>
      </c>
      <c r="K210" s="599"/>
      <c r="L210" s="599"/>
      <c r="M210" s="600"/>
      <c r="N210" s="597"/>
      <c r="O210" s="597"/>
      <c r="P210" s="493" t="s">
        <v>10</v>
      </c>
      <c r="Q210" s="493" t="s">
        <v>44</v>
      </c>
      <c r="R210" s="597"/>
      <c r="S210" s="597"/>
      <c r="T210" s="597"/>
      <c r="U210" s="597"/>
    </row>
    <row r="211" spans="2:21" ht="25.5" hidden="1" customHeight="1">
      <c r="B211" s="546">
        <v>1</v>
      </c>
      <c r="C211" s="549"/>
      <c r="D211" s="549"/>
      <c r="E211" s="549"/>
      <c r="F211" s="549"/>
      <c r="G211" s="552"/>
      <c r="H211" s="555"/>
      <c r="I211" s="558"/>
      <c r="J211" s="499"/>
      <c r="K211" s="57">
        <f>+$K$13</f>
        <v>801016</v>
      </c>
      <c r="L211" s="499"/>
      <c r="M211" s="57">
        <f>+$M$13</f>
        <v>0</v>
      </c>
      <c r="N211" s="561"/>
      <c r="O211" s="561"/>
      <c r="P211" s="564"/>
      <c r="Q211" s="544"/>
      <c r="R211" s="544"/>
      <c r="S211" s="568">
        <f>IF(COUNTIF(J211:K213,"CUMPLE")&gt;=1,(G211*I211),0)* (IF(N211="PRESENTÓ CERTIFICADO",1,0))* (IF(O211="ACORDE A ITEM 5.2.2 (T.R.)",1,0) )* ( IF(OR(Q211="SIN OBSERVACIÓN", Q211="REQUERIMIENTOS SUBSANADOS"),1,0)) *(IF(OR(R211="NINGUNO", R211="CUMPLEN CON LO SOLICITADO"),1,0))</f>
        <v>0</v>
      </c>
      <c r="T211" s="591"/>
      <c r="U211" s="541">
        <f>IF(COUNTIF(J211:K213,"CUMPLE")&gt;=1,1,0)</f>
        <v>0</v>
      </c>
    </row>
    <row r="212" spans="2:21" ht="25.5" hidden="1" customHeight="1">
      <c r="B212" s="547"/>
      <c r="C212" s="550"/>
      <c r="D212" s="550"/>
      <c r="E212" s="550"/>
      <c r="F212" s="550"/>
      <c r="G212" s="553"/>
      <c r="H212" s="556"/>
      <c r="I212" s="559"/>
      <c r="J212" s="499"/>
      <c r="K212" s="57">
        <f>+$K$14</f>
        <v>811015</v>
      </c>
      <c r="L212" s="542"/>
      <c r="M212" s="544">
        <f>+$M$14</f>
        <v>0</v>
      </c>
      <c r="N212" s="562"/>
      <c r="O212" s="562"/>
      <c r="P212" s="565"/>
      <c r="Q212" s="567"/>
      <c r="R212" s="567"/>
      <c r="S212" s="569"/>
      <c r="T212" s="592"/>
      <c r="U212" s="541"/>
    </row>
    <row r="213" spans="2:21" ht="25.5" hidden="1" customHeight="1">
      <c r="B213" s="548"/>
      <c r="C213" s="551"/>
      <c r="D213" s="551"/>
      <c r="E213" s="551"/>
      <c r="F213" s="551"/>
      <c r="G213" s="554"/>
      <c r="H213" s="557"/>
      <c r="I213" s="560"/>
      <c r="J213" s="499"/>
      <c r="K213" s="57">
        <f>+$K$15</f>
        <v>841116</v>
      </c>
      <c r="L213" s="543"/>
      <c r="M213" s="545"/>
      <c r="N213" s="563"/>
      <c r="O213" s="563"/>
      <c r="P213" s="566"/>
      <c r="Q213" s="545"/>
      <c r="R213" s="545"/>
      <c r="S213" s="570"/>
      <c r="T213" s="592"/>
      <c r="U213" s="541"/>
    </row>
    <row r="214" spans="2:21" ht="25.5" hidden="1" customHeight="1">
      <c r="B214" s="546">
        <v>2</v>
      </c>
      <c r="C214" s="571"/>
      <c r="D214" s="571"/>
      <c r="E214" s="571"/>
      <c r="F214" s="571"/>
      <c r="G214" s="574"/>
      <c r="H214" s="555"/>
      <c r="I214" s="577"/>
      <c r="J214" s="499"/>
      <c r="K214" s="57">
        <f>+$K$13</f>
        <v>801016</v>
      </c>
      <c r="L214" s="499"/>
      <c r="M214" s="57">
        <f>+$M$13</f>
        <v>0</v>
      </c>
      <c r="N214" s="561"/>
      <c r="O214" s="561"/>
      <c r="P214" s="564"/>
      <c r="Q214" s="544"/>
      <c r="R214" s="544"/>
      <c r="S214" s="568">
        <f>IF(COUNTIF(J214:K216,"CUMPLE")&gt;=1,(G214*I214),0)* (IF(N214="PRESENTÓ CERTIFICADO",1,0))* (IF(O214="ACORDE A ITEM 5.2.2 (T.R.)",1,0) )* ( IF(OR(Q214="SIN OBSERVACIÓN", Q214="REQUERIMIENTOS SUBSANADOS"),1,0)) *(IF(OR(R214="NINGUNO", R214="CUMPLEN CON LO SOLICITADO"),1,0))</f>
        <v>0</v>
      </c>
      <c r="T214" s="592"/>
      <c r="U214" s="541">
        <f>IF(COUNTIF(L214:M216,"CUMPLE")&gt;=1,1,0)</f>
        <v>0</v>
      </c>
    </row>
    <row r="215" spans="2:21" ht="25.5" hidden="1" customHeight="1">
      <c r="B215" s="547"/>
      <c r="C215" s="572"/>
      <c r="D215" s="572"/>
      <c r="E215" s="572"/>
      <c r="F215" s="572"/>
      <c r="G215" s="575"/>
      <c r="H215" s="556"/>
      <c r="I215" s="578"/>
      <c r="J215" s="499"/>
      <c r="K215" s="57">
        <f>+$K$14</f>
        <v>811015</v>
      </c>
      <c r="L215" s="542"/>
      <c r="M215" s="544">
        <f>+$M$14</f>
        <v>0</v>
      </c>
      <c r="N215" s="562"/>
      <c r="O215" s="562"/>
      <c r="P215" s="565"/>
      <c r="Q215" s="567"/>
      <c r="R215" s="567"/>
      <c r="S215" s="569"/>
      <c r="T215" s="592"/>
      <c r="U215" s="541"/>
    </row>
    <row r="216" spans="2:21" ht="25.5" hidden="1" customHeight="1">
      <c r="B216" s="548"/>
      <c r="C216" s="573"/>
      <c r="D216" s="573"/>
      <c r="E216" s="573"/>
      <c r="F216" s="573"/>
      <c r="G216" s="576"/>
      <c r="H216" s="557"/>
      <c r="I216" s="579"/>
      <c r="J216" s="499"/>
      <c r="K216" s="57">
        <f>+$K$15</f>
        <v>841116</v>
      </c>
      <c r="L216" s="543"/>
      <c r="M216" s="545"/>
      <c r="N216" s="563"/>
      <c r="O216" s="563"/>
      <c r="P216" s="566"/>
      <c r="Q216" s="545"/>
      <c r="R216" s="545"/>
      <c r="S216" s="570"/>
      <c r="T216" s="592"/>
      <c r="U216" s="541"/>
    </row>
    <row r="217" spans="2:21" ht="25.5" hidden="1" customHeight="1">
      <c r="B217" s="546">
        <v>3</v>
      </c>
      <c r="C217" s="549"/>
      <c r="D217" s="549"/>
      <c r="E217" s="549"/>
      <c r="F217" s="549"/>
      <c r="G217" s="552"/>
      <c r="H217" s="555"/>
      <c r="I217" s="558"/>
      <c r="J217" s="499"/>
      <c r="K217" s="57">
        <f>+$K$13</f>
        <v>801016</v>
      </c>
      <c r="L217" s="499"/>
      <c r="M217" s="57">
        <f>+$M$13</f>
        <v>0</v>
      </c>
      <c r="N217" s="561"/>
      <c r="O217" s="561"/>
      <c r="P217" s="564"/>
      <c r="Q217" s="544"/>
      <c r="R217" s="544"/>
      <c r="S217" s="568">
        <f>IF(COUNTIF(J217:K219,"CUMPLE")&gt;=1,(G217*I217),0)* (IF(N217="PRESENTÓ CERTIFICADO",1,0))* (IF(O217="ACORDE A ITEM 5.2.2 (T.R.)",1,0) )* ( IF(OR(Q217="SIN OBSERVACIÓN", Q217="REQUERIMIENTOS SUBSANADOS"),1,0)) *(IF(OR(R217="NINGUNO", R217="CUMPLEN CON LO SOLICITADO"),1,0))</f>
        <v>0</v>
      </c>
      <c r="T217" s="592"/>
      <c r="U217" s="541">
        <f>IF(COUNTIF(L217:M219,"CUMPLE")&gt;=1,1,0)</f>
        <v>0</v>
      </c>
    </row>
    <row r="218" spans="2:21" ht="25.5" hidden="1" customHeight="1">
      <c r="B218" s="547"/>
      <c r="C218" s="550"/>
      <c r="D218" s="550"/>
      <c r="E218" s="550"/>
      <c r="F218" s="550"/>
      <c r="G218" s="553"/>
      <c r="H218" s="556"/>
      <c r="I218" s="559"/>
      <c r="J218" s="499"/>
      <c r="K218" s="57">
        <f>+$K$14</f>
        <v>811015</v>
      </c>
      <c r="L218" s="542"/>
      <c r="M218" s="544">
        <f>+$M$14</f>
        <v>0</v>
      </c>
      <c r="N218" s="562"/>
      <c r="O218" s="562"/>
      <c r="P218" s="565"/>
      <c r="Q218" s="567"/>
      <c r="R218" s="567"/>
      <c r="S218" s="569"/>
      <c r="T218" s="592"/>
      <c r="U218" s="541"/>
    </row>
    <row r="219" spans="2:21" ht="25.5" hidden="1" customHeight="1">
      <c r="B219" s="548"/>
      <c r="C219" s="551"/>
      <c r="D219" s="551"/>
      <c r="E219" s="551"/>
      <c r="F219" s="551"/>
      <c r="G219" s="554"/>
      <c r="H219" s="557"/>
      <c r="I219" s="560"/>
      <c r="J219" s="499"/>
      <c r="K219" s="57">
        <f>+$K$15</f>
        <v>841116</v>
      </c>
      <c r="L219" s="543"/>
      <c r="M219" s="545"/>
      <c r="N219" s="563"/>
      <c r="O219" s="563"/>
      <c r="P219" s="566"/>
      <c r="Q219" s="545"/>
      <c r="R219" s="545"/>
      <c r="S219" s="570"/>
      <c r="T219" s="592"/>
      <c r="U219" s="541"/>
    </row>
    <row r="220" spans="2:21" ht="25.5" hidden="1" customHeight="1">
      <c r="B220" s="546">
        <v>4</v>
      </c>
      <c r="C220" s="571"/>
      <c r="D220" s="571"/>
      <c r="E220" s="571"/>
      <c r="F220" s="571"/>
      <c r="G220" s="574"/>
      <c r="H220" s="555"/>
      <c r="I220" s="577"/>
      <c r="J220" s="499"/>
      <c r="K220" s="57">
        <f>+$K$13</f>
        <v>801016</v>
      </c>
      <c r="L220" s="499"/>
      <c r="M220" s="57">
        <f>+$M$13</f>
        <v>0</v>
      </c>
      <c r="N220" s="561"/>
      <c r="O220" s="561"/>
      <c r="P220" s="564"/>
      <c r="Q220" s="544"/>
      <c r="R220" s="544"/>
      <c r="S220" s="568">
        <f>IF(COUNTIF(J220:K222,"CUMPLE")&gt;=1,(G220*I220),0)* (IF(N220="PRESENTÓ CERTIFICADO",1,0))* (IF(O220="ACORDE A ITEM 5.2.2 (T.R.)",1,0) )* ( IF(OR(Q220="SIN OBSERVACIÓN", Q220="REQUERIMIENTOS SUBSANADOS"),1,0)) *(IF(OR(R220="NINGUNO", R220="CUMPLEN CON LO SOLICITADO"),1,0))</f>
        <v>0</v>
      </c>
      <c r="T220" s="592"/>
      <c r="U220" s="541">
        <f>IF(COUNTIF(L220:M222,"CUMPLE")&gt;=1,1,0)</f>
        <v>0</v>
      </c>
    </row>
    <row r="221" spans="2:21" ht="25.5" hidden="1" customHeight="1">
      <c r="B221" s="547"/>
      <c r="C221" s="572"/>
      <c r="D221" s="572"/>
      <c r="E221" s="572"/>
      <c r="F221" s="572"/>
      <c r="G221" s="575"/>
      <c r="H221" s="556"/>
      <c r="I221" s="578"/>
      <c r="J221" s="499"/>
      <c r="K221" s="57">
        <f>+$K$14</f>
        <v>811015</v>
      </c>
      <c r="L221" s="542"/>
      <c r="M221" s="544">
        <f>+$M$14</f>
        <v>0</v>
      </c>
      <c r="N221" s="562"/>
      <c r="O221" s="562"/>
      <c r="P221" s="565"/>
      <c r="Q221" s="567"/>
      <c r="R221" s="567"/>
      <c r="S221" s="569"/>
      <c r="T221" s="592"/>
      <c r="U221" s="541"/>
    </row>
    <row r="222" spans="2:21" ht="25.5" hidden="1" customHeight="1">
      <c r="B222" s="548"/>
      <c r="C222" s="573"/>
      <c r="D222" s="573"/>
      <c r="E222" s="573"/>
      <c r="F222" s="573"/>
      <c r="G222" s="576"/>
      <c r="H222" s="557"/>
      <c r="I222" s="579"/>
      <c r="J222" s="499"/>
      <c r="K222" s="57">
        <f>+$K$15</f>
        <v>841116</v>
      </c>
      <c r="L222" s="543"/>
      <c r="M222" s="545"/>
      <c r="N222" s="563"/>
      <c r="O222" s="563"/>
      <c r="P222" s="566"/>
      <c r="Q222" s="545"/>
      <c r="R222" s="545"/>
      <c r="S222" s="570"/>
      <c r="T222" s="592"/>
      <c r="U222" s="541"/>
    </row>
    <row r="223" spans="2:21" ht="25.5" hidden="1" customHeight="1">
      <c r="B223" s="546">
        <v>5</v>
      </c>
      <c r="C223" s="549"/>
      <c r="D223" s="549"/>
      <c r="E223" s="549"/>
      <c r="F223" s="549"/>
      <c r="G223" s="552"/>
      <c r="H223" s="555"/>
      <c r="I223" s="558"/>
      <c r="J223" s="499"/>
      <c r="K223" s="57">
        <f>+$K$13</f>
        <v>801016</v>
      </c>
      <c r="L223" s="499"/>
      <c r="M223" s="57">
        <f>+$M$13</f>
        <v>0</v>
      </c>
      <c r="N223" s="561"/>
      <c r="O223" s="561"/>
      <c r="P223" s="564"/>
      <c r="Q223" s="544"/>
      <c r="R223" s="544"/>
      <c r="S223" s="568">
        <f>IF(COUNTIF(J223:K225,"CUMPLE")&gt;=1,(G223*I223),0)* (IF(N223="PRESENTÓ CERTIFICADO",1,0))* (IF(O223="ACORDE A ITEM 5.2.2 (T.R.)",1,0) )* ( IF(OR(Q223="SIN OBSERVACIÓN", Q223="REQUERIMIENTOS SUBSANADOS"),1,0)) *(IF(OR(R223="NINGUNO", R223="CUMPLEN CON LO SOLICITADO"),1,0))</f>
        <v>0</v>
      </c>
      <c r="T223" s="592"/>
      <c r="U223" s="541">
        <f>IF(COUNTIF(L223:M225,"CUMPLE")&gt;=1,1,0)</f>
        <v>0</v>
      </c>
    </row>
    <row r="224" spans="2:21" ht="25.5" hidden="1" customHeight="1">
      <c r="B224" s="547"/>
      <c r="C224" s="550"/>
      <c r="D224" s="550"/>
      <c r="E224" s="550"/>
      <c r="F224" s="550"/>
      <c r="G224" s="553"/>
      <c r="H224" s="556"/>
      <c r="I224" s="559"/>
      <c r="J224" s="499"/>
      <c r="K224" s="57">
        <f>+$K$14</f>
        <v>811015</v>
      </c>
      <c r="L224" s="542"/>
      <c r="M224" s="544">
        <f>+$M$14</f>
        <v>0</v>
      </c>
      <c r="N224" s="562"/>
      <c r="O224" s="562"/>
      <c r="P224" s="565"/>
      <c r="Q224" s="567"/>
      <c r="R224" s="567"/>
      <c r="S224" s="569"/>
      <c r="T224" s="592"/>
      <c r="U224" s="541"/>
    </row>
    <row r="225" spans="2:21" ht="25.5" hidden="1" customHeight="1">
      <c r="B225" s="548"/>
      <c r="C225" s="551"/>
      <c r="D225" s="551"/>
      <c r="E225" s="551"/>
      <c r="F225" s="551"/>
      <c r="G225" s="554"/>
      <c r="H225" s="557"/>
      <c r="I225" s="560"/>
      <c r="J225" s="499"/>
      <c r="K225" s="57">
        <f>+$K$15</f>
        <v>841116</v>
      </c>
      <c r="L225" s="543"/>
      <c r="M225" s="545"/>
      <c r="N225" s="563"/>
      <c r="O225" s="563"/>
      <c r="P225" s="566"/>
      <c r="Q225" s="545"/>
      <c r="R225" s="545"/>
      <c r="S225" s="570"/>
      <c r="T225" s="593"/>
      <c r="U225" s="541"/>
    </row>
    <row r="226" spans="2:21" ht="18" hidden="1" customHeight="1">
      <c r="B226" s="580" t="str">
        <f>IF(S227=" "," ",IF(S227&gt;=$H$6,"CUMPLE CON LA EXPERIENCIA REQUERIDA","NO CUMPLE CON LA EXPERIENCIA REQUERIDA"))</f>
        <v>NO CUMPLE CON LA EXPERIENCIA REQUERIDA</v>
      </c>
      <c r="C226" s="581"/>
      <c r="D226" s="581"/>
      <c r="E226" s="581"/>
      <c r="F226" s="581"/>
      <c r="G226" s="581"/>
      <c r="H226" s="581"/>
      <c r="I226" s="581"/>
      <c r="J226" s="581"/>
      <c r="K226" s="581"/>
      <c r="L226" s="581"/>
      <c r="M226" s="581"/>
      <c r="N226" s="581"/>
      <c r="O226" s="582"/>
      <c r="P226" s="586" t="s">
        <v>46</v>
      </c>
      <c r="Q226" s="587"/>
      <c r="R226" s="588"/>
      <c r="S226" s="503">
        <f>IF(T211="SI",SUM(S211:S225),0)</f>
        <v>0</v>
      </c>
      <c r="T226" s="589" t="str">
        <f>IF(S227=" "," ",IF(S227&gt;=$H$6,"CUMPLE","NO CUMPLE"))</f>
        <v>NO CUMPLE</v>
      </c>
    </row>
    <row r="227" spans="2:21" ht="18" hidden="1" customHeight="1">
      <c r="B227" s="583"/>
      <c r="C227" s="584"/>
      <c r="D227" s="584"/>
      <c r="E227" s="584"/>
      <c r="F227" s="584"/>
      <c r="G227" s="584"/>
      <c r="H227" s="584"/>
      <c r="I227" s="584"/>
      <c r="J227" s="584"/>
      <c r="K227" s="584"/>
      <c r="L227" s="584"/>
      <c r="M227" s="584"/>
      <c r="N227" s="584"/>
      <c r="O227" s="585"/>
      <c r="P227" s="586" t="s">
        <v>47</v>
      </c>
      <c r="Q227" s="587"/>
      <c r="R227" s="588"/>
      <c r="S227" s="503">
        <f>IFERROR((S226/$P$6)," ")</f>
        <v>0</v>
      </c>
      <c r="T227" s="590"/>
      <c r="U227" s="500"/>
    </row>
    <row r="228" spans="2:21" hidden="1"/>
    <row r="229" spans="2:21" hidden="1"/>
    <row r="230" spans="2:21" hidden="1">
      <c r="B230" s="465">
        <v>11</v>
      </c>
      <c r="C230" s="601" t="s">
        <v>25</v>
      </c>
      <c r="D230" s="602"/>
      <c r="E230" s="603"/>
      <c r="F230" s="604">
        <f>IFERROR(VLOOKUP(B230,LISTA_OFERENTES,2,FALSE)," ")</f>
        <v>0</v>
      </c>
      <c r="G230" s="605"/>
      <c r="H230" s="605"/>
      <c r="I230" s="605"/>
      <c r="J230" s="605"/>
      <c r="K230" s="605"/>
      <c r="L230" s="605"/>
      <c r="M230" s="605"/>
      <c r="N230" s="605"/>
      <c r="O230" s="606"/>
      <c r="P230" s="607" t="s">
        <v>26</v>
      </c>
      <c r="Q230" s="608"/>
      <c r="R230" s="609"/>
      <c r="S230" s="491">
        <f>5-(INT(COUNTBLANK(C233:C247))-10)</f>
        <v>0</v>
      </c>
    </row>
    <row r="231" spans="2:21" ht="41.25" hidden="1" customHeight="1">
      <c r="B231" s="610" t="s">
        <v>27</v>
      </c>
      <c r="C231" s="596" t="s">
        <v>28</v>
      </c>
      <c r="D231" s="596" t="s">
        <v>29</v>
      </c>
      <c r="E231" s="596" t="s">
        <v>30</v>
      </c>
      <c r="F231" s="596" t="s">
        <v>31</v>
      </c>
      <c r="G231" s="596" t="s">
        <v>32</v>
      </c>
      <c r="H231" s="596" t="s">
        <v>33</v>
      </c>
      <c r="I231" s="596" t="s">
        <v>34</v>
      </c>
      <c r="J231" s="594" t="s">
        <v>35</v>
      </c>
      <c r="K231" s="612"/>
      <c r="L231" s="612"/>
      <c r="M231" s="595"/>
      <c r="N231" s="596" t="s">
        <v>36</v>
      </c>
      <c r="O231" s="596" t="s">
        <v>37</v>
      </c>
      <c r="P231" s="594" t="s">
        <v>38</v>
      </c>
      <c r="Q231" s="595"/>
      <c r="R231" s="596" t="s">
        <v>39</v>
      </c>
      <c r="S231" s="596" t="s">
        <v>40</v>
      </c>
      <c r="T231"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231" s="596" t="str">
        <f>+$U$11</f>
        <v xml:space="preserve">VERIFICACIÓN CONDICIÓN DE EXPERIENCIA  </v>
      </c>
    </row>
    <row r="232" spans="2:21" ht="63" hidden="1" customHeight="1">
      <c r="B232" s="611"/>
      <c r="C232" s="597"/>
      <c r="D232" s="597"/>
      <c r="E232" s="597"/>
      <c r="F232" s="597"/>
      <c r="G232" s="597"/>
      <c r="H232" s="597"/>
      <c r="I232" s="597"/>
      <c r="J232" s="598" t="s">
        <v>43</v>
      </c>
      <c r="K232" s="599"/>
      <c r="L232" s="599"/>
      <c r="M232" s="600"/>
      <c r="N232" s="597"/>
      <c r="O232" s="597"/>
      <c r="P232" s="493" t="s">
        <v>10</v>
      </c>
      <c r="Q232" s="493" t="s">
        <v>44</v>
      </c>
      <c r="R232" s="597"/>
      <c r="S232" s="597"/>
      <c r="T232" s="597"/>
      <c r="U232" s="597"/>
    </row>
    <row r="233" spans="2:21" ht="21.75" hidden="1" customHeight="1">
      <c r="B233" s="546">
        <v>1</v>
      </c>
      <c r="C233" s="549"/>
      <c r="D233" s="549"/>
      <c r="E233" s="549"/>
      <c r="F233" s="549"/>
      <c r="G233" s="552"/>
      <c r="H233" s="555"/>
      <c r="I233" s="558"/>
      <c r="J233" s="499"/>
      <c r="K233" s="57">
        <f>+$K$13</f>
        <v>801016</v>
      </c>
      <c r="L233" s="499"/>
      <c r="M233" s="57">
        <f>+$M$13</f>
        <v>0</v>
      </c>
      <c r="N233" s="561"/>
      <c r="O233" s="561"/>
      <c r="P233" s="564"/>
      <c r="Q233" s="544"/>
      <c r="R233" s="544"/>
      <c r="S233" s="568">
        <f>IF(COUNTIF(J233:K235,"CUMPLE")&gt;=1,(G233*I233),0)* (IF(N233="PRESENTÓ CERTIFICADO",1,0))* (IF(O233="ACORDE A ITEM 5.2.2 (T.R.)",1,0) )* ( IF(OR(Q233="SIN OBSERVACIÓN", Q233="REQUERIMIENTOS SUBSANADOS"),1,0)) *(IF(OR(R233="NINGUNO", R233="CUMPLEN CON LO SOLICITADO"),1,0))</f>
        <v>0</v>
      </c>
      <c r="T233" s="591"/>
      <c r="U233" s="541">
        <f>IF(COUNTIF(J233:K235,"CUMPLE")&gt;=1,1,0)</f>
        <v>0</v>
      </c>
    </row>
    <row r="234" spans="2:21" ht="21.75" hidden="1" customHeight="1">
      <c r="B234" s="547"/>
      <c r="C234" s="550"/>
      <c r="D234" s="550"/>
      <c r="E234" s="550"/>
      <c r="F234" s="550"/>
      <c r="G234" s="553"/>
      <c r="H234" s="556"/>
      <c r="I234" s="559"/>
      <c r="J234" s="499"/>
      <c r="K234" s="57">
        <f>+$K$14</f>
        <v>811015</v>
      </c>
      <c r="L234" s="542"/>
      <c r="M234" s="544">
        <f>+$M$14</f>
        <v>0</v>
      </c>
      <c r="N234" s="562"/>
      <c r="O234" s="562"/>
      <c r="P234" s="565"/>
      <c r="Q234" s="567"/>
      <c r="R234" s="567"/>
      <c r="S234" s="569"/>
      <c r="T234" s="592"/>
      <c r="U234" s="541"/>
    </row>
    <row r="235" spans="2:21" ht="21.75" hidden="1" customHeight="1">
      <c r="B235" s="548"/>
      <c r="C235" s="551"/>
      <c r="D235" s="551"/>
      <c r="E235" s="551"/>
      <c r="F235" s="551"/>
      <c r="G235" s="554"/>
      <c r="H235" s="557"/>
      <c r="I235" s="560"/>
      <c r="J235" s="499"/>
      <c r="K235" s="57">
        <f>+$K$15</f>
        <v>841116</v>
      </c>
      <c r="L235" s="543"/>
      <c r="M235" s="545"/>
      <c r="N235" s="563"/>
      <c r="O235" s="563"/>
      <c r="P235" s="566"/>
      <c r="Q235" s="545"/>
      <c r="R235" s="545"/>
      <c r="S235" s="570"/>
      <c r="T235" s="592"/>
      <c r="U235" s="541"/>
    </row>
    <row r="236" spans="2:21" ht="23.25" hidden="1" customHeight="1">
      <c r="B236" s="546">
        <v>2</v>
      </c>
      <c r="C236" s="571"/>
      <c r="D236" s="571"/>
      <c r="E236" s="571"/>
      <c r="F236" s="571"/>
      <c r="G236" s="574"/>
      <c r="H236" s="555"/>
      <c r="I236" s="558"/>
      <c r="J236" s="499"/>
      <c r="K236" s="57">
        <f>+$K$13</f>
        <v>801016</v>
      </c>
      <c r="L236" s="499"/>
      <c r="M236" s="57">
        <f>+$M$13</f>
        <v>0</v>
      </c>
      <c r="N236" s="561"/>
      <c r="O236" s="561"/>
      <c r="P236" s="564"/>
      <c r="Q236" s="544"/>
      <c r="R236" s="544"/>
      <c r="S236" s="568">
        <f>IF(COUNTIF(J236:K238,"CUMPLE")&gt;=1,(G236*I236),0)* (IF(N236="PRESENTÓ CERTIFICADO",1,0))* (IF(O236="ACORDE A ITEM 5.2.2 (T.R.)",1,0) )* ( IF(OR(Q236="SIN OBSERVACIÓN", Q236="REQUERIMIENTOS SUBSANADOS"),1,0)) *(IF(OR(R236="NINGUNO", R236="CUMPLEN CON LO SOLICITADO"),1,0))</f>
        <v>0</v>
      </c>
      <c r="T236" s="592"/>
      <c r="U236" s="541">
        <f>IF(COUNTIF(J236:K238,"CUMPLE")&gt;=1,1,0)</f>
        <v>0</v>
      </c>
    </row>
    <row r="237" spans="2:21" ht="23.25" hidden="1" customHeight="1">
      <c r="B237" s="547"/>
      <c r="C237" s="572"/>
      <c r="D237" s="572"/>
      <c r="E237" s="572"/>
      <c r="F237" s="572"/>
      <c r="G237" s="575"/>
      <c r="H237" s="556"/>
      <c r="I237" s="559"/>
      <c r="J237" s="499"/>
      <c r="K237" s="57">
        <f>+$K$14</f>
        <v>811015</v>
      </c>
      <c r="L237" s="542"/>
      <c r="M237" s="544">
        <f>+$M$14</f>
        <v>0</v>
      </c>
      <c r="N237" s="562"/>
      <c r="O237" s="562"/>
      <c r="P237" s="565"/>
      <c r="Q237" s="567"/>
      <c r="R237" s="567"/>
      <c r="S237" s="569"/>
      <c r="T237" s="592"/>
      <c r="U237" s="541"/>
    </row>
    <row r="238" spans="2:21" ht="23.25" hidden="1" customHeight="1">
      <c r="B238" s="548"/>
      <c r="C238" s="573"/>
      <c r="D238" s="573"/>
      <c r="E238" s="573"/>
      <c r="F238" s="573"/>
      <c r="G238" s="576"/>
      <c r="H238" s="557"/>
      <c r="I238" s="560"/>
      <c r="J238" s="499"/>
      <c r="K238" s="57">
        <f>+$K$15</f>
        <v>841116</v>
      </c>
      <c r="L238" s="543"/>
      <c r="M238" s="545"/>
      <c r="N238" s="563"/>
      <c r="O238" s="563"/>
      <c r="P238" s="566"/>
      <c r="Q238" s="545"/>
      <c r="R238" s="545"/>
      <c r="S238" s="570"/>
      <c r="T238" s="592"/>
      <c r="U238" s="541"/>
    </row>
    <row r="239" spans="2:21" ht="23.25" hidden="1" customHeight="1">
      <c r="B239" s="546">
        <v>3</v>
      </c>
      <c r="C239" s="549"/>
      <c r="D239" s="549"/>
      <c r="E239" s="549"/>
      <c r="F239" s="549"/>
      <c r="G239" s="552"/>
      <c r="H239" s="555"/>
      <c r="I239" s="558"/>
      <c r="J239" s="499"/>
      <c r="K239" s="57">
        <f>+$K$13</f>
        <v>801016</v>
      </c>
      <c r="L239" s="499"/>
      <c r="M239" s="57">
        <f>+$M$13</f>
        <v>0</v>
      </c>
      <c r="N239" s="561"/>
      <c r="O239" s="561"/>
      <c r="P239" s="564"/>
      <c r="Q239" s="544"/>
      <c r="R239" s="544"/>
      <c r="S239" s="568">
        <f>IF(COUNTIF(J239:K241,"CUMPLE")&gt;=1,(G239*I239),0)* (IF(N239="PRESENTÓ CERTIFICADO",1,0))* (IF(O239="ACORDE A ITEM 5.2.2 (T.R.)",1,0) )* ( IF(OR(Q239="SIN OBSERVACIÓN", Q239="REQUERIMIENTOS SUBSANADOS"),1,0)) *(IF(OR(R239="NINGUNO", R239="CUMPLEN CON LO SOLICITADO"),1,0))</f>
        <v>0</v>
      </c>
      <c r="T239" s="592"/>
      <c r="U239" s="541">
        <f>IF(COUNTIF(J239:K241,"CUMPLE")&gt;=1,1,0)</f>
        <v>0</v>
      </c>
    </row>
    <row r="240" spans="2:21" ht="23.25" hidden="1" customHeight="1">
      <c r="B240" s="547"/>
      <c r="C240" s="550"/>
      <c r="D240" s="550"/>
      <c r="E240" s="550"/>
      <c r="F240" s="550"/>
      <c r="G240" s="553"/>
      <c r="H240" s="556"/>
      <c r="I240" s="559"/>
      <c r="J240" s="499"/>
      <c r="K240" s="57">
        <f>+$K$14</f>
        <v>811015</v>
      </c>
      <c r="L240" s="542"/>
      <c r="M240" s="544">
        <f>+$M$14</f>
        <v>0</v>
      </c>
      <c r="N240" s="562"/>
      <c r="O240" s="562"/>
      <c r="P240" s="565"/>
      <c r="Q240" s="567"/>
      <c r="R240" s="567"/>
      <c r="S240" s="569"/>
      <c r="T240" s="592"/>
      <c r="U240" s="541"/>
    </row>
    <row r="241" spans="2:21" ht="23.25" hidden="1" customHeight="1">
      <c r="B241" s="548"/>
      <c r="C241" s="551"/>
      <c r="D241" s="551"/>
      <c r="E241" s="551"/>
      <c r="F241" s="551"/>
      <c r="G241" s="554"/>
      <c r="H241" s="557"/>
      <c r="I241" s="560"/>
      <c r="J241" s="499"/>
      <c r="K241" s="57">
        <f>+$K$15</f>
        <v>841116</v>
      </c>
      <c r="L241" s="543"/>
      <c r="M241" s="545"/>
      <c r="N241" s="563"/>
      <c r="O241" s="563"/>
      <c r="P241" s="566"/>
      <c r="Q241" s="545"/>
      <c r="R241" s="545"/>
      <c r="S241" s="570"/>
      <c r="T241" s="592"/>
      <c r="U241" s="541"/>
    </row>
    <row r="242" spans="2:21" ht="23.25" hidden="1" customHeight="1">
      <c r="B242" s="546">
        <v>4</v>
      </c>
      <c r="C242" s="571"/>
      <c r="D242" s="571"/>
      <c r="E242" s="571"/>
      <c r="F242" s="571"/>
      <c r="G242" s="574"/>
      <c r="H242" s="555"/>
      <c r="I242" s="577"/>
      <c r="J242" s="499"/>
      <c r="K242" s="57">
        <f>+$K$13</f>
        <v>801016</v>
      </c>
      <c r="L242" s="499"/>
      <c r="M242" s="57">
        <f>+$M$13</f>
        <v>0</v>
      </c>
      <c r="N242" s="561"/>
      <c r="O242" s="561"/>
      <c r="P242" s="564"/>
      <c r="Q242" s="544"/>
      <c r="R242" s="544"/>
      <c r="S242" s="568">
        <f>IF(COUNTIF(J242:K244,"CUMPLE")&gt;=1,(G242*I242),0)* (IF(N242="PRESENTÓ CERTIFICADO",1,0))* (IF(O242="ACORDE A ITEM 5.2.2 (T.R.)",1,0) )* ( IF(OR(Q242="SIN OBSERVACIÓN", Q242="REQUERIMIENTOS SUBSANADOS"),1,0)) *(IF(OR(R242="NINGUNO", R242="CUMPLEN CON LO SOLICITADO"),1,0))</f>
        <v>0</v>
      </c>
      <c r="T242" s="592"/>
      <c r="U242" s="541">
        <f>IF(COUNTIF(L242:M244,"CUMPLE")&gt;=1,1,0)</f>
        <v>0</v>
      </c>
    </row>
    <row r="243" spans="2:21" ht="23.25" hidden="1" customHeight="1">
      <c r="B243" s="547"/>
      <c r="C243" s="572"/>
      <c r="D243" s="572"/>
      <c r="E243" s="572"/>
      <c r="F243" s="572"/>
      <c r="G243" s="575"/>
      <c r="H243" s="556"/>
      <c r="I243" s="578"/>
      <c r="J243" s="499"/>
      <c r="K243" s="57">
        <f>+$K$14</f>
        <v>811015</v>
      </c>
      <c r="L243" s="542"/>
      <c r="M243" s="544">
        <f>+$M$14</f>
        <v>0</v>
      </c>
      <c r="N243" s="562"/>
      <c r="O243" s="562"/>
      <c r="P243" s="565"/>
      <c r="Q243" s="567"/>
      <c r="R243" s="567"/>
      <c r="S243" s="569"/>
      <c r="T243" s="592"/>
      <c r="U243" s="541"/>
    </row>
    <row r="244" spans="2:21" ht="23.25" hidden="1" customHeight="1">
      <c r="B244" s="548"/>
      <c r="C244" s="573"/>
      <c r="D244" s="573"/>
      <c r="E244" s="573"/>
      <c r="F244" s="573"/>
      <c r="G244" s="576"/>
      <c r="H244" s="557"/>
      <c r="I244" s="579"/>
      <c r="J244" s="499"/>
      <c r="K244" s="57">
        <f>+$K$15</f>
        <v>841116</v>
      </c>
      <c r="L244" s="543"/>
      <c r="M244" s="545"/>
      <c r="N244" s="563"/>
      <c r="O244" s="563"/>
      <c r="P244" s="566"/>
      <c r="Q244" s="545"/>
      <c r="R244" s="545"/>
      <c r="S244" s="570"/>
      <c r="T244" s="592"/>
      <c r="U244" s="541"/>
    </row>
    <row r="245" spans="2:21" ht="23.25" hidden="1" customHeight="1">
      <c r="B245" s="546">
        <v>5</v>
      </c>
      <c r="C245" s="549"/>
      <c r="D245" s="549"/>
      <c r="E245" s="549"/>
      <c r="F245" s="549"/>
      <c r="G245" s="552"/>
      <c r="H245" s="555"/>
      <c r="I245" s="558"/>
      <c r="J245" s="499"/>
      <c r="K245" s="57">
        <f>+$K$13</f>
        <v>801016</v>
      </c>
      <c r="L245" s="499"/>
      <c r="M245" s="57">
        <f>+$M$13</f>
        <v>0</v>
      </c>
      <c r="N245" s="561"/>
      <c r="O245" s="561"/>
      <c r="P245" s="564"/>
      <c r="Q245" s="544"/>
      <c r="R245" s="544"/>
      <c r="S245" s="568">
        <f>IF(COUNTIF(J245:K247,"CUMPLE")&gt;=1,(G245*I245),0)* (IF(N245="PRESENTÓ CERTIFICADO",1,0))* (IF(O245="ACORDE A ITEM 5.2.2 (T.R.)",1,0) )* ( IF(OR(Q245="SIN OBSERVACIÓN", Q245="REQUERIMIENTOS SUBSANADOS"),1,0)) *(IF(OR(R245="NINGUNO", R245="CUMPLEN CON LO SOLICITADO"),1,0))</f>
        <v>0</v>
      </c>
      <c r="T245" s="592"/>
      <c r="U245" s="541">
        <f>IF(COUNTIF(L245:M247,"CUMPLE")&gt;=1,1,0)</f>
        <v>0</v>
      </c>
    </row>
    <row r="246" spans="2:21" ht="23.25" hidden="1" customHeight="1">
      <c r="B246" s="547"/>
      <c r="C246" s="550"/>
      <c r="D246" s="550"/>
      <c r="E246" s="550"/>
      <c r="F246" s="550"/>
      <c r="G246" s="553"/>
      <c r="H246" s="556"/>
      <c r="I246" s="559"/>
      <c r="J246" s="499"/>
      <c r="K246" s="57">
        <f>+$K$14</f>
        <v>811015</v>
      </c>
      <c r="L246" s="542"/>
      <c r="M246" s="544">
        <f>+$M$14</f>
        <v>0</v>
      </c>
      <c r="N246" s="562"/>
      <c r="O246" s="562"/>
      <c r="P246" s="565"/>
      <c r="Q246" s="567"/>
      <c r="R246" s="567"/>
      <c r="S246" s="569"/>
      <c r="T246" s="592"/>
      <c r="U246" s="541"/>
    </row>
    <row r="247" spans="2:21" ht="23.25" hidden="1" customHeight="1">
      <c r="B247" s="548"/>
      <c r="C247" s="551"/>
      <c r="D247" s="551"/>
      <c r="E247" s="551"/>
      <c r="F247" s="551"/>
      <c r="G247" s="554"/>
      <c r="H247" s="557"/>
      <c r="I247" s="560"/>
      <c r="J247" s="499"/>
      <c r="K247" s="57">
        <f>+$K$15</f>
        <v>841116</v>
      </c>
      <c r="L247" s="543"/>
      <c r="M247" s="545"/>
      <c r="N247" s="563"/>
      <c r="O247" s="563"/>
      <c r="P247" s="566"/>
      <c r="Q247" s="545"/>
      <c r="R247" s="545"/>
      <c r="S247" s="570"/>
      <c r="T247" s="593"/>
      <c r="U247" s="541"/>
    </row>
    <row r="248" spans="2:21" ht="18" hidden="1" customHeight="1">
      <c r="B248" s="580" t="str">
        <f>IF(S249=" "," ",IF(S249&gt;=$H$6,"CUMPLE CON LA EXPERIENCIA REQUERIDA","NO CUMPLE CON LA EXPERIENCIA REQUERIDA"))</f>
        <v>NO CUMPLE CON LA EXPERIENCIA REQUERIDA</v>
      </c>
      <c r="C248" s="581"/>
      <c r="D248" s="581"/>
      <c r="E248" s="581"/>
      <c r="F248" s="581"/>
      <c r="G248" s="581"/>
      <c r="H248" s="581"/>
      <c r="I248" s="581"/>
      <c r="J248" s="581"/>
      <c r="K248" s="581"/>
      <c r="L248" s="581"/>
      <c r="M248" s="581"/>
      <c r="N248" s="581"/>
      <c r="O248" s="582"/>
      <c r="P248" s="586" t="s">
        <v>46</v>
      </c>
      <c r="Q248" s="587"/>
      <c r="R248" s="588"/>
      <c r="S248" s="503">
        <f>IF(T233="SI",SUM(S233:S247),0)</f>
        <v>0</v>
      </c>
      <c r="T248" s="589" t="str">
        <f>IF(S249=" "," ",IF(S249&gt;=$H$6,"CUMPLE","NO CUMPLE"))</f>
        <v>NO CUMPLE</v>
      </c>
    </row>
    <row r="249" spans="2:21" ht="18" hidden="1" customHeight="1">
      <c r="B249" s="583"/>
      <c r="C249" s="584"/>
      <c r="D249" s="584"/>
      <c r="E249" s="584"/>
      <c r="F249" s="584"/>
      <c r="G249" s="584"/>
      <c r="H249" s="584"/>
      <c r="I249" s="584"/>
      <c r="J249" s="584"/>
      <c r="K249" s="584"/>
      <c r="L249" s="584"/>
      <c r="M249" s="584"/>
      <c r="N249" s="584"/>
      <c r="O249" s="585"/>
      <c r="P249" s="586" t="s">
        <v>47</v>
      </c>
      <c r="Q249" s="587"/>
      <c r="R249" s="588"/>
      <c r="S249" s="503">
        <f>IFERROR((S248/$P$6)," ")</f>
        <v>0</v>
      </c>
      <c r="T249" s="590"/>
      <c r="U249" s="500"/>
    </row>
    <row r="250" spans="2:21" hidden="1"/>
    <row r="251" spans="2:21" hidden="1"/>
    <row r="252" spans="2:21" hidden="1">
      <c r="B252" s="465">
        <v>12</v>
      </c>
      <c r="C252" s="601" t="s">
        <v>25</v>
      </c>
      <c r="D252" s="602"/>
      <c r="E252" s="603"/>
      <c r="F252" s="604">
        <f>IFERROR(VLOOKUP(B252,LISTA_OFERENTES,2,FALSE)," ")</f>
        <v>0</v>
      </c>
      <c r="G252" s="605"/>
      <c r="H252" s="605"/>
      <c r="I252" s="605"/>
      <c r="J252" s="605"/>
      <c r="K252" s="605"/>
      <c r="L252" s="605"/>
      <c r="M252" s="605"/>
      <c r="N252" s="605"/>
      <c r="O252" s="606"/>
      <c r="P252" s="607" t="s">
        <v>26</v>
      </c>
      <c r="Q252" s="608"/>
      <c r="R252" s="609"/>
      <c r="S252" s="491">
        <f>5-(INT(COUNTBLANK(C255:C269))-10)</f>
        <v>0</v>
      </c>
    </row>
    <row r="253" spans="2:21" ht="39.75" hidden="1" customHeight="1">
      <c r="B253" s="610" t="s">
        <v>27</v>
      </c>
      <c r="C253" s="596" t="s">
        <v>28</v>
      </c>
      <c r="D253" s="596" t="s">
        <v>29</v>
      </c>
      <c r="E253" s="596" t="s">
        <v>30</v>
      </c>
      <c r="F253" s="596" t="s">
        <v>31</v>
      </c>
      <c r="G253" s="596" t="s">
        <v>32</v>
      </c>
      <c r="H253" s="596" t="s">
        <v>33</v>
      </c>
      <c r="I253" s="596" t="s">
        <v>34</v>
      </c>
      <c r="J253" s="594" t="s">
        <v>35</v>
      </c>
      <c r="K253" s="612"/>
      <c r="L253" s="612"/>
      <c r="M253" s="595"/>
      <c r="N253" s="596" t="s">
        <v>36</v>
      </c>
      <c r="O253" s="596" t="s">
        <v>37</v>
      </c>
      <c r="P253" s="594" t="s">
        <v>38</v>
      </c>
      <c r="Q253" s="595"/>
      <c r="R253" s="596" t="s">
        <v>39</v>
      </c>
      <c r="S253" s="596" t="s">
        <v>40</v>
      </c>
      <c r="T253"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253" s="596" t="str">
        <f>+$U$11</f>
        <v xml:space="preserve">VERIFICACIÓN CONDICIÓN DE EXPERIENCIA  </v>
      </c>
    </row>
    <row r="254" spans="2:21" ht="51.75" hidden="1" customHeight="1">
      <c r="B254" s="611"/>
      <c r="C254" s="597"/>
      <c r="D254" s="597"/>
      <c r="E254" s="597"/>
      <c r="F254" s="597"/>
      <c r="G254" s="597"/>
      <c r="H254" s="597"/>
      <c r="I254" s="597"/>
      <c r="J254" s="598" t="s">
        <v>43</v>
      </c>
      <c r="K254" s="599"/>
      <c r="L254" s="599"/>
      <c r="M254" s="600"/>
      <c r="N254" s="597"/>
      <c r="O254" s="597"/>
      <c r="P254" s="493" t="s">
        <v>10</v>
      </c>
      <c r="Q254" s="493" t="s">
        <v>44</v>
      </c>
      <c r="R254" s="597"/>
      <c r="S254" s="597"/>
      <c r="T254" s="597"/>
      <c r="U254" s="597"/>
    </row>
    <row r="255" spans="2:21" ht="28.5" hidden="1" customHeight="1">
      <c r="B255" s="546">
        <v>1</v>
      </c>
      <c r="C255" s="549"/>
      <c r="D255" s="549"/>
      <c r="E255" s="549"/>
      <c r="F255" s="549"/>
      <c r="G255" s="552"/>
      <c r="H255" s="555"/>
      <c r="I255" s="558"/>
      <c r="J255" s="499"/>
      <c r="K255" s="57">
        <f>+$K$13</f>
        <v>801016</v>
      </c>
      <c r="L255" s="499"/>
      <c r="M255" s="57">
        <f>+$M$13</f>
        <v>0</v>
      </c>
      <c r="N255" s="561"/>
      <c r="O255" s="561"/>
      <c r="P255" s="564"/>
      <c r="Q255" s="544"/>
      <c r="R255" s="544"/>
      <c r="S255" s="568">
        <f>IF(COUNTIF(J255:K257,"CUMPLE")&gt;=1,(G255*I255),0)* (IF(N255="PRESENTÓ CERTIFICADO",1,0))* (IF(O255="ACORDE A ITEM 5.2.2 (T.R.)",1,0) )* ( IF(OR(Q255="SIN OBSERVACIÓN", Q255="REQUERIMIENTOS SUBSANADOS"),1,0)) *(IF(OR(R255="NINGUNO", R255="CUMPLEN CON LO SOLICITADO"),1,0))</f>
        <v>0</v>
      </c>
      <c r="T255" s="591" t="s">
        <v>155</v>
      </c>
      <c r="U255" s="541">
        <f>IF(COUNTIF(J255:K257,"CUMPLE")&gt;=1,1,0)</f>
        <v>0</v>
      </c>
    </row>
    <row r="256" spans="2:21" ht="28.5" hidden="1" customHeight="1">
      <c r="B256" s="547"/>
      <c r="C256" s="550"/>
      <c r="D256" s="550"/>
      <c r="E256" s="550"/>
      <c r="F256" s="550"/>
      <c r="G256" s="553"/>
      <c r="H256" s="556"/>
      <c r="I256" s="559"/>
      <c r="J256" s="499"/>
      <c r="K256" s="57">
        <f>+$K$14</f>
        <v>811015</v>
      </c>
      <c r="L256" s="542"/>
      <c r="M256" s="544">
        <f>+$M$14</f>
        <v>0</v>
      </c>
      <c r="N256" s="562"/>
      <c r="O256" s="562"/>
      <c r="P256" s="565"/>
      <c r="Q256" s="567"/>
      <c r="R256" s="567"/>
      <c r="S256" s="569"/>
      <c r="T256" s="592"/>
      <c r="U256" s="541"/>
    </row>
    <row r="257" spans="2:21" ht="28.5" hidden="1" customHeight="1">
      <c r="B257" s="548"/>
      <c r="C257" s="551"/>
      <c r="D257" s="551"/>
      <c r="E257" s="551"/>
      <c r="F257" s="551"/>
      <c r="G257" s="554"/>
      <c r="H257" s="557"/>
      <c r="I257" s="560"/>
      <c r="J257" s="499"/>
      <c r="K257" s="57">
        <f>+$K$15</f>
        <v>841116</v>
      </c>
      <c r="L257" s="543"/>
      <c r="M257" s="545"/>
      <c r="N257" s="563"/>
      <c r="O257" s="563"/>
      <c r="P257" s="566"/>
      <c r="Q257" s="545"/>
      <c r="R257" s="545"/>
      <c r="S257" s="570"/>
      <c r="T257" s="592"/>
      <c r="U257" s="541"/>
    </row>
    <row r="258" spans="2:21" ht="28.5" hidden="1" customHeight="1">
      <c r="B258" s="546">
        <v>2</v>
      </c>
      <c r="C258" s="571"/>
      <c r="D258" s="571"/>
      <c r="E258" s="571"/>
      <c r="F258" s="571"/>
      <c r="G258" s="574"/>
      <c r="H258" s="555"/>
      <c r="I258" s="558"/>
      <c r="J258" s="499"/>
      <c r="K258" s="57">
        <f>+$K$13</f>
        <v>801016</v>
      </c>
      <c r="L258" s="499"/>
      <c r="M258" s="57">
        <f>+$M$13</f>
        <v>0</v>
      </c>
      <c r="N258" s="561"/>
      <c r="O258" s="561"/>
      <c r="P258" s="564"/>
      <c r="Q258" s="544"/>
      <c r="R258" s="544"/>
      <c r="S258" s="568">
        <f>IF(COUNTIF(J258:K260,"CUMPLE")&gt;=1,(G258*I258),0)* (IF(N258="PRESENTÓ CERTIFICADO",1,0))* (IF(O258="ACORDE A ITEM 5.2.2 (T.R.)",1,0) )* ( IF(OR(Q258="SIN OBSERVACIÓN", Q258="REQUERIMIENTOS SUBSANADOS"),1,0)) *(IF(OR(R258="NINGUNO", R258="CUMPLEN CON LO SOLICITADO"),1,0))</f>
        <v>0</v>
      </c>
      <c r="T258" s="592"/>
      <c r="U258" s="541">
        <f t="shared" ref="U258" si="51">IF(COUNTIF(J258:K260,"CUMPLE")&gt;=1,1,0)</f>
        <v>0</v>
      </c>
    </row>
    <row r="259" spans="2:21" ht="28.5" hidden="1" customHeight="1">
      <c r="B259" s="547"/>
      <c r="C259" s="572"/>
      <c r="D259" s="572"/>
      <c r="E259" s="572"/>
      <c r="F259" s="572"/>
      <c r="G259" s="575"/>
      <c r="H259" s="556"/>
      <c r="I259" s="559"/>
      <c r="J259" s="499"/>
      <c r="K259" s="57">
        <f>+$K$14</f>
        <v>811015</v>
      </c>
      <c r="L259" s="542"/>
      <c r="M259" s="544">
        <f>+$M$14</f>
        <v>0</v>
      </c>
      <c r="N259" s="562"/>
      <c r="O259" s="562"/>
      <c r="P259" s="565"/>
      <c r="Q259" s="567"/>
      <c r="R259" s="567"/>
      <c r="S259" s="569"/>
      <c r="T259" s="592"/>
      <c r="U259" s="541"/>
    </row>
    <row r="260" spans="2:21" ht="28.5" hidden="1" customHeight="1">
      <c r="B260" s="548"/>
      <c r="C260" s="573"/>
      <c r="D260" s="573"/>
      <c r="E260" s="573"/>
      <c r="F260" s="573"/>
      <c r="G260" s="576"/>
      <c r="H260" s="557"/>
      <c r="I260" s="560"/>
      <c r="J260" s="499"/>
      <c r="K260" s="57">
        <f>+$K$15</f>
        <v>841116</v>
      </c>
      <c r="L260" s="543"/>
      <c r="M260" s="545"/>
      <c r="N260" s="563"/>
      <c r="O260" s="563"/>
      <c r="P260" s="566"/>
      <c r="Q260" s="545"/>
      <c r="R260" s="545"/>
      <c r="S260" s="570"/>
      <c r="T260" s="592"/>
      <c r="U260" s="541"/>
    </row>
    <row r="261" spans="2:21" ht="28.5" hidden="1" customHeight="1">
      <c r="B261" s="546">
        <v>3</v>
      </c>
      <c r="C261" s="549"/>
      <c r="D261" s="549"/>
      <c r="E261" s="549"/>
      <c r="F261" s="549"/>
      <c r="G261" s="552"/>
      <c r="H261" s="555"/>
      <c r="I261" s="558"/>
      <c r="J261" s="499"/>
      <c r="K261" s="57">
        <f>+$K$13</f>
        <v>801016</v>
      </c>
      <c r="L261" s="499"/>
      <c r="M261" s="57">
        <f>+$M$13</f>
        <v>0</v>
      </c>
      <c r="N261" s="561"/>
      <c r="O261" s="561"/>
      <c r="P261" s="564"/>
      <c r="Q261" s="544"/>
      <c r="R261" s="544"/>
      <c r="S261" s="568">
        <f>IF(COUNTIF(J261:K263,"CUMPLE")&gt;=1,(G261*I261),0)* (IF(N261="PRESENTÓ CERTIFICADO",1,0))* (IF(O261="ACORDE A ITEM 5.2.2 (T.R.)",1,0) )* ( IF(OR(Q261="SIN OBSERVACIÓN", Q261="REQUERIMIENTOS SUBSANADOS"),1,0)) *(IF(OR(R261="NINGUNO", R261="CUMPLEN CON LO SOLICITADO"),1,0))</f>
        <v>0</v>
      </c>
      <c r="T261" s="592"/>
      <c r="U261" s="541">
        <f t="shared" ref="U261" si="52">IF(COUNTIF(J261:K263,"CUMPLE")&gt;=1,1,0)</f>
        <v>0</v>
      </c>
    </row>
    <row r="262" spans="2:21" ht="28.5" hidden="1" customHeight="1">
      <c r="B262" s="547"/>
      <c r="C262" s="550"/>
      <c r="D262" s="550"/>
      <c r="E262" s="550"/>
      <c r="F262" s="550"/>
      <c r="G262" s="553"/>
      <c r="H262" s="556"/>
      <c r="I262" s="559"/>
      <c r="J262" s="499"/>
      <c r="K262" s="57">
        <f>+$K$14</f>
        <v>811015</v>
      </c>
      <c r="L262" s="542"/>
      <c r="M262" s="544">
        <f>+$M$14</f>
        <v>0</v>
      </c>
      <c r="N262" s="562"/>
      <c r="O262" s="562"/>
      <c r="P262" s="565"/>
      <c r="Q262" s="567"/>
      <c r="R262" s="567"/>
      <c r="S262" s="569"/>
      <c r="T262" s="592"/>
      <c r="U262" s="541"/>
    </row>
    <row r="263" spans="2:21" ht="28.5" hidden="1" customHeight="1">
      <c r="B263" s="548"/>
      <c r="C263" s="551"/>
      <c r="D263" s="551"/>
      <c r="E263" s="551"/>
      <c r="F263" s="551"/>
      <c r="G263" s="554"/>
      <c r="H263" s="557"/>
      <c r="I263" s="560"/>
      <c r="J263" s="499"/>
      <c r="K263" s="57">
        <f>+$K$15</f>
        <v>841116</v>
      </c>
      <c r="L263" s="543"/>
      <c r="M263" s="545"/>
      <c r="N263" s="563"/>
      <c r="O263" s="563"/>
      <c r="P263" s="566"/>
      <c r="Q263" s="545"/>
      <c r="R263" s="545"/>
      <c r="S263" s="570"/>
      <c r="T263" s="592"/>
      <c r="U263" s="541"/>
    </row>
    <row r="264" spans="2:21" ht="28.5" hidden="1" customHeight="1">
      <c r="B264" s="546">
        <v>4</v>
      </c>
      <c r="C264" s="571"/>
      <c r="D264" s="571"/>
      <c r="E264" s="571"/>
      <c r="F264" s="571"/>
      <c r="G264" s="574"/>
      <c r="H264" s="555"/>
      <c r="I264" s="558"/>
      <c r="J264" s="499"/>
      <c r="K264" s="57">
        <f>+$K$13</f>
        <v>801016</v>
      </c>
      <c r="L264" s="499"/>
      <c r="M264" s="57">
        <f>+$M$13</f>
        <v>0</v>
      </c>
      <c r="N264" s="561"/>
      <c r="O264" s="561"/>
      <c r="P264" s="564"/>
      <c r="Q264" s="544"/>
      <c r="R264" s="544"/>
      <c r="S264" s="568">
        <f>IF(COUNTIF(J264:K266,"CUMPLE")&gt;=1,(G264*I264),0)* (IF(N264="PRESENTÓ CERTIFICADO",1,0))* (IF(O264="ACORDE A ITEM 5.2.2 (T.R.)",1,0) )* ( IF(OR(Q264="SIN OBSERVACIÓN", Q264="REQUERIMIENTOS SUBSANADOS"),1,0)) *(IF(OR(R264="NINGUNO", R264="CUMPLEN CON LO SOLICITADO"),1,0))</f>
        <v>0</v>
      </c>
      <c r="T264" s="592"/>
      <c r="U264" s="541">
        <f t="shared" ref="U264" si="53">IF(COUNTIF(J264:K266,"CUMPLE")&gt;=1,1,0)</f>
        <v>0</v>
      </c>
    </row>
    <row r="265" spans="2:21" ht="28.5" hidden="1" customHeight="1">
      <c r="B265" s="547"/>
      <c r="C265" s="572"/>
      <c r="D265" s="572"/>
      <c r="E265" s="572"/>
      <c r="F265" s="572"/>
      <c r="G265" s="575"/>
      <c r="H265" s="556"/>
      <c r="I265" s="559"/>
      <c r="J265" s="499"/>
      <c r="K265" s="57">
        <f>+$K$14</f>
        <v>811015</v>
      </c>
      <c r="L265" s="542"/>
      <c r="M265" s="544">
        <f>+$M$14</f>
        <v>0</v>
      </c>
      <c r="N265" s="562"/>
      <c r="O265" s="562"/>
      <c r="P265" s="565"/>
      <c r="Q265" s="567"/>
      <c r="R265" s="567"/>
      <c r="S265" s="569"/>
      <c r="T265" s="592"/>
      <c r="U265" s="541"/>
    </row>
    <row r="266" spans="2:21" ht="28.5" hidden="1" customHeight="1">
      <c r="B266" s="548"/>
      <c r="C266" s="573"/>
      <c r="D266" s="573"/>
      <c r="E266" s="573"/>
      <c r="F266" s="573"/>
      <c r="G266" s="576"/>
      <c r="H266" s="557"/>
      <c r="I266" s="560"/>
      <c r="J266" s="499"/>
      <c r="K266" s="57">
        <f>+$K$15</f>
        <v>841116</v>
      </c>
      <c r="L266" s="543"/>
      <c r="M266" s="545"/>
      <c r="N266" s="563"/>
      <c r="O266" s="563"/>
      <c r="P266" s="566"/>
      <c r="Q266" s="545"/>
      <c r="R266" s="545"/>
      <c r="S266" s="570"/>
      <c r="T266" s="592"/>
      <c r="U266" s="541"/>
    </row>
    <row r="267" spans="2:21" ht="28.5" hidden="1" customHeight="1">
      <c r="B267" s="546">
        <v>5</v>
      </c>
      <c r="C267" s="549"/>
      <c r="D267" s="549"/>
      <c r="E267" s="549"/>
      <c r="F267" s="549"/>
      <c r="G267" s="552"/>
      <c r="H267" s="555"/>
      <c r="I267" s="558"/>
      <c r="J267" s="499"/>
      <c r="K267" s="57">
        <f>+$K$13</f>
        <v>801016</v>
      </c>
      <c r="L267" s="499"/>
      <c r="M267" s="57">
        <f>+$M$13</f>
        <v>0</v>
      </c>
      <c r="N267" s="561"/>
      <c r="O267" s="561"/>
      <c r="P267" s="564"/>
      <c r="Q267" s="544"/>
      <c r="R267" s="544"/>
      <c r="S267" s="568">
        <f>IF(COUNTIF(J267:K269,"CUMPLE")&gt;=1,(G267*I267),0)* (IF(N267="PRESENTÓ CERTIFICADO",1,0))* (IF(O267="ACORDE A ITEM 5.2.2 (T.R.)",1,0) )* ( IF(OR(Q267="SIN OBSERVACIÓN", Q267="REQUERIMIENTOS SUBSANADOS"),1,0)) *(IF(OR(R267="NINGUNO", R267="CUMPLEN CON LO SOLICITADO"),1,0))</f>
        <v>0</v>
      </c>
      <c r="T267" s="592"/>
      <c r="U267" s="541">
        <f t="shared" ref="U267" si="54">IF(COUNTIF(J267:K269,"CUMPLE")&gt;=1,1,0)</f>
        <v>0</v>
      </c>
    </row>
    <row r="268" spans="2:21" ht="28.5" hidden="1" customHeight="1">
      <c r="B268" s="547"/>
      <c r="C268" s="550"/>
      <c r="D268" s="550"/>
      <c r="E268" s="550"/>
      <c r="F268" s="550"/>
      <c r="G268" s="553"/>
      <c r="H268" s="556"/>
      <c r="I268" s="559"/>
      <c r="J268" s="499"/>
      <c r="K268" s="57">
        <f>+$K$14</f>
        <v>811015</v>
      </c>
      <c r="L268" s="542"/>
      <c r="M268" s="544">
        <f>+$M$14</f>
        <v>0</v>
      </c>
      <c r="N268" s="562"/>
      <c r="O268" s="562"/>
      <c r="P268" s="565"/>
      <c r="Q268" s="567"/>
      <c r="R268" s="567"/>
      <c r="S268" s="569"/>
      <c r="T268" s="592"/>
      <c r="U268" s="541"/>
    </row>
    <row r="269" spans="2:21" ht="28.5" hidden="1" customHeight="1">
      <c r="B269" s="548"/>
      <c r="C269" s="551"/>
      <c r="D269" s="551"/>
      <c r="E269" s="551"/>
      <c r="F269" s="551"/>
      <c r="G269" s="554"/>
      <c r="H269" s="557"/>
      <c r="I269" s="560"/>
      <c r="J269" s="499"/>
      <c r="K269" s="57">
        <f>+$K$15</f>
        <v>841116</v>
      </c>
      <c r="L269" s="543"/>
      <c r="M269" s="545"/>
      <c r="N269" s="563"/>
      <c r="O269" s="563"/>
      <c r="P269" s="566"/>
      <c r="Q269" s="545"/>
      <c r="R269" s="545"/>
      <c r="S269" s="570"/>
      <c r="T269" s="593"/>
      <c r="U269" s="541"/>
    </row>
    <row r="270" spans="2:21" ht="18" hidden="1" customHeight="1">
      <c r="B270" s="580" t="str">
        <f>IF(S271=" "," ",IF(S271&gt;=$H$6,"CUMPLE CON LA EXPERIENCIA REQUERIDA","NO CUMPLE CON LA EXPERIENCIA REQUERIDA"))</f>
        <v>NO CUMPLE CON LA EXPERIENCIA REQUERIDA</v>
      </c>
      <c r="C270" s="581"/>
      <c r="D270" s="581"/>
      <c r="E270" s="581"/>
      <c r="F270" s="581"/>
      <c r="G270" s="581"/>
      <c r="H270" s="581"/>
      <c r="I270" s="581"/>
      <c r="J270" s="581"/>
      <c r="K270" s="581"/>
      <c r="L270" s="581"/>
      <c r="M270" s="581"/>
      <c r="N270" s="581"/>
      <c r="O270" s="582"/>
      <c r="P270" s="586" t="s">
        <v>46</v>
      </c>
      <c r="Q270" s="587"/>
      <c r="R270" s="588"/>
      <c r="S270" s="503">
        <f>IF(T255="SI",SUM(S255:S269),0)</f>
        <v>0</v>
      </c>
      <c r="T270" s="589" t="str">
        <f>IF(S271=" "," ",IF(S271&gt;=$H$6,"CUMPLE","NO CUMPLE"))</f>
        <v>NO CUMPLE</v>
      </c>
    </row>
    <row r="271" spans="2:21" ht="18" hidden="1" customHeight="1">
      <c r="B271" s="583"/>
      <c r="C271" s="584"/>
      <c r="D271" s="584"/>
      <c r="E271" s="584"/>
      <c r="F271" s="584"/>
      <c r="G271" s="584"/>
      <c r="H271" s="584"/>
      <c r="I271" s="584"/>
      <c r="J271" s="584"/>
      <c r="K271" s="584"/>
      <c r="L271" s="584"/>
      <c r="M271" s="584"/>
      <c r="N271" s="584"/>
      <c r="O271" s="585"/>
      <c r="P271" s="586" t="s">
        <v>47</v>
      </c>
      <c r="Q271" s="587"/>
      <c r="R271" s="588"/>
      <c r="S271" s="503">
        <f>IFERROR((S270/$P$6)," ")</f>
        <v>0</v>
      </c>
      <c r="T271" s="590"/>
      <c r="U271" s="500"/>
    </row>
    <row r="272" spans="2:21" hidden="1"/>
    <row r="273" spans="2:21" hidden="1"/>
    <row r="274" spans="2:21" hidden="1">
      <c r="B274" s="465">
        <v>13</v>
      </c>
      <c r="C274" s="601" t="s">
        <v>25</v>
      </c>
      <c r="D274" s="602"/>
      <c r="E274" s="603"/>
      <c r="F274" s="604">
        <f>IFERROR(VLOOKUP(B274,LISTA_OFERENTES,2,FALSE)," ")</f>
        <v>0</v>
      </c>
      <c r="G274" s="605"/>
      <c r="H274" s="605"/>
      <c r="I274" s="605"/>
      <c r="J274" s="605"/>
      <c r="K274" s="605"/>
      <c r="L274" s="605"/>
      <c r="M274" s="605"/>
      <c r="N274" s="605"/>
      <c r="O274" s="606"/>
      <c r="P274" s="607" t="s">
        <v>26</v>
      </c>
      <c r="Q274" s="608"/>
      <c r="R274" s="609"/>
      <c r="S274" s="491">
        <f>5-(INT(COUNTBLANK(C277:C291))-10)</f>
        <v>0</v>
      </c>
    </row>
    <row r="275" spans="2:21" ht="46.5" hidden="1" customHeight="1">
      <c r="B275" s="610" t="s">
        <v>27</v>
      </c>
      <c r="C275" s="596" t="s">
        <v>28</v>
      </c>
      <c r="D275" s="596" t="s">
        <v>29</v>
      </c>
      <c r="E275" s="596" t="s">
        <v>30</v>
      </c>
      <c r="F275" s="596" t="s">
        <v>31</v>
      </c>
      <c r="G275" s="596" t="s">
        <v>32</v>
      </c>
      <c r="H275" s="596" t="s">
        <v>33</v>
      </c>
      <c r="I275" s="596" t="s">
        <v>34</v>
      </c>
      <c r="J275" s="594" t="s">
        <v>35</v>
      </c>
      <c r="K275" s="612"/>
      <c r="L275" s="612"/>
      <c r="M275" s="595"/>
      <c r="N275" s="596" t="s">
        <v>36</v>
      </c>
      <c r="O275" s="596" t="s">
        <v>37</v>
      </c>
      <c r="P275" s="594" t="s">
        <v>38</v>
      </c>
      <c r="Q275" s="595"/>
      <c r="R275" s="596" t="s">
        <v>39</v>
      </c>
      <c r="S275" s="596" t="s">
        <v>40</v>
      </c>
      <c r="T275"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275" s="596" t="str">
        <f>+$U$11</f>
        <v xml:space="preserve">VERIFICACIÓN CONDICIÓN DE EXPERIENCIA  </v>
      </c>
    </row>
    <row r="276" spans="2:21" ht="46.5" hidden="1" customHeight="1">
      <c r="B276" s="611"/>
      <c r="C276" s="597"/>
      <c r="D276" s="597"/>
      <c r="E276" s="597"/>
      <c r="F276" s="597"/>
      <c r="G276" s="597"/>
      <c r="H276" s="597"/>
      <c r="I276" s="597"/>
      <c r="J276" s="598" t="s">
        <v>43</v>
      </c>
      <c r="K276" s="599"/>
      <c r="L276" s="599"/>
      <c r="M276" s="600"/>
      <c r="N276" s="597"/>
      <c r="O276" s="597"/>
      <c r="P276" s="493" t="s">
        <v>10</v>
      </c>
      <c r="Q276" s="493" t="s">
        <v>44</v>
      </c>
      <c r="R276" s="597"/>
      <c r="S276" s="597"/>
      <c r="T276" s="597"/>
      <c r="U276" s="597"/>
    </row>
    <row r="277" spans="2:21" ht="29.25" hidden="1" customHeight="1">
      <c r="B277" s="546">
        <v>1</v>
      </c>
      <c r="C277" s="549"/>
      <c r="D277" s="549"/>
      <c r="E277" s="549"/>
      <c r="F277" s="549"/>
      <c r="G277" s="552"/>
      <c r="H277" s="555"/>
      <c r="I277" s="558"/>
      <c r="J277" s="499"/>
      <c r="K277" s="57">
        <f>+$K$13</f>
        <v>801016</v>
      </c>
      <c r="L277" s="499"/>
      <c r="M277" s="57">
        <f>+$M$13</f>
        <v>0</v>
      </c>
      <c r="N277" s="561"/>
      <c r="O277" s="561"/>
      <c r="P277" s="564"/>
      <c r="Q277" s="544"/>
      <c r="R277" s="544"/>
      <c r="S277" s="568">
        <f>IF(COUNTIF(J277:K279,"CUMPLE")&gt;=1,(G277*I277),0)* (IF(N277="PRESENTÓ CERTIFICADO",1,0))* (IF(O277="ACORDE A ITEM 5.2.2 (T.R.)",1,0) )* ( IF(OR(Q277="SIN OBSERVACIÓN", Q277="REQUERIMIENTOS SUBSANADOS"),1,0)) *(IF(OR(R277="NINGUNO", R277="CUMPLEN CON LO SOLICITADO"),1,0))</f>
        <v>0</v>
      </c>
      <c r="T277" s="591"/>
      <c r="U277" s="541">
        <f>IF(COUNTIF(J277:K279,"CUMPLE")&gt;=1,1,0)</f>
        <v>0</v>
      </c>
    </row>
    <row r="278" spans="2:21" ht="29.25" hidden="1" customHeight="1">
      <c r="B278" s="547"/>
      <c r="C278" s="550"/>
      <c r="D278" s="550"/>
      <c r="E278" s="550"/>
      <c r="F278" s="550"/>
      <c r="G278" s="553"/>
      <c r="H278" s="556"/>
      <c r="I278" s="559"/>
      <c r="J278" s="499"/>
      <c r="K278" s="57">
        <f>+$K$14</f>
        <v>811015</v>
      </c>
      <c r="L278" s="542"/>
      <c r="M278" s="544">
        <f>+$M$14</f>
        <v>0</v>
      </c>
      <c r="N278" s="562"/>
      <c r="O278" s="562"/>
      <c r="P278" s="565"/>
      <c r="Q278" s="567"/>
      <c r="R278" s="567"/>
      <c r="S278" s="569"/>
      <c r="T278" s="592"/>
      <c r="U278" s="541"/>
    </row>
    <row r="279" spans="2:21" ht="29.25" hidden="1" customHeight="1">
      <c r="B279" s="548"/>
      <c r="C279" s="551"/>
      <c r="D279" s="551"/>
      <c r="E279" s="551"/>
      <c r="F279" s="551"/>
      <c r="G279" s="554"/>
      <c r="H279" s="557"/>
      <c r="I279" s="560"/>
      <c r="J279" s="499"/>
      <c r="K279" s="57">
        <f>+$K$15</f>
        <v>841116</v>
      </c>
      <c r="L279" s="543"/>
      <c r="M279" s="545"/>
      <c r="N279" s="563"/>
      <c r="O279" s="563"/>
      <c r="P279" s="566"/>
      <c r="Q279" s="545"/>
      <c r="R279" s="545"/>
      <c r="S279" s="570"/>
      <c r="T279" s="592"/>
      <c r="U279" s="541"/>
    </row>
    <row r="280" spans="2:21" ht="29.25" hidden="1" customHeight="1">
      <c r="B280" s="546">
        <v>2</v>
      </c>
      <c r="C280" s="571"/>
      <c r="D280" s="571"/>
      <c r="E280" s="571"/>
      <c r="F280" s="571"/>
      <c r="G280" s="574"/>
      <c r="H280" s="555"/>
      <c r="I280" s="577"/>
      <c r="J280" s="499"/>
      <c r="K280" s="57">
        <f>+$K$13</f>
        <v>801016</v>
      </c>
      <c r="L280" s="499"/>
      <c r="M280" s="57">
        <f>+$M$13</f>
        <v>0</v>
      </c>
      <c r="N280" s="561"/>
      <c r="O280" s="561"/>
      <c r="P280" s="564"/>
      <c r="Q280" s="544"/>
      <c r="R280" s="544"/>
      <c r="S280" s="568">
        <f>IF(COUNTIF(J280:K282,"CUMPLE")&gt;=1,(G280*I280),0)* (IF(N280="PRESENTÓ CERTIFICADO",1,0))* (IF(O280="ACORDE A ITEM 5.2.2 (T.R.)",1,0) )* ( IF(OR(Q280="SIN OBSERVACIÓN", Q280="REQUERIMIENTOS SUBSANADOS"),1,0)) *(IF(OR(R280="NINGUNO", R280="CUMPLEN CON LO SOLICITADO"),1,0))</f>
        <v>0</v>
      </c>
      <c r="T280" s="592"/>
      <c r="U280" s="541">
        <f t="shared" ref="U280" si="55">IF(COUNTIF(J280:K282,"CUMPLE")&gt;=1,1,0)</f>
        <v>0</v>
      </c>
    </row>
    <row r="281" spans="2:21" ht="29.25" hidden="1" customHeight="1">
      <c r="B281" s="547"/>
      <c r="C281" s="572"/>
      <c r="D281" s="572"/>
      <c r="E281" s="572"/>
      <c r="F281" s="572"/>
      <c r="G281" s="575"/>
      <c r="H281" s="556"/>
      <c r="I281" s="578"/>
      <c r="J281" s="499"/>
      <c r="K281" s="57">
        <f>+$K$14</f>
        <v>811015</v>
      </c>
      <c r="L281" s="542"/>
      <c r="M281" s="544">
        <f>+$M$14</f>
        <v>0</v>
      </c>
      <c r="N281" s="562"/>
      <c r="O281" s="562"/>
      <c r="P281" s="565"/>
      <c r="Q281" s="567"/>
      <c r="R281" s="567"/>
      <c r="S281" s="569"/>
      <c r="T281" s="592"/>
      <c r="U281" s="541"/>
    </row>
    <row r="282" spans="2:21" ht="29.25" hidden="1" customHeight="1">
      <c r="B282" s="548"/>
      <c r="C282" s="573"/>
      <c r="D282" s="573"/>
      <c r="E282" s="573"/>
      <c r="F282" s="573"/>
      <c r="G282" s="576"/>
      <c r="H282" s="557"/>
      <c r="I282" s="579"/>
      <c r="J282" s="499"/>
      <c r="K282" s="57">
        <f>+$K$15</f>
        <v>841116</v>
      </c>
      <c r="L282" s="543"/>
      <c r="M282" s="545"/>
      <c r="N282" s="563"/>
      <c r="O282" s="563"/>
      <c r="P282" s="566"/>
      <c r="Q282" s="545"/>
      <c r="R282" s="545"/>
      <c r="S282" s="570"/>
      <c r="T282" s="592"/>
      <c r="U282" s="541"/>
    </row>
    <row r="283" spans="2:21" ht="29.25" hidden="1" customHeight="1">
      <c r="B283" s="546">
        <v>3</v>
      </c>
      <c r="C283" s="549"/>
      <c r="D283" s="549"/>
      <c r="E283" s="549"/>
      <c r="F283" s="549"/>
      <c r="G283" s="552"/>
      <c r="H283" s="555"/>
      <c r="I283" s="558"/>
      <c r="J283" s="499"/>
      <c r="K283" s="57">
        <f>+$K$13</f>
        <v>801016</v>
      </c>
      <c r="L283" s="499"/>
      <c r="M283" s="57">
        <f>+$M$13</f>
        <v>0</v>
      </c>
      <c r="N283" s="561"/>
      <c r="O283" s="561"/>
      <c r="P283" s="564"/>
      <c r="Q283" s="544"/>
      <c r="R283" s="544"/>
      <c r="S283" s="568">
        <f>IF(COUNTIF(J283:K285,"CUMPLE")&gt;=1,(G283*I283),0)* (IF(N283="PRESENTÓ CERTIFICADO",1,0))* (IF(O283="ACORDE A ITEM 5.2.2 (T.R.)",1,0) )* ( IF(OR(Q283="SIN OBSERVACIÓN", Q283="REQUERIMIENTOS SUBSANADOS"),1,0)) *(IF(OR(R283="NINGUNO", R283="CUMPLEN CON LO SOLICITADO"),1,0))</f>
        <v>0</v>
      </c>
      <c r="T283" s="592"/>
      <c r="U283" s="541">
        <f t="shared" ref="U283" si="56">IF(COUNTIF(J283:K285,"CUMPLE")&gt;=1,1,0)</f>
        <v>0</v>
      </c>
    </row>
    <row r="284" spans="2:21" ht="29.25" hidden="1" customHeight="1">
      <c r="B284" s="547"/>
      <c r="C284" s="550"/>
      <c r="D284" s="550"/>
      <c r="E284" s="550"/>
      <c r="F284" s="550"/>
      <c r="G284" s="553"/>
      <c r="H284" s="556"/>
      <c r="I284" s="559"/>
      <c r="J284" s="499"/>
      <c r="K284" s="57">
        <f>+$K$14</f>
        <v>811015</v>
      </c>
      <c r="L284" s="542"/>
      <c r="M284" s="544">
        <f>+$M$14</f>
        <v>0</v>
      </c>
      <c r="N284" s="562"/>
      <c r="O284" s="562"/>
      <c r="P284" s="565"/>
      <c r="Q284" s="567"/>
      <c r="R284" s="567"/>
      <c r="S284" s="569"/>
      <c r="T284" s="592"/>
      <c r="U284" s="541"/>
    </row>
    <row r="285" spans="2:21" ht="29.25" hidden="1" customHeight="1">
      <c r="B285" s="548"/>
      <c r="C285" s="551"/>
      <c r="D285" s="551"/>
      <c r="E285" s="551"/>
      <c r="F285" s="551"/>
      <c r="G285" s="554"/>
      <c r="H285" s="557"/>
      <c r="I285" s="560"/>
      <c r="J285" s="499"/>
      <c r="K285" s="57">
        <f>+$K$15</f>
        <v>841116</v>
      </c>
      <c r="L285" s="543"/>
      <c r="M285" s="545"/>
      <c r="N285" s="563"/>
      <c r="O285" s="563"/>
      <c r="P285" s="566"/>
      <c r="Q285" s="545"/>
      <c r="R285" s="545"/>
      <c r="S285" s="570"/>
      <c r="T285" s="592"/>
      <c r="U285" s="541"/>
    </row>
    <row r="286" spans="2:21" ht="29.25" hidden="1" customHeight="1">
      <c r="B286" s="546">
        <v>4</v>
      </c>
      <c r="C286" s="571"/>
      <c r="D286" s="571"/>
      <c r="E286" s="571"/>
      <c r="F286" s="571"/>
      <c r="G286" s="574"/>
      <c r="H286" s="555"/>
      <c r="I286" s="577"/>
      <c r="J286" s="499"/>
      <c r="K286" s="57">
        <f>+$K$13</f>
        <v>801016</v>
      </c>
      <c r="L286" s="499"/>
      <c r="M286" s="57">
        <f>+$M$13</f>
        <v>0</v>
      </c>
      <c r="N286" s="561"/>
      <c r="O286" s="561"/>
      <c r="P286" s="564"/>
      <c r="Q286" s="544"/>
      <c r="R286" s="544"/>
      <c r="S286" s="568">
        <f>IF(COUNTIF(J286:K288,"CUMPLE")&gt;=1,(G286*I286),0)* (IF(N286="PRESENTÓ CERTIFICADO",1,0))* (IF(O286="ACORDE A ITEM 5.2.2 (T.R.)",1,0) )* ( IF(OR(Q286="SIN OBSERVACIÓN", Q286="REQUERIMIENTOS SUBSANADOS"),1,0)) *(IF(OR(R286="NINGUNO", R286="CUMPLEN CON LO SOLICITADO"),1,0))</f>
        <v>0</v>
      </c>
      <c r="T286" s="592"/>
      <c r="U286" s="541">
        <f>IF(COUNTIF(L286:M288,"CUMPLE")&gt;=1,1,0)</f>
        <v>0</v>
      </c>
    </row>
    <row r="287" spans="2:21" ht="29.25" hidden="1" customHeight="1">
      <c r="B287" s="547"/>
      <c r="C287" s="572"/>
      <c r="D287" s="572"/>
      <c r="E287" s="572"/>
      <c r="F287" s="572"/>
      <c r="G287" s="575"/>
      <c r="H287" s="556"/>
      <c r="I287" s="578"/>
      <c r="J287" s="499"/>
      <c r="K287" s="57">
        <f>+$K$14</f>
        <v>811015</v>
      </c>
      <c r="L287" s="542"/>
      <c r="M287" s="544">
        <f>+$M$14</f>
        <v>0</v>
      </c>
      <c r="N287" s="562"/>
      <c r="O287" s="562"/>
      <c r="P287" s="565"/>
      <c r="Q287" s="567"/>
      <c r="R287" s="567"/>
      <c r="S287" s="569"/>
      <c r="T287" s="592"/>
      <c r="U287" s="541"/>
    </row>
    <row r="288" spans="2:21" ht="29.25" hidden="1" customHeight="1">
      <c r="B288" s="548"/>
      <c r="C288" s="573"/>
      <c r="D288" s="573"/>
      <c r="E288" s="573"/>
      <c r="F288" s="573"/>
      <c r="G288" s="576"/>
      <c r="H288" s="557"/>
      <c r="I288" s="579"/>
      <c r="J288" s="499"/>
      <c r="K288" s="57">
        <f>+$K$15</f>
        <v>841116</v>
      </c>
      <c r="L288" s="543"/>
      <c r="M288" s="545"/>
      <c r="N288" s="563"/>
      <c r="O288" s="563"/>
      <c r="P288" s="566"/>
      <c r="Q288" s="545"/>
      <c r="R288" s="545"/>
      <c r="S288" s="570"/>
      <c r="T288" s="592"/>
      <c r="U288" s="541"/>
    </row>
    <row r="289" spans="2:21" ht="29.25" hidden="1" customHeight="1">
      <c r="B289" s="546">
        <v>5</v>
      </c>
      <c r="C289" s="549"/>
      <c r="D289" s="549"/>
      <c r="E289" s="549"/>
      <c r="F289" s="549"/>
      <c r="G289" s="552"/>
      <c r="H289" s="555"/>
      <c r="I289" s="558"/>
      <c r="J289" s="499"/>
      <c r="K289" s="57">
        <f>+$K$13</f>
        <v>801016</v>
      </c>
      <c r="L289" s="499"/>
      <c r="M289" s="57">
        <f>+$M$13</f>
        <v>0</v>
      </c>
      <c r="N289" s="561"/>
      <c r="O289" s="561"/>
      <c r="P289" s="564"/>
      <c r="Q289" s="544"/>
      <c r="R289" s="544"/>
      <c r="S289" s="568">
        <f>IF(COUNTIF(J289:K291,"CUMPLE")&gt;=1,(G289*I289),0)* (IF(N289="PRESENTÓ CERTIFICADO",1,0))* (IF(O289="ACORDE A ITEM 5.2.2 (T.R.)",1,0) )* ( IF(OR(Q289="SIN OBSERVACIÓN", Q289="REQUERIMIENTOS SUBSANADOS"),1,0)) *(IF(OR(R289="NINGUNO", R289="CUMPLEN CON LO SOLICITADO"),1,0))</f>
        <v>0</v>
      </c>
      <c r="T289" s="592"/>
      <c r="U289" s="541">
        <f>IF(COUNTIF(L289:M291,"CUMPLE")&gt;=1,1,0)</f>
        <v>0</v>
      </c>
    </row>
    <row r="290" spans="2:21" ht="29.25" hidden="1" customHeight="1">
      <c r="B290" s="547"/>
      <c r="C290" s="550"/>
      <c r="D290" s="550"/>
      <c r="E290" s="550"/>
      <c r="F290" s="550"/>
      <c r="G290" s="553"/>
      <c r="H290" s="556"/>
      <c r="I290" s="559"/>
      <c r="J290" s="499"/>
      <c r="K290" s="57">
        <f>+$K$14</f>
        <v>811015</v>
      </c>
      <c r="L290" s="542"/>
      <c r="M290" s="544">
        <f>+$M$14</f>
        <v>0</v>
      </c>
      <c r="N290" s="562"/>
      <c r="O290" s="562"/>
      <c r="P290" s="565"/>
      <c r="Q290" s="567"/>
      <c r="R290" s="567"/>
      <c r="S290" s="569"/>
      <c r="T290" s="592"/>
      <c r="U290" s="541"/>
    </row>
    <row r="291" spans="2:21" ht="29.25" hidden="1" customHeight="1">
      <c r="B291" s="548"/>
      <c r="C291" s="551"/>
      <c r="D291" s="551"/>
      <c r="E291" s="551"/>
      <c r="F291" s="551"/>
      <c r="G291" s="554"/>
      <c r="H291" s="557"/>
      <c r="I291" s="560"/>
      <c r="J291" s="499"/>
      <c r="K291" s="57">
        <f>+$K$15</f>
        <v>841116</v>
      </c>
      <c r="L291" s="543"/>
      <c r="M291" s="545"/>
      <c r="N291" s="563"/>
      <c r="O291" s="563"/>
      <c r="P291" s="566"/>
      <c r="Q291" s="545"/>
      <c r="R291" s="545"/>
      <c r="S291" s="570"/>
      <c r="T291" s="593"/>
      <c r="U291" s="541"/>
    </row>
    <row r="292" spans="2:21" ht="18" hidden="1" customHeight="1">
      <c r="B292" s="580" t="str">
        <f>IF(S293=" "," ",IF(S293&gt;=$H$6,"CUMPLE CON LA EXPERIENCIA REQUERIDA","NO CUMPLE CON LA EXPERIENCIA REQUERIDA"))</f>
        <v>NO CUMPLE CON LA EXPERIENCIA REQUERIDA</v>
      </c>
      <c r="C292" s="581"/>
      <c r="D292" s="581"/>
      <c r="E292" s="581"/>
      <c r="F292" s="581"/>
      <c r="G292" s="581"/>
      <c r="H292" s="581"/>
      <c r="I292" s="581"/>
      <c r="J292" s="581"/>
      <c r="K292" s="581"/>
      <c r="L292" s="581"/>
      <c r="M292" s="581"/>
      <c r="N292" s="581"/>
      <c r="O292" s="582"/>
      <c r="P292" s="586" t="s">
        <v>46</v>
      </c>
      <c r="Q292" s="587"/>
      <c r="R292" s="588"/>
      <c r="S292" s="503">
        <f>IF(T277="SI",SUM(S277:S291),0)</f>
        <v>0</v>
      </c>
      <c r="T292" s="589" t="str">
        <f>IF(S293=" "," ",IF(S293&gt;=$H$6,"CUMPLE","NO CUMPLE"))</f>
        <v>NO CUMPLE</v>
      </c>
    </row>
    <row r="293" spans="2:21" ht="18" hidden="1" customHeight="1">
      <c r="B293" s="583"/>
      <c r="C293" s="584"/>
      <c r="D293" s="584"/>
      <c r="E293" s="584"/>
      <c r="F293" s="584"/>
      <c r="G293" s="584"/>
      <c r="H293" s="584"/>
      <c r="I293" s="584"/>
      <c r="J293" s="584"/>
      <c r="K293" s="584"/>
      <c r="L293" s="584"/>
      <c r="M293" s="584"/>
      <c r="N293" s="584"/>
      <c r="O293" s="585"/>
      <c r="P293" s="586" t="s">
        <v>47</v>
      </c>
      <c r="Q293" s="587"/>
      <c r="R293" s="588"/>
      <c r="S293" s="503">
        <f>IFERROR((S292/$P$6)," ")</f>
        <v>0</v>
      </c>
      <c r="T293" s="590"/>
      <c r="U293" s="500"/>
    </row>
    <row r="294" spans="2:21" hidden="1"/>
    <row r="295" spans="2:21" hidden="1"/>
    <row r="296" spans="2:21" hidden="1">
      <c r="B296" s="465">
        <v>14</v>
      </c>
      <c r="C296" s="601" t="s">
        <v>25</v>
      </c>
      <c r="D296" s="602"/>
      <c r="E296" s="603"/>
      <c r="F296" s="604">
        <f>IFERROR(VLOOKUP(B296,LISTA_OFERENTES,2,FALSE)," ")</f>
        <v>0</v>
      </c>
      <c r="G296" s="605"/>
      <c r="H296" s="605"/>
      <c r="I296" s="605"/>
      <c r="J296" s="605"/>
      <c r="K296" s="605"/>
      <c r="L296" s="605"/>
      <c r="M296" s="605"/>
      <c r="N296" s="605"/>
      <c r="O296" s="606"/>
      <c r="P296" s="607" t="s">
        <v>26</v>
      </c>
      <c r="Q296" s="608"/>
      <c r="R296" s="609"/>
      <c r="S296" s="491">
        <f>5-(INT(COUNTBLANK(C299:C313))-10)</f>
        <v>0</v>
      </c>
    </row>
    <row r="297" spans="2:21" ht="51" hidden="1" customHeight="1">
      <c r="B297" s="610" t="s">
        <v>27</v>
      </c>
      <c r="C297" s="596" t="s">
        <v>28</v>
      </c>
      <c r="D297" s="596" t="s">
        <v>29</v>
      </c>
      <c r="E297" s="596" t="s">
        <v>30</v>
      </c>
      <c r="F297" s="596" t="s">
        <v>31</v>
      </c>
      <c r="G297" s="596" t="s">
        <v>32</v>
      </c>
      <c r="H297" s="596" t="s">
        <v>33</v>
      </c>
      <c r="I297" s="596" t="s">
        <v>34</v>
      </c>
      <c r="J297" s="594" t="s">
        <v>35</v>
      </c>
      <c r="K297" s="612"/>
      <c r="L297" s="612"/>
      <c r="M297" s="595"/>
      <c r="N297" s="596" t="s">
        <v>36</v>
      </c>
      <c r="O297" s="596" t="s">
        <v>37</v>
      </c>
      <c r="P297" s="594" t="s">
        <v>38</v>
      </c>
      <c r="Q297" s="595"/>
      <c r="R297" s="596" t="s">
        <v>39</v>
      </c>
      <c r="S297" s="596" t="s">
        <v>40</v>
      </c>
      <c r="T297" s="596" t="str">
        <f>+$T$11</f>
        <v>Dentro de su objeto o alcance incluyan Interventoría o Supervisión Técnica Independiente, mínimo uno (1) debe
corresponder a Interventoría, a obras de Construcción de edificaciones de grupos de uso I, II, III
o IV, conforme al título A de la NSR-10.
Obligatorio estar en 811015</v>
      </c>
      <c r="U297" s="596" t="str">
        <f>+$U$11</f>
        <v xml:space="preserve">VERIFICACIÓN CONDICIÓN DE EXPERIENCIA  </v>
      </c>
    </row>
    <row r="298" spans="2:21" ht="54.75" hidden="1" customHeight="1">
      <c r="B298" s="611"/>
      <c r="C298" s="597"/>
      <c r="D298" s="597"/>
      <c r="E298" s="597"/>
      <c r="F298" s="597"/>
      <c r="G298" s="597"/>
      <c r="H298" s="597"/>
      <c r="I298" s="597"/>
      <c r="J298" s="598" t="s">
        <v>43</v>
      </c>
      <c r="K298" s="599"/>
      <c r="L298" s="599"/>
      <c r="M298" s="600"/>
      <c r="N298" s="597"/>
      <c r="O298" s="597"/>
      <c r="P298" s="493" t="s">
        <v>10</v>
      </c>
      <c r="Q298" s="493" t="s">
        <v>44</v>
      </c>
      <c r="R298" s="597"/>
      <c r="S298" s="597"/>
      <c r="T298" s="597"/>
      <c r="U298" s="597"/>
    </row>
    <row r="299" spans="2:21" ht="33" hidden="1" customHeight="1">
      <c r="B299" s="546">
        <v>1</v>
      </c>
      <c r="C299" s="549"/>
      <c r="D299" s="549"/>
      <c r="E299" s="549"/>
      <c r="F299" s="549"/>
      <c r="G299" s="552"/>
      <c r="H299" s="555"/>
      <c r="I299" s="558"/>
      <c r="J299" s="499"/>
      <c r="K299" s="57">
        <f>+$K$13</f>
        <v>801016</v>
      </c>
      <c r="L299" s="499"/>
      <c r="M299" s="57">
        <f>+$M$13</f>
        <v>0</v>
      </c>
      <c r="N299" s="561"/>
      <c r="O299" s="561"/>
      <c r="P299" s="564"/>
      <c r="Q299" s="544"/>
      <c r="R299" s="544"/>
      <c r="S299" s="568">
        <f>IF(COUNTIF(J299:K301,"CUMPLE")&gt;=1,(G299*I299),0)* (IF(N299="PRESENTÓ CERTIFICADO",1,0))* (IF(O299="ACORDE A ITEM 5.2.2 (T.R.)",1,0) )* ( IF(OR(Q299="SIN OBSERVACIÓN", Q299="REQUERIMIENTOS SUBSANADOS"),1,0)) *(IF(OR(R299="NINGUNO", R299="CUMPLEN CON LO SOLICITADO"),1,0))</f>
        <v>0</v>
      </c>
      <c r="T299" s="591"/>
      <c r="U299" s="541">
        <f>IF(COUNTIF(L299:M301,"CUMPLE")&gt;=1,1,0)</f>
        <v>0</v>
      </c>
    </row>
    <row r="300" spans="2:21" ht="33" hidden="1" customHeight="1">
      <c r="B300" s="547"/>
      <c r="C300" s="550"/>
      <c r="D300" s="550"/>
      <c r="E300" s="550"/>
      <c r="F300" s="550"/>
      <c r="G300" s="553"/>
      <c r="H300" s="556"/>
      <c r="I300" s="559"/>
      <c r="J300" s="499"/>
      <c r="K300" s="57">
        <f>+$K$14</f>
        <v>811015</v>
      </c>
      <c r="L300" s="542"/>
      <c r="M300" s="544">
        <f>+$M$14</f>
        <v>0</v>
      </c>
      <c r="N300" s="562"/>
      <c r="O300" s="562"/>
      <c r="P300" s="565"/>
      <c r="Q300" s="567"/>
      <c r="R300" s="567"/>
      <c r="S300" s="569"/>
      <c r="T300" s="592"/>
      <c r="U300" s="541"/>
    </row>
    <row r="301" spans="2:21" ht="33" hidden="1" customHeight="1">
      <c r="B301" s="548"/>
      <c r="C301" s="551"/>
      <c r="D301" s="551"/>
      <c r="E301" s="551"/>
      <c r="F301" s="551"/>
      <c r="G301" s="554"/>
      <c r="H301" s="557"/>
      <c r="I301" s="560"/>
      <c r="J301" s="499"/>
      <c r="K301" s="57">
        <f>+$K$15</f>
        <v>841116</v>
      </c>
      <c r="L301" s="543"/>
      <c r="M301" s="545"/>
      <c r="N301" s="563"/>
      <c r="O301" s="563"/>
      <c r="P301" s="566"/>
      <c r="Q301" s="545"/>
      <c r="R301" s="545"/>
      <c r="S301" s="570"/>
      <c r="T301" s="592"/>
      <c r="U301" s="541"/>
    </row>
    <row r="302" spans="2:21" ht="33" hidden="1" customHeight="1">
      <c r="B302" s="546">
        <v>2</v>
      </c>
      <c r="C302" s="571"/>
      <c r="D302" s="571"/>
      <c r="E302" s="571"/>
      <c r="F302" s="571"/>
      <c r="G302" s="574"/>
      <c r="H302" s="555"/>
      <c r="I302" s="577"/>
      <c r="J302" s="499"/>
      <c r="K302" s="57">
        <f>+$K$13</f>
        <v>801016</v>
      </c>
      <c r="L302" s="499"/>
      <c r="M302" s="57">
        <f>+$M$13</f>
        <v>0</v>
      </c>
      <c r="N302" s="561"/>
      <c r="O302" s="561"/>
      <c r="P302" s="564"/>
      <c r="Q302" s="544"/>
      <c r="R302" s="544"/>
      <c r="S302" s="568">
        <f>IF(COUNTIF(J302:K304,"CUMPLE")&gt;=1,(G302*I302),0)* (IF(N302="PRESENTÓ CERTIFICADO",1,0))* (IF(O302="ACORDE A ITEM 5.2.2 (T.R.)",1,0) )* ( IF(OR(Q302="SIN OBSERVACIÓN", Q302="REQUERIMIENTOS SUBSANADOS"),1,0)) *(IF(OR(R302="NINGUNO", R302="CUMPLEN CON LO SOLICITADO"),1,0))</f>
        <v>0</v>
      </c>
      <c r="T302" s="592"/>
      <c r="U302" s="541">
        <f>IF(COUNTIF(L302:M304,"CUMPLE")&gt;=1,1,0)</f>
        <v>0</v>
      </c>
    </row>
    <row r="303" spans="2:21" ht="33" hidden="1" customHeight="1">
      <c r="B303" s="547"/>
      <c r="C303" s="572"/>
      <c r="D303" s="572"/>
      <c r="E303" s="572"/>
      <c r="F303" s="572"/>
      <c r="G303" s="575"/>
      <c r="H303" s="556"/>
      <c r="I303" s="578"/>
      <c r="J303" s="499"/>
      <c r="K303" s="57">
        <f>+$K$14</f>
        <v>811015</v>
      </c>
      <c r="L303" s="542"/>
      <c r="M303" s="544">
        <f>+$M$14</f>
        <v>0</v>
      </c>
      <c r="N303" s="562"/>
      <c r="O303" s="562"/>
      <c r="P303" s="565"/>
      <c r="Q303" s="567"/>
      <c r="R303" s="567"/>
      <c r="S303" s="569"/>
      <c r="T303" s="592"/>
      <c r="U303" s="541"/>
    </row>
    <row r="304" spans="2:21" ht="33" hidden="1" customHeight="1">
      <c r="B304" s="548"/>
      <c r="C304" s="573"/>
      <c r="D304" s="573"/>
      <c r="E304" s="573"/>
      <c r="F304" s="573"/>
      <c r="G304" s="576"/>
      <c r="H304" s="557"/>
      <c r="I304" s="579"/>
      <c r="J304" s="499"/>
      <c r="K304" s="57">
        <f>+$K$15</f>
        <v>841116</v>
      </c>
      <c r="L304" s="543"/>
      <c r="M304" s="545"/>
      <c r="N304" s="563"/>
      <c r="O304" s="563"/>
      <c r="P304" s="566"/>
      <c r="Q304" s="545"/>
      <c r="R304" s="545"/>
      <c r="S304" s="570"/>
      <c r="T304" s="592"/>
      <c r="U304" s="541"/>
    </row>
    <row r="305" spans="2:21" ht="33" hidden="1" customHeight="1">
      <c r="B305" s="546">
        <v>3</v>
      </c>
      <c r="C305" s="549"/>
      <c r="D305" s="549"/>
      <c r="E305" s="549"/>
      <c r="F305" s="549"/>
      <c r="G305" s="552"/>
      <c r="H305" s="555"/>
      <c r="I305" s="558"/>
      <c r="J305" s="499"/>
      <c r="K305" s="57">
        <f>+$K$13</f>
        <v>801016</v>
      </c>
      <c r="L305" s="499"/>
      <c r="M305" s="57">
        <f>+$M$13</f>
        <v>0</v>
      </c>
      <c r="N305" s="561"/>
      <c r="O305" s="561"/>
      <c r="P305" s="564"/>
      <c r="Q305" s="544"/>
      <c r="R305" s="544"/>
      <c r="S305" s="568">
        <f>IF(COUNTIF(J305:K307,"CUMPLE")&gt;=1,(G305*I305),0)* (IF(N305="PRESENTÓ CERTIFICADO",1,0))* (IF(O305="ACORDE A ITEM 5.2.2 (T.R.)",1,0) )* ( IF(OR(Q305="SIN OBSERVACIÓN", Q305="REQUERIMIENTOS SUBSANADOS"),1,0)) *(IF(OR(R305="NINGUNO", R305="CUMPLEN CON LO SOLICITADO"),1,0))</f>
        <v>0</v>
      </c>
      <c r="T305" s="592"/>
      <c r="U305" s="541">
        <f>IF(COUNTIF(L305:M307,"CUMPLE")&gt;=1,1,0)</f>
        <v>0</v>
      </c>
    </row>
    <row r="306" spans="2:21" ht="33" hidden="1" customHeight="1">
      <c r="B306" s="547"/>
      <c r="C306" s="550"/>
      <c r="D306" s="550"/>
      <c r="E306" s="550"/>
      <c r="F306" s="550"/>
      <c r="G306" s="553"/>
      <c r="H306" s="556"/>
      <c r="I306" s="559"/>
      <c r="J306" s="499"/>
      <c r="K306" s="57">
        <f>+$K$14</f>
        <v>811015</v>
      </c>
      <c r="L306" s="542"/>
      <c r="M306" s="544">
        <f>+$M$14</f>
        <v>0</v>
      </c>
      <c r="N306" s="562"/>
      <c r="O306" s="562"/>
      <c r="P306" s="565"/>
      <c r="Q306" s="567"/>
      <c r="R306" s="567"/>
      <c r="S306" s="569"/>
      <c r="T306" s="592"/>
      <c r="U306" s="541"/>
    </row>
    <row r="307" spans="2:21" ht="33" hidden="1" customHeight="1">
      <c r="B307" s="548"/>
      <c r="C307" s="551"/>
      <c r="D307" s="551"/>
      <c r="E307" s="551"/>
      <c r="F307" s="551"/>
      <c r="G307" s="554"/>
      <c r="H307" s="557"/>
      <c r="I307" s="560"/>
      <c r="J307" s="499"/>
      <c r="K307" s="57">
        <f>+$K$15</f>
        <v>841116</v>
      </c>
      <c r="L307" s="543"/>
      <c r="M307" s="545"/>
      <c r="N307" s="563"/>
      <c r="O307" s="563"/>
      <c r="P307" s="566"/>
      <c r="Q307" s="545"/>
      <c r="R307" s="545"/>
      <c r="S307" s="570"/>
      <c r="T307" s="592"/>
      <c r="U307" s="541"/>
    </row>
    <row r="308" spans="2:21" ht="33" hidden="1" customHeight="1">
      <c r="B308" s="546">
        <v>4</v>
      </c>
      <c r="C308" s="571"/>
      <c r="D308" s="571"/>
      <c r="E308" s="571"/>
      <c r="F308" s="571"/>
      <c r="G308" s="574"/>
      <c r="H308" s="555"/>
      <c r="I308" s="577"/>
      <c r="J308" s="499"/>
      <c r="K308" s="57">
        <f>+$K$13</f>
        <v>801016</v>
      </c>
      <c r="L308" s="499"/>
      <c r="M308" s="57">
        <f>+$M$13</f>
        <v>0</v>
      </c>
      <c r="N308" s="561"/>
      <c r="O308" s="561"/>
      <c r="P308" s="564"/>
      <c r="Q308" s="544"/>
      <c r="R308" s="544"/>
      <c r="S308" s="568">
        <f>IF(COUNTIF(J308:K310,"CUMPLE")&gt;=1,(G308*I308),0)* (IF(N308="PRESENTÓ CERTIFICADO",1,0))* (IF(O308="ACORDE A ITEM 5.2.2 (T.R.)",1,0) )* ( IF(OR(Q308="SIN OBSERVACIÓN", Q308="REQUERIMIENTOS SUBSANADOS"),1,0)) *(IF(OR(R308="NINGUNO", R308="CUMPLEN CON LO SOLICITADO"),1,0))</f>
        <v>0</v>
      </c>
      <c r="T308" s="592"/>
      <c r="U308" s="541">
        <f>IF(COUNTIF(L308:M310,"CUMPLE")&gt;=1,1,0)</f>
        <v>0</v>
      </c>
    </row>
    <row r="309" spans="2:21" ht="33" hidden="1" customHeight="1">
      <c r="B309" s="547"/>
      <c r="C309" s="572"/>
      <c r="D309" s="572"/>
      <c r="E309" s="572"/>
      <c r="F309" s="572"/>
      <c r="G309" s="575"/>
      <c r="H309" s="556"/>
      <c r="I309" s="578"/>
      <c r="J309" s="499"/>
      <c r="K309" s="57">
        <f>+$K$14</f>
        <v>811015</v>
      </c>
      <c r="L309" s="542"/>
      <c r="M309" s="544">
        <f>+$M$14</f>
        <v>0</v>
      </c>
      <c r="N309" s="562"/>
      <c r="O309" s="562"/>
      <c r="P309" s="565"/>
      <c r="Q309" s="567"/>
      <c r="R309" s="567"/>
      <c r="S309" s="569"/>
      <c r="T309" s="592"/>
      <c r="U309" s="541"/>
    </row>
    <row r="310" spans="2:21" ht="33" hidden="1" customHeight="1">
      <c r="B310" s="548"/>
      <c r="C310" s="573"/>
      <c r="D310" s="573"/>
      <c r="E310" s="573"/>
      <c r="F310" s="573"/>
      <c r="G310" s="576"/>
      <c r="H310" s="557"/>
      <c r="I310" s="579"/>
      <c r="J310" s="499"/>
      <c r="K310" s="57">
        <f>+$K$15</f>
        <v>841116</v>
      </c>
      <c r="L310" s="543"/>
      <c r="M310" s="545"/>
      <c r="N310" s="563"/>
      <c r="O310" s="563"/>
      <c r="P310" s="566"/>
      <c r="Q310" s="545"/>
      <c r="R310" s="545"/>
      <c r="S310" s="570"/>
      <c r="T310" s="592"/>
      <c r="U310" s="541"/>
    </row>
    <row r="311" spans="2:21" ht="33" hidden="1" customHeight="1">
      <c r="B311" s="546">
        <v>5</v>
      </c>
      <c r="C311" s="549"/>
      <c r="D311" s="549"/>
      <c r="E311" s="549"/>
      <c r="F311" s="549"/>
      <c r="G311" s="552"/>
      <c r="H311" s="555"/>
      <c r="I311" s="558"/>
      <c r="J311" s="499"/>
      <c r="K311" s="57">
        <f>+$K$13</f>
        <v>801016</v>
      </c>
      <c r="L311" s="499"/>
      <c r="M311" s="57">
        <f>+$M$13</f>
        <v>0</v>
      </c>
      <c r="N311" s="561"/>
      <c r="O311" s="561"/>
      <c r="P311" s="564"/>
      <c r="Q311" s="544"/>
      <c r="R311" s="544"/>
      <c r="S311" s="568">
        <f>IF(COUNTIF(J311:K313,"CUMPLE")&gt;=1,(G311*I311),0)* (IF(N311="PRESENTÓ CERTIFICADO",1,0))* (IF(O311="ACORDE A ITEM 5.2.2 (T.R.)",1,0) )* ( IF(OR(Q311="SIN OBSERVACIÓN", Q311="REQUERIMIENTOS SUBSANADOS"),1,0)) *(IF(OR(R311="NINGUNO", R311="CUMPLEN CON LO SOLICITADO"),1,0))</f>
        <v>0</v>
      </c>
      <c r="T311" s="592"/>
      <c r="U311" s="541">
        <f>IF(COUNTIF(L311:M313,"CUMPLE")&gt;=1,1,0)</f>
        <v>0</v>
      </c>
    </row>
    <row r="312" spans="2:21" ht="33" hidden="1" customHeight="1">
      <c r="B312" s="547"/>
      <c r="C312" s="550"/>
      <c r="D312" s="550"/>
      <c r="E312" s="550"/>
      <c r="F312" s="550"/>
      <c r="G312" s="553"/>
      <c r="H312" s="556"/>
      <c r="I312" s="559"/>
      <c r="J312" s="499"/>
      <c r="K312" s="57">
        <f>+$K$14</f>
        <v>811015</v>
      </c>
      <c r="L312" s="542"/>
      <c r="M312" s="544">
        <f>+$M$14</f>
        <v>0</v>
      </c>
      <c r="N312" s="562"/>
      <c r="O312" s="562"/>
      <c r="P312" s="565"/>
      <c r="Q312" s="567"/>
      <c r="R312" s="567"/>
      <c r="S312" s="569"/>
      <c r="T312" s="592"/>
      <c r="U312" s="541"/>
    </row>
    <row r="313" spans="2:21" ht="33" hidden="1" customHeight="1">
      <c r="B313" s="548"/>
      <c r="C313" s="551"/>
      <c r="D313" s="551"/>
      <c r="E313" s="551"/>
      <c r="F313" s="551"/>
      <c r="G313" s="554"/>
      <c r="H313" s="557"/>
      <c r="I313" s="560"/>
      <c r="J313" s="499"/>
      <c r="K313" s="57">
        <f>+$K$15</f>
        <v>841116</v>
      </c>
      <c r="L313" s="543"/>
      <c r="M313" s="545"/>
      <c r="N313" s="563"/>
      <c r="O313" s="563"/>
      <c r="P313" s="566"/>
      <c r="Q313" s="545"/>
      <c r="R313" s="545"/>
      <c r="S313" s="570"/>
      <c r="T313" s="593"/>
      <c r="U313" s="541"/>
    </row>
    <row r="314" spans="2:21" ht="18" hidden="1" customHeight="1">
      <c r="B314" s="580" t="str">
        <f>IF(S315=" "," ",IF(S315&gt;=$H$6,"CUMPLE CON LA EXPERIENCIA REQUERIDA","NO CUMPLE CON LA EXPERIENCIA REQUERIDA"))</f>
        <v>NO CUMPLE CON LA EXPERIENCIA REQUERIDA</v>
      </c>
      <c r="C314" s="581"/>
      <c r="D314" s="581"/>
      <c r="E314" s="581"/>
      <c r="F314" s="581"/>
      <c r="G314" s="581"/>
      <c r="H314" s="581"/>
      <c r="I314" s="581"/>
      <c r="J314" s="581"/>
      <c r="K314" s="581"/>
      <c r="L314" s="581"/>
      <c r="M314" s="581"/>
      <c r="N314" s="581"/>
      <c r="O314" s="582"/>
      <c r="P314" s="586" t="s">
        <v>46</v>
      </c>
      <c r="Q314" s="587"/>
      <c r="R314" s="588"/>
      <c r="S314" s="503">
        <f>IF(T299="SI",SUM(S299:S313),0)</f>
        <v>0</v>
      </c>
      <c r="T314" s="589" t="str">
        <f>IF(S315=" "," ",IF(S315&gt;=$H$6,"CUMPLE","NO CUMPLE"))</f>
        <v>NO CUMPLE</v>
      </c>
    </row>
    <row r="315" spans="2:21" ht="18" hidden="1" customHeight="1">
      <c r="B315" s="583"/>
      <c r="C315" s="584"/>
      <c r="D315" s="584"/>
      <c r="E315" s="584"/>
      <c r="F315" s="584"/>
      <c r="G315" s="584"/>
      <c r="H315" s="584"/>
      <c r="I315" s="584"/>
      <c r="J315" s="584"/>
      <c r="K315" s="584"/>
      <c r="L315" s="584"/>
      <c r="M315" s="584"/>
      <c r="N315" s="584"/>
      <c r="O315" s="585"/>
      <c r="P315" s="586" t="s">
        <v>47</v>
      </c>
      <c r="Q315" s="587"/>
      <c r="R315" s="588"/>
      <c r="S315" s="503">
        <f>IFERROR((S314/$P$6)," ")</f>
        <v>0</v>
      </c>
      <c r="T315" s="590"/>
      <c r="U315" s="500"/>
    </row>
  </sheetData>
  <sheetProtection algorithmName="SHA-512" hashValue="PJTGImodJqDKoTlv/b+IjUabBuXrYgXSyFZrZdTh/vLdvJrgvyTwU085EsRPRlU//Rnv8F8LLbiumxoN01D6gA==" saltValue="vO+cisHi2Ybznf/wjk5i4A==" spinCount="100000" sheet="1" objects="1" scenarios="1"/>
  <mergeCells count="1550">
    <mergeCell ref="B314:O315"/>
    <mergeCell ref="P314:R314"/>
    <mergeCell ref="T314:T315"/>
    <mergeCell ref="P315:R315"/>
    <mergeCell ref="B311:B313"/>
    <mergeCell ref="C311:C313"/>
    <mergeCell ref="D311:D313"/>
    <mergeCell ref="E311:E313"/>
    <mergeCell ref="F311:F313"/>
    <mergeCell ref="G311:G313"/>
    <mergeCell ref="H311:H313"/>
    <mergeCell ref="I311:I313"/>
    <mergeCell ref="N311:N313"/>
    <mergeCell ref="O311:O313"/>
    <mergeCell ref="P311:P313"/>
    <mergeCell ref="Q311:Q313"/>
    <mergeCell ref="R311:R313"/>
    <mergeCell ref="S311:S313"/>
    <mergeCell ref="U311:U313"/>
    <mergeCell ref="L312:L313"/>
    <mergeCell ref="M312:M313"/>
    <mergeCell ref="B308:B310"/>
    <mergeCell ref="C308:C310"/>
    <mergeCell ref="D308:D310"/>
    <mergeCell ref="E308:E310"/>
    <mergeCell ref="F308:F310"/>
    <mergeCell ref="G308:G310"/>
    <mergeCell ref="H308:H310"/>
    <mergeCell ref="I308:I310"/>
    <mergeCell ref="N308:N310"/>
    <mergeCell ref="O308:O310"/>
    <mergeCell ref="P308:P310"/>
    <mergeCell ref="Q308:Q310"/>
    <mergeCell ref="R308:R310"/>
    <mergeCell ref="S308:S310"/>
    <mergeCell ref="U308:U310"/>
    <mergeCell ref="L309:L310"/>
    <mergeCell ref="M309:M310"/>
    <mergeCell ref="R302:R304"/>
    <mergeCell ref="S302:S304"/>
    <mergeCell ref="U302:U304"/>
    <mergeCell ref="L303:L304"/>
    <mergeCell ref="M303:M304"/>
    <mergeCell ref="B305:B307"/>
    <mergeCell ref="C305:C307"/>
    <mergeCell ref="D305:D307"/>
    <mergeCell ref="E305:E307"/>
    <mergeCell ref="F305:F307"/>
    <mergeCell ref="G305:G307"/>
    <mergeCell ref="H305:H307"/>
    <mergeCell ref="I305:I307"/>
    <mergeCell ref="N305:N307"/>
    <mergeCell ref="O305:O307"/>
    <mergeCell ref="P305:P307"/>
    <mergeCell ref="Q305:Q307"/>
    <mergeCell ref="R305:R307"/>
    <mergeCell ref="S305:S307"/>
    <mergeCell ref="U305:U307"/>
    <mergeCell ref="L306:L307"/>
    <mergeCell ref="M306:M307"/>
    <mergeCell ref="U297:U298"/>
    <mergeCell ref="J298:M298"/>
    <mergeCell ref="B299:B301"/>
    <mergeCell ref="C299:C301"/>
    <mergeCell ref="D299:D301"/>
    <mergeCell ref="E299:E301"/>
    <mergeCell ref="F299:F301"/>
    <mergeCell ref="G299:G301"/>
    <mergeCell ref="H299:H301"/>
    <mergeCell ref="I299:I301"/>
    <mergeCell ref="N299:N301"/>
    <mergeCell ref="O299:O301"/>
    <mergeCell ref="P299:P301"/>
    <mergeCell ref="Q299:Q301"/>
    <mergeCell ref="R299:R301"/>
    <mergeCell ref="S299:S301"/>
    <mergeCell ref="T299:T313"/>
    <mergeCell ref="U299:U301"/>
    <mergeCell ref="L300:L301"/>
    <mergeCell ref="M300:M301"/>
    <mergeCell ref="B302:B304"/>
    <mergeCell ref="C302:C304"/>
    <mergeCell ref="D302:D304"/>
    <mergeCell ref="E302:E304"/>
    <mergeCell ref="F302:F304"/>
    <mergeCell ref="G302:G304"/>
    <mergeCell ref="H302:H304"/>
    <mergeCell ref="I302:I304"/>
    <mergeCell ref="N302:N304"/>
    <mergeCell ref="O302:O304"/>
    <mergeCell ref="P302:P304"/>
    <mergeCell ref="Q302:Q304"/>
    <mergeCell ref="B292:O293"/>
    <mergeCell ref="P292:R292"/>
    <mergeCell ref="T292:T293"/>
    <mergeCell ref="P293:R293"/>
    <mergeCell ref="C296:E296"/>
    <mergeCell ref="F296:O296"/>
    <mergeCell ref="P296:R296"/>
    <mergeCell ref="B297:B298"/>
    <mergeCell ref="C297:C298"/>
    <mergeCell ref="D297:D298"/>
    <mergeCell ref="E297:E298"/>
    <mergeCell ref="F297:F298"/>
    <mergeCell ref="G297:G298"/>
    <mergeCell ref="H297:H298"/>
    <mergeCell ref="I297:I298"/>
    <mergeCell ref="J297:M297"/>
    <mergeCell ref="N297:N298"/>
    <mergeCell ref="O297:O298"/>
    <mergeCell ref="P297:Q297"/>
    <mergeCell ref="R297:R298"/>
    <mergeCell ref="S297:S298"/>
    <mergeCell ref="T297:T298"/>
    <mergeCell ref="B289:B291"/>
    <mergeCell ref="C289:C291"/>
    <mergeCell ref="D289:D291"/>
    <mergeCell ref="E289:E291"/>
    <mergeCell ref="F289:F291"/>
    <mergeCell ref="G289:G291"/>
    <mergeCell ref="H289:H291"/>
    <mergeCell ref="I289:I291"/>
    <mergeCell ref="N289:N291"/>
    <mergeCell ref="O289:O291"/>
    <mergeCell ref="P289:P291"/>
    <mergeCell ref="Q289:Q291"/>
    <mergeCell ref="R289:R291"/>
    <mergeCell ref="S289:S291"/>
    <mergeCell ref="U289:U291"/>
    <mergeCell ref="L290:L291"/>
    <mergeCell ref="M290:M291"/>
    <mergeCell ref="B286:B288"/>
    <mergeCell ref="C286:C288"/>
    <mergeCell ref="D286:D288"/>
    <mergeCell ref="E286:E288"/>
    <mergeCell ref="F286:F288"/>
    <mergeCell ref="G286:G288"/>
    <mergeCell ref="H286:H288"/>
    <mergeCell ref="I286:I288"/>
    <mergeCell ref="N286:N288"/>
    <mergeCell ref="O286:O288"/>
    <mergeCell ref="P286:P288"/>
    <mergeCell ref="Q286:Q288"/>
    <mergeCell ref="R286:R288"/>
    <mergeCell ref="S286:S288"/>
    <mergeCell ref="U286:U288"/>
    <mergeCell ref="L287:L288"/>
    <mergeCell ref="M287:M288"/>
    <mergeCell ref="R280:R282"/>
    <mergeCell ref="S280:S282"/>
    <mergeCell ref="U280:U282"/>
    <mergeCell ref="L281:L282"/>
    <mergeCell ref="M281:M282"/>
    <mergeCell ref="B283:B285"/>
    <mergeCell ref="C283:C285"/>
    <mergeCell ref="D283:D285"/>
    <mergeCell ref="E283:E285"/>
    <mergeCell ref="F283:F285"/>
    <mergeCell ref="G283:G285"/>
    <mergeCell ref="H283:H285"/>
    <mergeCell ref="I283:I285"/>
    <mergeCell ref="N283:N285"/>
    <mergeCell ref="O283:O285"/>
    <mergeCell ref="P283:P285"/>
    <mergeCell ref="Q283:Q285"/>
    <mergeCell ref="R283:R285"/>
    <mergeCell ref="S283:S285"/>
    <mergeCell ref="U283:U285"/>
    <mergeCell ref="L284:L285"/>
    <mergeCell ref="M284:M285"/>
    <mergeCell ref="U275:U276"/>
    <mergeCell ref="J276:M276"/>
    <mergeCell ref="B277:B279"/>
    <mergeCell ref="C277:C279"/>
    <mergeCell ref="D277:D279"/>
    <mergeCell ref="E277:E279"/>
    <mergeCell ref="F277:F279"/>
    <mergeCell ref="G277:G279"/>
    <mergeCell ref="H277:H279"/>
    <mergeCell ref="I277:I279"/>
    <mergeCell ref="N277:N279"/>
    <mergeCell ref="O277:O279"/>
    <mergeCell ref="P277:P279"/>
    <mergeCell ref="Q277:Q279"/>
    <mergeCell ref="R277:R279"/>
    <mergeCell ref="S277:S279"/>
    <mergeCell ref="T277:T291"/>
    <mergeCell ref="U277:U279"/>
    <mergeCell ref="L278:L279"/>
    <mergeCell ref="M278:M279"/>
    <mergeCell ref="B280:B282"/>
    <mergeCell ref="C280:C282"/>
    <mergeCell ref="D280:D282"/>
    <mergeCell ref="E280:E282"/>
    <mergeCell ref="F280:F282"/>
    <mergeCell ref="G280:G282"/>
    <mergeCell ref="H280:H282"/>
    <mergeCell ref="I280:I282"/>
    <mergeCell ref="N280:N282"/>
    <mergeCell ref="O280:O282"/>
    <mergeCell ref="P280:P282"/>
    <mergeCell ref="Q280:Q282"/>
    <mergeCell ref="B270:O271"/>
    <mergeCell ref="P270:R270"/>
    <mergeCell ref="T270:T271"/>
    <mergeCell ref="P271:R271"/>
    <mergeCell ref="C274:E274"/>
    <mergeCell ref="F274:O274"/>
    <mergeCell ref="P274:R274"/>
    <mergeCell ref="B275:B276"/>
    <mergeCell ref="C275:C276"/>
    <mergeCell ref="D275:D276"/>
    <mergeCell ref="E275:E276"/>
    <mergeCell ref="F275:F276"/>
    <mergeCell ref="G275:G276"/>
    <mergeCell ref="H275:H276"/>
    <mergeCell ref="I275:I276"/>
    <mergeCell ref="J275:M275"/>
    <mergeCell ref="N275:N276"/>
    <mergeCell ref="O275:O276"/>
    <mergeCell ref="P275:Q275"/>
    <mergeCell ref="R275:R276"/>
    <mergeCell ref="S275:S276"/>
    <mergeCell ref="T275:T276"/>
    <mergeCell ref="B267:B269"/>
    <mergeCell ref="C267:C269"/>
    <mergeCell ref="D267:D269"/>
    <mergeCell ref="E267:E269"/>
    <mergeCell ref="F267:F269"/>
    <mergeCell ref="G267:G269"/>
    <mergeCell ref="H267:H269"/>
    <mergeCell ref="I267:I269"/>
    <mergeCell ref="N267:N269"/>
    <mergeCell ref="O267:O269"/>
    <mergeCell ref="P267:P269"/>
    <mergeCell ref="Q267:Q269"/>
    <mergeCell ref="R267:R269"/>
    <mergeCell ref="S267:S269"/>
    <mergeCell ref="U267:U269"/>
    <mergeCell ref="L268:L269"/>
    <mergeCell ref="M268:M269"/>
    <mergeCell ref="B264:B266"/>
    <mergeCell ref="C264:C266"/>
    <mergeCell ref="D264:D266"/>
    <mergeCell ref="E264:E266"/>
    <mergeCell ref="F264:F266"/>
    <mergeCell ref="G264:G266"/>
    <mergeCell ref="H264:H266"/>
    <mergeCell ref="I264:I266"/>
    <mergeCell ref="N264:N266"/>
    <mergeCell ref="O264:O266"/>
    <mergeCell ref="P264:P266"/>
    <mergeCell ref="Q264:Q266"/>
    <mergeCell ref="R264:R266"/>
    <mergeCell ref="S264:S266"/>
    <mergeCell ref="U264:U266"/>
    <mergeCell ref="L265:L266"/>
    <mergeCell ref="M265:M266"/>
    <mergeCell ref="R258:R260"/>
    <mergeCell ref="S258:S260"/>
    <mergeCell ref="U258:U260"/>
    <mergeCell ref="L259:L260"/>
    <mergeCell ref="M259:M260"/>
    <mergeCell ref="B261:B263"/>
    <mergeCell ref="C261:C263"/>
    <mergeCell ref="D261:D263"/>
    <mergeCell ref="E261:E263"/>
    <mergeCell ref="F261:F263"/>
    <mergeCell ref="G261:G263"/>
    <mergeCell ref="H261:H263"/>
    <mergeCell ref="I261:I263"/>
    <mergeCell ref="N261:N263"/>
    <mergeCell ref="O261:O263"/>
    <mergeCell ref="P261:P263"/>
    <mergeCell ref="Q261:Q263"/>
    <mergeCell ref="R261:R263"/>
    <mergeCell ref="S261:S263"/>
    <mergeCell ref="U261:U263"/>
    <mergeCell ref="L262:L263"/>
    <mergeCell ref="M262:M263"/>
    <mergeCell ref="U253:U254"/>
    <mergeCell ref="J254:M254"/>
    <mergeCell ref="B255:B257"/>
    <mergeCell ref="C255:C257"/>
    <mergeCell ref="D255:D257"/>
    <mergeCell ref="E255:E257"/>
    <mergeCell ref="F255:F257"/>
    <mergeCell ref="G255:G257"/>
    <mergeCell ref="H255:H257"/>
    <mergeCell ref="I255:I257"/>
    <mergeCell ref="N255:N257"/>
    <mergeCell ref="O255:O257"/>
    <mergeCell ref="P255:P257"/>
    <mergeCell ref="Q255:Q257"/>
    <mergeCell ref="R255:R257"/>
    <mergeCell ref="S255:S257"/>
    <mergeCell ref="T255:T269"/>
    <mergeCell ref="U255:U257"/>
    <mergeCell ref="L256:L257"/>
    <mergeCell ref="M256:M257"/>
    <mergeCell ref="B258:B260"/>
    <mergeCell ref="C258:C260"/>
    <mergeCell ref="D258:D260"/>
    <mergeCell ref="E258:E260"/>
    <mergeCell ref="F258:F260"/>
    <mergeCell ref="G258:G260"/>
    <mergeCell ref="H258:H260"/>
    <mergeCell ref="I258:I260"/>
    <mergeCell ref="N258:N260"/>
    <mergeCell ref="O258:O260"/>
    <mergeCell ref="P258:P260"/>
    <mergeCell ref="Q258:Q260"/>
    <mergeCell ref="B248:O249"/>
    <mergeCell ref="P248:R248"/>
    <mergeCell ref="T248:T249"/>
    <mergeCell ref="P249:R249"/>
    <mergeCell ref="C252:E252"/>
    <mergeCell ref="F252:O252"/>
    <mergeCell ref="P252:R252"/>
    <mergeCell ref="B253:B254"/>
    <mergeCell ref="C253:C254"/>
    <mergeCell ref="D253:D254"/>
    <mergeCell ref="E253:E254"/>
    <mergeCell ref="F253:F254"/>
    <mergeCell ref="G253:G254"/>
    <mergeCell ref="H253:H254"/>
    <mergeCell ref="I253:I254"/>
    <mergeCell ref="J253:M253"/>
    <mergeCell ref="N253:N254"/>
    <mergeCell ref="O253:O254"/>
    <mergeCell ref="P253:Q253"/>
    <mergeCell ref="R253:R254"/>
    <mergeCell ref="S253:S254"/>
    <mergeCell ref="T253:T254"/>
    <mergeCell ref="B245:B247"/>
    <mergeCell ref="C245:C247"/>
    <mergeCell ref="D245:D247"/>
    <mergeCell ref="E245:E247"/>
    <mergeCell ref="F245:F247"/>
    <mergeCell ref="G245:G247"/>
    <mergeCell ref="H245:H247"/>
    <mergeCell ref="I245:I247"/>
    <mergeCell ref="N245:N247"/>
    <mergeCell ref="O245:O247"/>
    <mergeCell ref="P245:P247"/>
    <mergeCell ref="Q245:Q247"/>
    <mergeCell ref="R245:R247"/>
    <mergeCell ref="S245:S247"/>
    <mergeCell ref="U245:U247"/>
    <mergeCell ref="L246:L247"/>
    <mergeCell ref="M246:M247"/>
    <mergeCell ref="B242:B244"/>
    <mergeCell ref="C242:C244"/>
    <mergeCell ref="D242:D244"/>
    <mergeCell ref="E242:E244"/>
    <mergeCell ref="F242:F244"/>
    <mergeCell ref="G242:G244"/>
    <mergeCell ref="H242:H244"/>
    <mergeCell ref="I242:I244"/>
    <mergeCell ref="N242:N244"/>
    <mergeCell ref="O242:O244"/>
    <mergeCell ref="P242:P244"/>
    <mergeCell ref="Q242:Q244"/>
    <mergeCell ref="R242:R244"/>
    <mergeCell ref="S242:S244"/>
    <mergeCell ref="U242:U244"/>
    <mergeCell ref="L243:L244"/>
    <mergeCell ref="M243:M244"/>
    <mergeCell ref="Q236:Q238"/>
    <mergeCell ref="R236:R238"/>
    <mergeCell ref="S236:S238"/>
    <mergeCell ref="U236:U238"/>
    <mergeCell ref="L237:L238"/>
    <mergeCell ref="M237:M238"/>
    <mergeCell ref="B239:B241"/>
    <mergeCell ref="C239:C241"/>
    <mergeCell ref="D239:D241"/>
    <mergeCell ref="E239:E241"/>
    <mergeCell ref="F239:F241"/>
    <mergeCell ref="G239:G241"/>
    <mergeCell ref="H239:H241"/>
    <mergeCell ref="I239:I241"/>
    <mergeCell ref="N239:N241"/>
    <mergeCell ref="O239:O241"/>
    <mergeCell ref="P239:P241"/>
    <mergeCell ref="Q239:Q241"/>
    <mergeCell ref="R239:R241"/>
    <mergeCell ref="S239:S241"/>
    <mergeCell ref="U239:U241"/>
    <mergeCell ref="L240:L241"/>
    <mergeCell ref="M240:M241"/>
    <mergeCell ref="T231:T232"/>
    <mergeCell ref="U231:U232"/>
    <mergeCell ref="J232:M232"/>
    <mergeCell ref="B233:B235"/>
    <mergeCell ref="C233:C235"/>
    <mergeCell ref="D233:D235"/>
    <mergeCell ref="E233:E235"/>
    <mergeCell ref="F233:F235"/>
    <mergeCell ref="G233:G235"/>
    <mergeCell ref="H233:H235"/>
    <mergeCell ref="I233:I235"/>
    <mergeCell ref="N233:N235"/>
    <mergeCell ref="O233:O235"/>
    <mergeCell ref="P233:P235"/>
    <mergeCell ref="Q233:Q235"/>
    <mergeCell ref="R233:R235"/>
    <mergeCell ref="S233:S235"/>
    <mergeCell ref="T233:T247"/>
    <mergeCell ref="U233:U235"/>
    <mergeCell ref="L234:L235"/>
    <mergeCell ref="M234:M235"/>
    <mergeCell ref="B236:B238"/>
    <mergeCell ref="C236:C238"/>
    <mergeCell ref="D236:D238"/>
    <mergeCell ref="E236:E238"/>
    <mergeCell ref="F236:F238"/>
    <mergeCell ref="G236:G238"/>
    <mergeCell ref="H236:H238"/>
    <mergeCell ref="I236:I238"/>
    <mergeCell ref="N236:N238"/>
    <mergeCell ref="O236:O238"/>
    <mergeCell ref="P236:P238"/>
    <mergeCell ref="C230:E230"/>
    <mergeCell ref="F230:O230"/>
    <mergeCell ref="P230:R230"/>
    <mergeCell ref="B231:B232"/>
    <mergeCell ref="C231:C232"/>
    <mergeCell ref="D231:D232"/>
    <mergeCell ref="E231:E232"/>
    <mergeCell ref="F231:F232"/>
    <mergeCell ref="G231:G232"/>
    <mergeCell ref="H231:H232"/>
    <mergeCell ref="I231:I232"/>
    <mergeCell ref="J231:M231"/>
    <mergeCell ref="N231:N232"/>
    <mergeCell ref="O231:O232"/>
    <mergeCell ref="P231:Q231"/>
    <mergeCell ref="R231:R232"/>
    <mergeCell ref="S231:S232"/>
    <mergeCell ref="B1:S1"/>
    <mergeCell ref="B3:S3"/>
    <mergeCell ref="F4:N4"/>
    <mergeCell ref="F5:G5"/>
    <mergeCell ref="L5:M6"/>
    <mergeCell ref="N5:O5"/>
    <mergeCell ref="F6:G6"/>
    <mergeCell ref="N6:O6"/>
    <mergeCell ref="S11:S12"/>
    <mergeCell ref="C10:E10"/>
    <mergeCell ref="F10:O10"/>
    <mergeCell ref="P10:R10"/>
    <mergeCell ref="H13:H15"/>
    <mergeCell ref="I13:I15"/>
    <mergeCell ref="N13:N15"/>
    <mergeCell ref="O13:O15"/>
    <mergeCell ref="P13:P15"/>
    <mergeCell ref="L14:L15"/>
    <mergeCell ref="M14:M15"/>
    <mergeCell ref="G13:G15"/>
    <mergeCell ref="T11:T12"/>
    <mergeCell ref="U11:U12"/>
    <mergeCell ref="W11:Y11"/>
    <mergeCell ref="J12:M12"/>
    <mergeCell ref="B13:B15"/>
    <mergeCell ref="C13:C15"/>
    <mergeCell ref="D13:D15"/>
    <mergeCell ref="E13:E15"/>
    <mergeCell ref="F13:F15"/>
    <mergeCell ref="I11:I12"/>
    <mergeCell ref="J11:M11"/>
    <mergeCell ref="N11:N12"/>
    <mergeCell ref="O11:O12"/>
    <mergeCell ref="P11:Q11"/>
    <mergeCell ref="R11:R12"/>
    <mergeCell ref="B11:B12"/>
    <mergeCell ref="C11:C12"/>
    <mergeCell ref="D11:D12"/>
    <mergeCell ref="E11:E12"/>
    <mergeCell ref="F11:F12"/>
    <mergeCell ref="R13:R15"/>
    <mergeCell ref="S13:S15"/>
    <mergeCell ref="T13:T27"/>
    <mergeCell ref="G11:G12"/>
    <mergeCell ref="H11:H12"/>
    <mergeCell ref="Q13:Q15"/>
    <mergeCell ref="R22:R24"/>
    <mergeCell ref="S22:S24"/>
    <mergeCell ref="U22:U24"/>
    <mergeCell ref="L23:L24"/>
    <mergeCell ref="U13:U15"/>
    <mergeCell ref="O16:O18"/>
    <mergeCell ref="P16:P18"/>
    <mergeCell ref="Q16:Q18"/>
    <mergeCell ref="L17:L18"/>
    <mergeCell ref="M17:M18"/>
    <mergeCell ref="H22:H24"/>
    <mergeCell ref="I22:I24"/>
    <mergeCell ref="N22:N24"/>
    <mergeCell ref="O22:O24"/>
    <mergeCell ref="P22:P24"/>
    <mergeCell ref="Q22:Q24"/>
    <mergeCell ref="S19:S21"/>
    <mergeCell ref="U19:U21"/>
    <mergeCell ref="L20:L21"/>
    <mergeCell ref="M20:M21"/>
    <mergeCell ref="O19:O21"/>
    <mergeCell ref="R16:R18"/>
    <mergeCell ref="S16:S18"/>
    <mergeCell ref="U16:U18"/>
    <mergeCell ref="R19:R21"/>
    <mergeCell ref="P19:P21"/>
    <mergeCell ref="Q19:Q21"/>
    <mergeCell ref="B22:B24"/>
    <mergeCell ref="C22:C24"/>
    <mergeCell ref="D22:D24"/>
    <mergeCell ref="E22:E24"/>
    <mergeCell ref="F22:F24"/>
    <mergeCell ref="G22:G24"/>
    <mergeCell ref="H19:H21"/>
    <mergeCell ref="I19:I21"/>
    <mergeCell ref="N19:N21"/>
    <mergeCell ref="B19:B21"/>
    <mergeCell ref="C19:C21"/>
    <mergeCell ref="D19:D21"/>
    <mergeCell ref="E19:E21"/>
    <mergeCell ref="F19:F21"/>
    <mergeCell ref="G19:G21"/>
    <mergeCell ref="B16:B18"/>
    <mergeCell ref="C16:C18"/>
    <mergeCell ref="D16:D18"/>
    <mergeCell ref="E16:E18"/>
    <mergeCell ref="F16:F18"/>
    <mergeCell ref="G16:G18"/>
    <mergeCell ref="M23:M24"/>
    <mergeCell ref="H16:H18"/>
    <mergeCell ref="I16:I18"/>
    <mergeCell ref="N16:N18"/>
    <mergeCell ref="U25:U27"/>
    <mergeCell ref="L26:L27"/>
    <mergeCell ref="M26:M27"/>
    <mergeCell ref="G25:G27"/>
    <mergeCell ref="H25:H27"/>
    <mergeCell ref="I25:I27"/>
    <mergeCell ref="N25:N27"/>
    <mergeCell ref="O25:O27"/>
    <mergeCell ref="P25:P27"/>
    <mergeCell ref="B28:O29"/>
    <mergeCell ref="P28:R28"/>
    <mergeCell ref="T28:T29"/>
    <mergeCell ref="P29:R29"/>
    <mergeCell ref="C32:E32"/>
    <mergeCell ref="F32:O32"/>
    <mergeCell ref="P32:R32"/>
    <mergeCell ref="Q25:Q27"/>
    <mergeCell ref="R25:R27"/>
    <mergeCell ref="S25:S27"/>
    <mergeCell ref="B25:B27"/>
    <mergeCell ref="C25:C27"/>
    <mergeCell ref="D25:D27"/>
    <mergeCell ref="E25:E27"/>
    <mergeCell ref="F25:F27"/>
    <mergeCell ref="R33:R34"/>
    <mergeCell ref="S33:S34"/>
    <mergeCell ref="T33:T34"/>
    <mergeCell ref="U33:U34"/>
    <mergeCell ref="J34:M34"/>
    <mergeCell ref="B35:B37"/>
    <mergeCell ref="C35:C37"/>
    <mergeCell ref="D35:D37"/>
    <mergeCell ref="E35:E37"/>
    <mergeCell ref="F35:F37"/>
    <mergeCell ref="H33:H34"/>
    <mergeCell ref="I33:I34"/>
    <mergeCell ref="J33:M33"/>
    <mergeCell ref="N33:N34"/>
    <mergeCell ref="O33:O34"/>
    <mergeCell ref="P33:Q33"/>
    <mergeCell ref="B33:B34"/>
    <mergeCell ref="C33:C34"/>
    <mergeCell ref="D33:D34"/>
    <mergeCell ref="E33:E34"/>
    <mergeCell ref="F33:F34"/>
    <mergeCell ref="G33:G34"/>
    <mergeCell ref="H41:H43"/>
    <mergeCell ref="I41:I43"/>
    <mergeCell ref="N41:N43"/>
    <mergeCell ref="O41:O43"/>
    <mergeCell ref="B38:B40"/>
    <mergeCell ref="C38:C40"/>
    <mergeCell ref="D38:D40"/>
    <mergeCell ref="E38:E40"/>
    <mergeCell ref="F38:F40"/>
    <mergeCell ref="G38:G40"/>
    <mergeCell ref="Q35:Q37"/>
    <mergeCell ref="R35:R37"/>
    <mergeCell ref="S35:S37"/>
    <mergeCell ref="L36:L37"/>
    <mergeCell ref="M36:M37"/>
    <mergeCell ref="R38:R40"/>
    <mergeCell ref="S38:S40"/>
    <mergeCell ref="G35:G37"/>
    <mergeCell ref="H35:H37"/>
    <mergeCell ref="I35:I37"/>
    <mergeCell ref="N35:N37"/>
    <mergeCell ref="O35:O37"/>
    <mergeCell ref="P35:P37"/>
    <mergeCell ref="H38:H40"/>
    <mergeCell ref="I38:I40"/>
    <mergeCell ref="U41:U43"/>
    <mergeCell ref="L42:L43"/>
    <mergeCell ref="M42:M43"/>
    <mergeCell ref="T35:T49"/>
    <mergeCell ref="U35:U37"/>
    <mergeCell ref="U38:U40"/>
    <mergeCell ref="R47:R49"/>
    <mergeCell ref="S47:S49"/>
    <mergeCell ref="U47:U49"/>
    <mergeCell ref="L48:L49"/>
    <mergeCell ref="M48:M49"/>
    <mergeCell ref="N38:N40"/>
    <mergeCell ref="O38:O40"/>
    <mergeCell ref="P38:P40"/>
    <mergeCell ref="Q38:Q40"/>
    <mergeCell ref="L39:L40"/>
    <mergeCell ref="M39:M40"/>
    <mergeCell ref="R44:R46"/>
    <mergeCell ref="S44:S46"/>
    <mergeCell ref="U44:U46"/>
    <mergeCell ref="L45:L46"/>
    <mergeCell ref="M45:M46"/>
    <mergeCell ref="N44:N46"/>
    <mergeCell ref="O44:O46"/>
    <mergeCell ref="P44:P46"/>
    <mergeCell ref="P41:P43"/>
    <mergeCell ref="Q41:Q43"/>
    <mergeCell ref="Q44:Q46"/>
    <mergeCell ref="B50:O51"/>
    <mergeCell ref="P50:R50"/>
    <mergeCell ref="T50:T51"/>
    <mergeCell ref="P51:R51"/>
    <mergeCell ref="H47:H49"/>
    <mergeCell ref="I47:I49"/>
    <mergeCell ref="N47:N49"/>
    <mergeCell ref="O47:O49"/>
    <mergeCell ref="P47:P49"/>
    <mergeCell ref="Q47:Q49"/>
    <mergeCell ref="B47:B49"/>
    <mergeCell ref="C47:C49"/>
    <mergeCell ref="D47:D49"/>
    <mergeCell ref="E47:E49"/>
    <mergeCell ref="F47:F49"/>
    <mergeCell ref="G47:G49"/>
    <mergeCell ref="R41:R43"/>
    <mergeCell ref="S41:S43"/>
    <mergeCell ref="G44:G46"/>
    <mergeCell ref="H44:H46"/>
    <mergeCell ref="I44:I46"/>
    <mergeCell ref="B41:B43"/>
    <mergeCell ref="C41:C43"/>
    <mergeCell ref="D41:D43"/>
    <mergeCell ref="E41:E43"/>
    <mergeCell ref="F41:F43"/>
    <mergeCell ref="G41:G43"/>
    <mergeCell ref="B44:B46"/>
    <mergeCell ref="C44:C46"/>
    <mergeCell ref="D44:D46"/>
    <mergeCell ref="E44:E46"/>
    <mergeCell ref="F44:F46"/>
    <mergeCell ref="Q57:Q59"/>
    <mergeCell ref="U63:U65"/>
    <mergeCell ref="L64:L65"/>
    <mergeCell ref="M64:M65"/>
    <mergeCell ref="O63:O65"/>
    <mergeCell ref="P63:P65"/>
    <mergeCell ref="Q63:Q65"/>
    <mergeCell ref="U69:U71"/>
    <mergeCell ref="O55:O56"/>
    <mergeCell ref="P55:Q55"/>
    <mergeCell ref="R55:R56"/>
    <mergeCell ref="C54:E54"/>
    <mergeCell ref="F54:O54"/>
    <mergeCell ref="P54:R54"/>
    <mergeCell ref="B55:B56"/>
    <mergeCell ref="R57:R59"/>
    <mergeCell ref="S57:S59"/>
    <mergeCell ref="S55:S56"/>
    <mergeCell ref="B57:B59"/>
    <mergeCell ref="C57:C59"/>
    <mergeCell ref="D57:D59"/>
    <mergeCell ref="E57:E59"/>
    <mergeCell ref="F57:F59"/>
    <mergeCell ref="G57:G59"/>
    <mergeCell ref="I55:I56"/>
    <mergeCell ref="J55:M55"/>
    <mergeCell ref="N55:N56"/>
    <mergeCell ref="U57:U59"/>
    <mergeCell ref="L58:L59"/>
    <mergeCell ref="M58:M59"/>
    <mergeCell ref="R60:R62"/>
    <mergeCell ref="T55:T56"/>
    <mergeCell ref="U55:U56"/>
    <mergeCell ref="J56:M56"/>
    <mergeCell ref="R66:R68"/>
    <mergeCell ref="S66:S68"/>
    <mergeCell ref="U66:U68"/>
    <mergeCell ref="L67:L68"/>
    <mergeCell ref="M67:M68"/>
    <mergeCell ref="H60:H62"/>
    <mergeCell ref="I60:I62"/>
    <mergeCell ref="N60:N62"/>
    <mergeCell ref="O60:O62"/>
    <mergeCell ref="P60:P62"/>
    <mergeCell ref="Q60:Q62"/>
    <mergeCell ref="L61:L62"/>
    <mergeCell ref="M61:M62"/>
    <mergeCell ref="H55:H56"/>
    <mergeCell ref="H66:H68"/>
    <mergeCell ref="I66:I68"/>
    <mergeCell ref="N66:N68"/>
    <mergeCell ref="O66:O68"/>
    <mergeCell ref="P66:P68"/>
    <mergeCell ref="Q66:Q68"/>
    <mergeCell ref="S63:S65"/>
    <mergeCell ref="S60:S62"/>
    <mergeCell ref="U60:U62"/>
    <mergeCell ref="R63:R65"/>
    <mergeCell ref="H57:H59"/>
    <mergeCell ref="I57:I59"/>
    <mergeCell ref="N57:N59"/>
    <mergeCell ref="O57:O59"/>
    <mergeCell ref="P57:P59"/>
    <mergeCell ref="N63:N65"/>
    <mergeCell ref="B63:B65"/>
    <mergeCell ref="C63:C65"/>
    <mergeCell ref="D63:D65"/>
    <mergeCell ref="E63:E65"/>
    <mergeCell ref="F63:F65"/>
    <mergeCell ref="G63:G65"/>
    <mergeCell ref="B60:B62"/>
    <mergeCell ref="C60:C62"/>
    <mergeCell ref="D60:D62"/>
    <mergeCell ref="E60:E62"/>
    <mergeCell ref="F60:F62"/>
    <mergeCell ref="G60:G62"/>
    <mergeCell ref="C55:C56"/>
    <mergeCell ref="D55:D56"/>
    <mergeCell ref="E55:E56"/>
    <mergeCell ref="F55:F56"/>
    <mergeCell ref="G55:G56"/>
    <mergeCell ref="B72:O73"/>
    <mergeCell ref="P72:R72"/>
    <mergeCell ref="T72:T73"/>
    <mergeCell ref="P73:R73"/>
    <mergeCell ref="C76:E76"/>
    <mergeCell ref="F76:O76"/>
    <mergeCell ref="P76:R76"/>
    <mergeCell ref="Q69:Q71"/>
    <mergeCell ref="R69:R71"/>
    <mergeCell ref="S69:S71"/>
    <mergeCell ref="L70:L71"/>
    <mergeCell ref="M70:M71"/>
    <mergeCell ref="G69:G71"/>
    <mergeCell ref="H69:H71"/>
    <mergeCell ref="I69:I71"/>
    <mergeCell ref="N69:N71"/>
    <mergeCell ref="O69:O71"/>
    <mergeCell ref="P69:P71"/>
    <mergeCell ref="B69:B71"/>
    <mergeCell ref="C69:C71"/>
    <mergeCell ref="D69:D71"/>
    <mergeCell ref="E69:E71"/>
    <mergeCell ref="F69:F71"/>
    <mergeCell ref="T57:T71"/>
    <mergeCell ref="B66:B68"/>
    <mergeCell ref="C66:C68"/>
    <mergeCell ref="D66:D68"/>
    <mergeCell ref="E66:E68"/>
    <mergeCell ref="F66:F68"/>
    <mergeCell ref="G66:G68"/>
    <mergeCell ref="H63:H65"/>
    <mergeCell ref="I63:I65"/>
    <mergeCell ref="R77:R78"/>
    <mergeCell ref="S77:S78"/>
    <mergeCell ref="T77:T78"/>
    <mergeCell ref="U77:U78"/>
    <mergeCell ref="J78:M78"/>
    <mergeCell ref="B79:B81"/>
    <mergeCell ref="C79:C81"/>
    <mergeCell ref="D79:D81"/>
    <mergeCell ref="E79:E81"/>
    <mergeCell ref="F79:F81"/>
    <mergeCell ref="H77:H78"/>
    <mergeCell ref="I77:I78"/>
    <mergeCell ref="J77:M77"/>
    <mergeCell ref="N77:N78"/>
    <mergeCell ref="O77:O78"/>
    <mergeCell ref="P77:Q77"/>
    <mergeCell ref="B77:B78"/>
    <mergeCell ref="C77:C78"/>
    <mergeCell ref="D77:D78"/>
    <mergeCell ref="E77:E78"/>
    <mergeCell ref="F77:F78"/>
    <mergeCell ref="G77:G78"/>
    <mergeCell ref="H85:H87"/>
    <mergeCell ref="I85:I87"/>
    <mergeCell ref="N85:N87"/>
    <mergeCell ref="O85:O87"/>
    <mergeCell ref="B82:B84"/>
    <mergeCell ref="C82:C84"/>
    <mergeCell ref="D82:D84"/>
    <mergeCell ref="E82:E84"/>
    <mergeCell ref="F82:F84"/>
    <mergeCell ref="G82:G84"/>
    <mergeCell ref="Q79:Q81"/>
    <mergeCell ref="R79:R81"/>
    <mergeCell ref="S79:S81"/>
    <mergeCell ref="L80:L81"/>
    <mergeCell ref="M80:M81"/>
    <mergeCell ref="R82:R84"/>
    <mergeCell ref="S82:S84"/>
    <mergeCell ref="G79:G81"/>
    <mergeCell ref="H79:H81"/>
    <mergeCell ref="I79:I81"/>
    <mergeCell ref="N79:N81"/>
    <mergeCell ref="O79:O81"/>
    <mergeCell ref="P79:P81"/>
    <mergeCell ref="H82:H84"/>
    <mergeCell ref="I82:I84"/>
    <mergeCell ref="U85:U87"/>
    <mergeCell ref="L86:L87"/>
    <mergeCell ref="M86:M87"/>
    <mergeCell ref="T79:T93"/>
    <mergeCell ref="U79:U81"/>
    <mergeCell ref="U82:U84"/>
    <mergeCell ref="R91:R93"/>
    <mergeCell ref="S91:S93"/>
    <mergeCell ref="U91:U93"/>
    <mergeCell ref="L92:L93"/>
    <mergeCell ref="M92:M93"/>
    <mergeCell ref="N82:N84"/>
    <mergeCell ref="O82:O84"/>
    <mergeCell ref="P82:P84"/>
    <mergeCell ref="Q82:Q84"/>
    <mergeCell ref="L83:L84"/>
    <mergeCell ref="M83:M84"/>
    <mergeCell ref="R88:R90"/>
    <mergeCell ref="S88:S90"/>
    <mergeCell ref="U88:U90"/>
    <mergeCell ref="L89:L90"/>
    <mergeCell ref="M89:M90"/>
    <mergeCell ref="N88:N90"/>
    <mergeCell ref="O88:O90"/>
    <mergeCell ref="P88:P90"/>
    <mergeCell ref="P85:P87"/>
    <mergeCell ref="Q85:Q87"/>
    <mergeCell ref="Q88:Q90"/>
    <mergeCell ref="B94:O95"/>
    <mergeCell ref="P94:R94"/>
    <mergeCell ref="T94:T95"/>
    <mergeCell ref="P95:R95"/>
    <mergeCell ref="H91:H93"/>
    <mergeCell ref="I91:I93"/>
    <mergeCell ref="N91:N93"/>
    <mergeCell ref="O91:O93"/>
    <mergeCell ref="P91:P93"/>
    <mergeCell ref="Q91:Q93"/>
    <mergeCell ref="B91:B93"/>
    <mergeCell ref="C91:C93"/>
    <mergeCell ref="D91:D93"/>
    <mergeCell ref="E91:E93"/>
    <mergeCell ref="F91:F93"/>
    <mergeCell ref="G91:G93"/>
    <mergeCell ref="R85:R87"/>
    <mergeCell ref="S85:S87"/>
    <mergeCell ref="G88:G90"/>
    <mergeCell ref="H88:H90"/>
    <mergeCell ref="I88:I90"/>
    <mergeCell ref="B85:B87"/>
    <mergeCell ref="C85:C87"/>
    <mergeCell ref="D85:D87"/>
    <mergeCell ref="E85:E87"/>
    <mergeCell ref="F85:F87"/>
    <mergeCell ref="G85:G87"/>
    <mergeCell ref="B88:B90"/>
    <mergeCell ref="C88:C90"/>
    <mergeCell ref="D88:D90"/>
    <mergeCell ref="E88:E90"/>
    <mergeCell ref="F88:F90"/>
    <mergeCell ref="Q101:Q103"/>
    <mergeCell ref="U107:U109"/>
    <mergeCell ref="L108:L109"/>
    <mergeCell ref="M108:M109"/>
    <mergeCell ref="O107:O109"/>
    <mergeCell ref="P107:P109"/>
    <mergeCell ref="Q107:Q109"/>
    <mergeCell ref="U113:U115"/>
    <mergeCell ref="O99:O100"/>
    <mergeCell ref="P99:Q99"/>
    <mergeCell ref="R99:R100"/>
    <mergeCell ref="C98:E98"/>
    <mergeCell ref="F98:O98"/>
    <mergeCell ref="P98:R98"/>
    <mergeCell ref="B99:B100"/>
    <mergeCell ref="R101:R103"/>
    <mergeCell ref="S101:S103"/>
    <mergeCell ref="S99:S100"/>
    <mergeCell ref="B101:B103"/>
    <mergeCell ref="C101:C103"/>
    <mergeCell ref="D101:D103"/>
    <mergeCell ref="E101:E103"/>
    <mergeCell ref="F101:F103"/>
    <mergeCell ref="G101:G103"/>
    <mergeCell ref="I99:I100"/>
    <mergeCell ref="J99:M99"/>
    <mergeCell ref="N99:N100"/>
    <mergeCell ref="U101:U103"/>
    <mergeCell ref="L102:L103"/>
    <mergeCell ref="M102:M103"/>
    <mergeCell ref="R104:R106"/>
    <mergeCell ref="T99:T100"/>
    <mergeCell ref="U99:U100"/>
    <mergeCell ref="J100:M100"/>
    <mergeCell ref="R110:R112"/>
    <mergeCell ref="S110:S112"/>
    <mergeCell ref="U110:U112"/>
    <mergeCell ref="L111:L112"/>
    <mergeCell ref="M111:M112"/>
    <mergeCell ref="H104:H106"/>
    <mergeCell ref="I104:I106"/>
    <mergeCell ref="N104:N106"/>
    <mergeCell ref="O104:O106"/>
    <mergeCell ref="P104:P106"/>
    <mergeCell ref="Q104:Q106"/>
    <mergeCell ref="L105:L106"/>
    <mergeCell ref="M105:M106"/>
    <mergeCell ref="H99:H100"/>
    <mergeCell ref="H110:H112"/>
    <mergeCell ref="I110:I112"/>
    <mergeCell ref="N110:N112"/>
    <mergeCell ref="O110:O112"/>
    <mergeCell ref="P110:P112"/>
    <mergeCell ref="Q110:Q112"/>
    <mergeCell ref="S107:S109"/>
    <mergeCell ref="S104:S106"/>
    <mergeCell ref="U104:U106"/>
    <mergeCell ref="R107:R109"/>
    <mergeCell ref="H101:H103"/>
    <mergeCell ref="I101:I103"/>
    <mergeCell ref="N101:N103"/>
    <mergeCell ref="O101:O103"/>
    <mergeCell ref="P101:P103"/>
    <mergeCell ref="N107:N109"/>
    <mergeCell ref="B107:B109"/>
    <mergeCell ref="C107:C109"/>
    <mergeCell ref="D107:D109"/>
    <mergeCell ref="E107:E109"/>
    <mergeCell ref="F107:F109"/>
    <mergeCell ref="G107:G109"/>
    <mergeCell ref="B104:B106"/>
    <mergeCell ref="C104:C106"/>
    <mergeCell ref="D104:D106"/>
    <mergeCell ref="E104:E106"/>
    <mergeCell ref="F104:F106"/>
    <mergeCell ref="G104:G106"/>
    <mergeCell ref="C99:C100"/>
    <mergeCell ref="D99:D100"/>
    <mergeCell ref="E99:E100"/>
    <mergeCell ref="F99:F100"/>
    <mergeCell ref="G99:G100"/>
    <mergeCell ref="B116:O117"/>
    <mergeCell ref="P116:R116"/>
    <mergeCell ref="T116:T117"/>
    <mergeCell ref="P117:R117"/>
    <mergeCell ref="C120:E120"/>
    <mergeCell ref="F120:O120"/>
    <mergeCell ref="P120:R120"/>
    <mergeCell ref="Q113:Q115"/>
    <mergeCell ref="R113:R115"/>
    <mergeCell ref="S113:S115"/>
    <mergeCell ref="L114:L115"/>
    <mergeCell ref="M114:M115"/>
    <mergeCell ref="G113:G115"/>
    <mergeCell ref="H113:H115"/>
    <mergeCell ref="I113:I115"/>
    <mergeCell ref="N113:N115"/>
    <mergeCell ref="O113:O115"/>
    <mergeCell ref="P113:P115"/>
    <mergeCell ref="B113:B115"/>
    <mergeCell ref="C113:C115"/>
    <mergeCell ref="D113:D115"/>
    <mergeCell ref="E113:E115"/>
    <mergeCell ref="F113:F115"/>
    <mergeCell ref="T101:T115"/>
    <mergeCell ref="B110:B112"/>
    <mergeCell ref="C110:C112"/>
    <mergeCell ref="D110:D112"/>
    <mergeCell ref="E110:E112"/>
    <mergeCell ref="F110:F112"/>
    <mergeCell ref="G110:G112"/>
    <mergeCell ref="H107:H109"/>
    <mergeCell ref="I107:I109"/>
    <mergeCell ref="R121:R122"/>
    <mergeCell ref="S121:S122"/>
    <mergeCell ref="T121:T122"/>
    <mergeCell ref="U121:U122"/>
    <mergeCell ref="J122:M122"/>
    <mergeCell ref="B123:B125"/>
    <mergeCell ref="C123:C125"/>
    <mergeCell ref="D123:D125"/>
    <mergeCell ref="E123:E125"/>
    <mergeCell ref="F123:F125"/>
    <mergeCell ref="H121:H122"/>
    <mergeCell ref="I121:I122"/>
    <mergeCell ref="J121:M121"/>
    <mergeCell ref="N121:N122"/>
    <mergeCell ref="O121:O122"/>
    <mergeCell ref="P121:Q121"/>
    <mergeCell ref="B121:B122"/>
    <mergeCell ref="C121:C122"/>
    <mergeCell ref="D121:D122"/>
    <mergeCell ref="E121:E122"/>
    <mergeCell ref="F121:F122"/>
    <mergeCell ref="G121:G122"/>
    <mergeCell ref="H129:H131"/>
    <mergeCell ref="I129:I131"/>
    <mergeCell ref="N129:N131"/>
    <mergeCell ref="O129:O131"/>
    <mergeCell ref="B126:B128"/>
    <mergeCell ref="C126:C128"/>
    <mergeCell ref="D126:D128"/>
    <mergeCell ref="E126:E128"/>
    <mergeCell ref="F126:F128"/>
    <mergeCell ref="G126:G128"/>
    <mergeCell ref="Q123:Q125"/>
    <mergeCell ref="R123:R125"/>
    <mergeCell ref="S123:S125"/>
    <mergeCell ref="L124:L125"/>
    <mergeCell ref="M124:M125"/>
    <mergeCell ref="R126:R128"/>
    <mergeCell ref="S126:S128"/>
    <mergeCell ref="G123:G125"/>
    <mergeCell ref="H123:H125"/>
    <mergeCell ref="I123:I125"/>
    <mergeCell ref="N123:N125"/>
    <mergeCell ref="O123:O125"/>
    <mergeCell ref="P123:P125"/>
    <mergeCell ref="H126:H128"/>
    <mergeCell ref="I126:I128"/>
    <mergeCell ref="U129:U131"/>
    <mergeCell ref="L130:L131"/>
    <mergeCell ref="M130:M131"/>
    <mergeCell ref="T123:T137"/>
    <mergeCell ref="U123:U125"/>
    <mergeCell ref="U126:U128"/>
    <mergeCell ref="R135:R137"/>
    <mergeCell ref="S135:S137"/>
    <mergeCell ref="U135:U137"/>
    <mergeCell ref="L136:L137"/>
    <mergeCell ref="M136:M137"/>
    <mergeCell ref="N126:N128"/>
    <mergeCell ref="O126:O128"/>
    <mergeCell ref="P126:P128"/>
    <mergeCell ref="Q126:Q128"/>
    <mergeCell ref="L127:L128"/>
    <mergeCell ref="M127:M128"/>
    <mergeCell ref="R132:R134"/>
    <mergeCell ref="S132:S134"/>
    <mergeCell ref="U132:U134"/>
    <mergeCell ref="L133:L134"/>
    <mergeCell ref="M133:M134"/>
    <mergeCell ref="N132:N134"/>
    <mergeCell ref="O132:O134"/>
    <mergeCell ref="P132:P134"/>
    <mergeCell ref="P129:P131"/>
    <mergeCell ref="Q129:Q131"/>
    <mergeCell ref="Q132:Q134"/>
    <mergeCell ref="B138:O139"/>
    <mergeCell ref="P138:R138"/>
    <mergeCell ref="T138:T139"/>
    <mergeCell ref="P139:R139"/>
    <mergeCell ref="H135:H137"/>
    <mergeCell ref="I135:I137"/>
    <mergeCell ref="N135:N137"/>
    <mergeCell ref="O135:O137"/>
    <mergeCell ref="P135:P137"/>
    <mergeCell ref="Q135:Q137"/>
    <mergeCell ref="B135:B137"/>
    <mergeCell ref="C135:C137"/>
    <mergeCell ref="D135:D137"/>
    <mergeCell ref="E135:E137"/>
    <mergeCell ref="F135:F137"/>
    <mergeCell ref="G135:G137"/>
    <mergeCell ref="R129:R131"/>
    <mergeCell ref="S129:S131"/>
    <mergeCell ref="G132:G134"/>
    <mergeCell ref="H132:H134"/>
    <mergeCell ref="I132:I134"/>
    <mergeCell ref="B129:B131"/>
    <mergeCell ref="C129:C131"/>
    <mergeCell ref="D129:D131"/>
    <mergeCell ref="E129:E131"/>
    <mergeCell ref="F129:F131"/>
    <mergeCell ref="G129:G131"/>
    <mergeCell ref="B132:B134"/>
    <mergeCell ref="C132:C134"/>
    <mergeCell ref="D132:D134"/>
    <mergeCell ref="E132:E134"/>
    <mergeCell ref="F132:F134"/>
    <mergeCell ref="Q145:Q147"/>
    <mergeCell ref="U151:U153"/>
    <mergeCell ref="L152:L153"/>
    <mergeCell ref="M152:M153"/>
    <mergeCell ref="O151:O153"/>
    <mergeCell ref="P151:P153"/>
    <mergeCell ref="Q151:Q153"/>
    <mergeCell ref="U157:U159"/>
    <mergeCell ref="O143:O144"/>
    <mergeCell ref="P143:Q143"/>
    <mergeCell ref="R143:R144"/>
    <mergeCell ref="C142:E142"/>
    <mergeCell ref="F142:O142"/>
    <mergeCell ref="P142:R142"/>
    <mergeCell ref="B143:B144"/>
    <mergeCell ref="R145:R147"/>
    <mergeCell ref="S145:S147"/>
    <mergeCell ref="S143:S144"/>
    <mergeCell ref="B145:B147"/>
    <mergeCell ref="C145:C147"/>
    <mergeCell ref="D145:D147"/>
    <mergeCell ref="E145:E147"/>
    <mergeCell ref="F145:F147"/>
    <mergeCell ref="G145:G147"/>
    <mergeCell ref="I143:I144"/>
    <mergeCell ref="J143:M143"/>
    <mergeCell ref="N143:N144"/>
    <mergeCell ref="U145:U147"/>
    <mergeCell ref="L146:L147"/>
    <mergeCell ref="M146:M147"/>
    <mergeCell ref="R148:R150"/>
    <mergeCell ref="T143:T144"/>
    <mergeCell ref="U143:U144"/>
    <mergeCell ref="J144:M144"/>
    <mergeCell ref="R154:R156"/>
    <mergeCell ref="S154:S156"/>
    <mergeCell ref="U154:U156"/>
    <mergeCell ref="L155:L156"/>
    <mergeCell ref="M155:M156"/>
    <mergeCell ref="H148:H150"/>
    <mergeCell ref="I148:I150"/>
    <mergeCell ref="N148:N150"/>
    <mergeCell ref="O148:O150"/>
    <mergeCell ref="P148:P150"/>
    <mergeCell ref="Q148:Q150"/>
    <mergeCell ref="L149:L150"/>
    <mergeCell ref="M149:M150"/>
    <mergeCell ref="H143:H144"/>
    <mergeCell ref="H154:H156"/>
    <mergeCell ref="I154:I156"/>
    <mergeCell ref="N154:N156"/>
    <mergeCell ref="O154:O156"/>
    <mergeCell ref="P154:P156"/>
    <mergeCell ref="Q154:Q156"/>
    <mergeCell ref="S151:S153"/>
    <mergeCell ref="S148:S150"/>
    <mergeCell ref="U148:U150"/>
    <mergeCell ref="R151:R153"/>
    <mergeCell ref="H145:H147"/>
    <mergeCell ref="I145:I147"/>
    <mergeCell ref="N145:N147"/>
    <mergeCell ref="O145:O147"/>
    <mergeCell ref="P145:P147"/>
    <mergeCell ref="N151:N153"/>
    <mergeCell ref="G154:G156"/>
    <mergeCell ref="H151:H153"/>
    <mergeCell ref="I151:I153"/>
    <mergeCell ref="B151:B153"/>
    <mergeCell ref="C151:C153"/>
    <mergeCell ref="D151:D153"/>
    <mergeCell ref="E151:E153"/>
    <mergeCell ref="F151:F153"/>
    <mergeCell ref="G151:G153"/>
    <mergeCell ref="B148:B150"/>
    <mergeCell ref="C148:C150"/>
    <mergeCell ref="D148:D150"/>
    <mergeCell ref="E148:E150"/>
    <mergeCell ref="F148:F150"/>
    <mergeCell ref="G148:G150"/>
    <mergeCell ref="C143:C144"/>
    <mergeCell ref="D143:D144"/>
    <mergeCell ref="E143:E144"/>
    <mergeCell ref="F143:F144"/>
    <mergeCell ref="G143:G144"/>
    <mergeCell ref="S167:S169"/>
    <mergeCell ref="L168:L169"/>
    <mergeCell ref="M168:M169"/>
    <mergeCell ref="B160:O161"/>
    <mergeCell ref="P160:R160"/>
    <mergeCell ref="T160:T161"/>
    <mergeCell ref="P161:R161"/>
    <mergeCell ref="C164:E164"/>
    <mergeCell ref="F164:O164"/>
    <mergeCell ref="P164:R164"/>
    <mergeCell ref="Q157:Q159"/>
    <mergeCell ref="R157:R159"/>
    <mergeCell ref="S157:S159"/>
    <mergeCell ref="L158:L159"/>
    <mergeCell ref="M158:M159"/>
    <mergeCell ref="G157:G159"/>
    <mergeCell ref="H157:H159"/>
    <mergeCell ref="I157:I159"/>
    <mergeCell ref="N157:N159"/>
    <mergeCell ref="O157:O159"/>
    <mergeCell ref="P157:P159"/>
    <mergeCell ref="B157:B159"/>
    <mergeCell ref="C157:C159"/>
    <mergeCell ref="D157:D159"/>
    <mergeCell ref="E157:E159"/>
    <mergeCell ref="F157:F159"/>
    <mergeCell ref="T145:T159"/>
    <mergeCell ref="B154:B156"/>
    <mergeCell ref="C154:C156"/>
    <mergeCell ref="D154:D156"/>
    <mergeCell ref="E154:E156"/>
    <mergeCell ref="F154:F156"/>
    <mergeCell ref="B167:B169"/>
    <mergeCell ref="C167:C169"/>
    <mergeCell ref="D167:D169"/>
    <mergeCell ref="E167:E169"/>
    <mergeCell ref="F167:F169"/>
    <mergeCell ref="H165:H166"/>
    <mergeCell ref="I165:I166"/>
    <mergeCell ref="J165:M165"/>
    <mergeCell ref="N165:N166"/>
    <mergeCell ref="O165:O166"/>
    <mergeCell ref="P165:Q165"/>
    <mergeCell ref="B165:B166"/>
    <mergeCell ref="C165:C166"/>
    <mergeCell ref="D165:D166"/>
    <mergeCell ref="E165:E166"/>
    <mergeCell ref="F165:F166"/>
    <mergeCell ref="G165:G166"/>
    <mergeCell ref="Q167:Q169"/>
    <mergeCell ref="G167:G169"/>
    <mergeCell ref="H167:H169"/>
    <mergeCell ref="I167:I169"/>
    <mergeCell ref="N167:N169"/>
    <mergeCell ref="O167:O169"/>
    <mergeCell ref="P167:P169"/>
    <mergeCell ref="I170:I172"/>
    <mergeCell ref="R165:R166"/>
    <mergeCell ref="S165:S166"/>
    <mergeCell ref="M171:M172"/>
    <mergeCell ref="R176:R178"/>
    <mergeCell ref="S176:S178"/>
    <mergeCell ref="U176:U178"/>
    <mergeCell ref="L177:L178"/>
    <mergeCell ref="M177:M178"/>
    <mergeCell ref="N176:N178"/>
    <mergeCell ref="O176:O178"/>
    <mergeCell ref="P176:P178"/>
    <mergeCell ref="P173:P175"/>
    <mergeCell ref="Q173:Q175"/>
    <mergeCell ref="Q176:Q178"/>
    <mergeCell ref="H173:H175"/>
    <mergeCell ref="I173:I175"/>
    <mergeCell ref="N173:N175"/>
    <mergeCell ref="O173:O175"/>
    <mergeCell ref="U173:U175"/>
    <mergeCell ref="T167:T181"/>
    <mergeCell ref="U167:U169"/>
    <mergeCell ref="U170:U172"/>
    <mergeCell ref="T165:T166"/>
    <mergeCell ref="U165:U166"/>
    <mergeCell ref="R179:R181"/>
    <mergeCell ref="S179:S181"/>
    <mergeCell ref="U179:U181"/>
    <mergeCell ref="L180:L181"/>
    <mergeCell ref="M180:M181"/>
    <mergeCell ref="J166:M166"/>
    <mergeCell ref="R167:R169"/>
    <mergeCell ref="E170:E172"/>
    <mergeCell ref="F170:F172"/>
    <mergeCell ref="G170:G172"/>
    <mergeCell ref="R173:R175"/>
    <mergeCell ref="S173:S175"/>
    <mergeCell ref="G176:G178"/>
    <mergeCell ref="H176:H178"/>
    <mergeCell ref="I176:I178"/>
    <mergeCell ref="B173:B175"/>
    <mergeCell ref="C173:C175"/>
    <mergeCell ref="D173:D175"/>
    <mergeCell ref="E173:E175"/>
    <mergeCell ref="F173:F175"/>
    <mergeCell ref="G173:G175"/>
    <mergeCell ref="B176:B178"/>
    <mergeCell ref="C176:C178"/>
    <mergeCell ref="D176:D178"/>
    <mergeCell ref="E176:E178"/>
    <mergeCell ref="F176:F178"/>
    <mergeCell ref="L174:L175"/>
    <mergeCell ref="M174:M175"/>
    <mergeCell ref="R170:R172"/>
    <mergeCell ref="S170:S172"/>
    <mergeCell ref="N170:N172"/>
    <mergeCell ref="O170:O172"/>
    <mergeCell ref="P170:P172"/>
    <mergeCell ref="Q170:Q172"/>
    <mergeCell ref="L171:L172"/>
    <mergeCell ref="B170:B172"/>
    <mergeCell ref="C170:C172"/>
    <mergeCell ref="D170:D172"/>
    <mergeCell ref="H170:H172"/>
    <mergeCell ref="B182:O183"/>
    <mergeCell ref="P182:R182"/>
    <mergeCell ref="T182:T183"/>
    <mergeCell ref="P183:R183"/>
    <mergeCell ref="H179:H181"/>
    <mergeCell ref="I179:I181"/>
    <mergeCell ref="N179:N181"/>
    <mergeCell ref="O179:O181"/>
    <mergeCell ref="P179:P181"/>
    <mergeCell ref="Q179:Q181"/>
    <mergeCell ref="B179:B181"/>
    <mergeCell ref="C179:C181"/>
    <mergeCell ref="D179:D181"/>
    <mergeCell ref="E179:E181"/>
    <mergeCell ref="F179:F181"/>
    <mergeCell ref="G179:G181"/>
    <mergeCell ref="C186:E186"/>
    <mergeCell ref="F186:O186"/>
    <mergeCell ref="P186:R186"/>
    <mergeCell ref="B189:B191"/>
    <mergeCell ref="C189:C191"/>
    <mergeCell ref="D189:D191"/>
    <mergeCell ref="E189:E191"/>
    <mergeCell ref="F189:F191"/>
    <mergeCell ref="G189:G191"/>
    <mergeCell ref="I187:I188"/>
    <mergeCell ref="J187:M187"/>
    <mergeCell ref="N187:N188"/>
    <mergeCell ref="R198:R200"/>
    <mergeCell ref="S198:S200"/>
    <mergeCell ref="D195:D197"/>
    <mergeCell ref="E195:E197"/>
    <mergeCell ref="F195:F197"/>
    <mergeCell ref="G195:G197"/>
    <mergeCell ref="B192:B194"/>
    <mergeCell ref="C192:C194"/>
    <mergeCell ref="D192:D194"/>
    <mergeCell ref="E192:E194"/>
    <mergeCell ref="F192:F194"/>
    <mergeCell ref="G192:G194"/>
    <mergeCell ref="C187:C188"/>
    <mergeCell ref="G187:G188"/>
    <mergeCell ref="H189:H191"/>
    <mergeCell ref="I189:I191"/>
    <mergeCell ref="D187:D188"/>
    <mergeCell ref="E187:E188"/>
    <mergeCell ref="F187:F188"/>
    <mergeCell ref="B187:B188"/>
    <mergeCell ref="AI13:AI28"/>
    <mergeCell ref="B204:O205"/>
    <mergeCell ref="P204:R204"/>
    <mergeCell ref="T204:T205"/>
    <mergeCell ref="P205:R205"/>
    <mergeCell ref="Q201:Q203"/>
    <mergeCell ref="R201:R203"/>
    <mergeCell ref="S201:S203"/>
    <mergeCell ref="U201:U203"/>
    <mergeCell ref="L202:L203"/>
    <mergeCell ref="M202:M203"/>
    <mergeCell ref="G201:G203"/>
    <mergeCell ref="H201:H203"/>
    <mergeCell ref="I201:I203"/>
    <mergeCell ref="N201:N203"/>
    <mergeCell ref="O201:O203"/>
    <mergeCell ref="B201:B203"/>
    <mergeCell ref="U198:U200"/>
    <mergeCell ref="L199:L200"/>
    <mergeCell ref="M199:M200"/>
    <mergeCell ref="H192:H194"/>
    <mergeCell ref="I192:I194"/>
    <mergeCell ref="N192:N194"/>
    <mergeCell ref="O192:O194"/>
    <mergeCell ref="P192:P194"/>
    <mergeCell ref="Q192:Q194"/>
    <mergeCell ref="L193:L194"/>
    <mergeCell ref="M193:M194"/>
    <mergeCell ref="H187:H188"/>
    <mergeCell ref="H198:H200"/>
    <mergeCell ref="I198:I200"/>
    <mergeCell ref="N198:N200"/>
    <mergeCell ref="U187:U188"/>
    <mergeCell ref="J188:M188"/>
    <mergeCell ref="P189:P191"/>
    <mergeCell ref="Q189:Q191"/>
    <mergeCell ref="U195:U197"/>
    <mergeCell ref="L196:L197"/>
    <mergeCell ref="M196:M197"/>
    <mergeCell ref="O195:O197"/>
    <mergeCell ref="P195:P197"/>
    <mergeCell ref="Q195:Q197"/>
    <mergeCell ref="O187:O188"/>
    <mergeCell ref="P187:Q187"/>
    <mergeCell ref="R187:R188"/>
    <mergeCell ref="O198:O200"/>
    <mergeCell ref="Q198:Q200"/>
    <mergeCell ref="S195:S197"/>
    <mergeCell ref="T189:T203"/>
    <mergeCell ref="U189:U191"/>
    <mergeCell ref="L190:L191"/>
    <mergeCell ref="M190:M191"/>
    <mergeCell ref="R192:R194"/>
    <mergeCell ref="S192:S194"/>
    <mergeCell ref="U192:U194"/>
    <mergeCell ref="R195:R197"/>
    <mergeCell ref="N189:N191"/>
    <mergeCell ref="O189:O191"/>
    <mergeCell ref="P201:P203"/>
    <mergeCell ref="P198:P200"/>
    <mergeCell ref="R189:R191"/>
    <mergeCell ref="S189:S191"/>
    <mergeCell ref="S187:S188"/>
    <mergeCell ref="T187:T188"/>
    <mergeCell ref="T209:T210"/>
    <mergeCell ref="U209:U210"/>
    <mergeCell ref="J210:M210"/>
    <mergeCell ref="C201:C203"/>
    <mergeCell ref="D201:D203"/>
    <mergeCell ref="E201:E203"/>
    <mergeCell ref="F201:F203"/>
    <mergeCell ref="B198:B200"/>
    <mergeCell ref="C198:C200"/>
    <mergeCell ref="D198:D200"/>
    <mergeCell ref="E198:E200"/>
    <mergeCell ref="F198:F200"/>
    <mergeCell ref="G198:G200"/>
    <mergeCell ref="H195:H197"/>
    <mergeCell ref="I195:I197"/>
    <mergeCell ref="N195:N197"/>
    <mergeCell ref="B195:B197"/>
    <mergeCell ref="C195:C197"/>
    <mergeCell ref="C208:E208"/>
    <mergeCell ref="F208:O208"/>
    <mergeCell ref="P208:R208"/>
    <mergeCell ref="B209:B210"/>
    <mergeCell ref="C209:C210"/>
    <mergeCell ref="D209:D210"/>
    <mergeCell ref="E209:E210"/>
    <mergeCell ref="F209:F210"/>
    <mergeCell ref="G209:G210"/>
    <mergeCell ref="H209:H210"/>
    <mergeCell ref="I209:I210"/>
    <mergeCell ref="J209:M209"/>
    <mergeCell ref="N209:N210"/>
    <mergeCell ref="O209:O210"/>
    <mergeCell ref="P209:Q209"/>
    <mergeCell ref="R209:R210"/>
    <mergeCell ref="S209:S210"/>
    <mergeCell ref="B211:B213"/>
    <mergeCell ref="C211:C213"/>
    <mergeCell ref="D211:D213"/>
    <mergeCell ref="E211:E213"/>
    <mergeCell ref="F211:F213"/>
    <mergeCell ref="G211:G213"/>
    <mergeCell ref="H211:H213"/>
    <mergeCell ref="I211:I213"/>
    <mergeCell ref="N211:N213"/>
    <mergeCell ref="O211:O213"/>
    <mergeCell ref="P211:P213"/>
    <mergeCell ref="Q211:Q213"/>
    <mergeCell ref="R211:R213"/>
    <mergeCell ref="S211:S213"/>
    <mergeCell ref="M212:M213"/>
    <mergeCell ref="U211:U213"/>
    <mergeCell ref="L212:L213"/>
    <mergeCell ref="B220:B222"/>
    <mergeCell ref="C220:C222"/>
    <mergeCell ref="D220:D222"/>
    <mergeCell ref="Q214:Q216"/>
    <mergeCell ref="E220:E222"/>
    <mergeCell ref="F220:F222"/>
    <mergeCell ref="G220:G222"/>
    <mergeCell ref="H220:H222"/>
    <mergeCell ref="I220:I222"/>
    <mergeCell ref="N220:N222"/>
    <mergeCell ref="R217:R219"/>
    <mergeCell ref="S217:S219"/>
    <mergeCell ref="U217:U219"/>
    <mergeCell ref="L218:L219"/>
    <mergeCell ref="M218:M219"/>
    <mergeCell ref="R214:R216"/>
    <mergeCell ref="S214:S216"/>
    <mergeCell ref="U214:U216"/>
    <mergeCell ref="L215:L216"/>
    <mergeCell ref="M215:M216"/>
    <mergeCell ref="B217:B219"/>
    <mergeCell ref="C217:C219"/>
    <mergeCell ref="D217:D219"/>
    <mergeCell ref="E217:E219"/>
    <mergeCell ref="F217:F219"/>
    <mergeCell ref="G217:G219"/>
    <mergeCell ref="H217:H219"/>
    <mergeCell ref="I217:I219"/>
    <mergeCell ref="N217:N219"/>
    <mergeCell ref="B214:B216"/>
    <mergeCell ref="O217:O219"/>
    <mergeCell ref="P217:P219"/>
    <mergeCell ref="Q217:Q219"/>
    <mergeCell ref="E214:E216"/>
    <mergeCell ref="F214:F216"/>
    <mergeCell ref="G214:G216"/>
    <mergeCell ref="H214:H216"/>
    <mergeCell ref="I214:I216"/>
    <mergeCell ref="N214:N216"/>
    <mergeCell ref="O214:O216"/>
    <mergeCell ref="P214:P216"/>
    <mergeCell ref="D214:D216"/>
    <mergeCell ref="M224:M225"/>
    <mergeCell ref="B226:O227"/>
    <mergeCell ref="P226:R226"/>
    <mergeCell ref="T226:T227"/>
    <mergeCell ref="P227:R227"/>
    <mergeCell ref="O220:O222"/>
    <mergeCell ref="P220:P222"/>
    <mergeCell ref="Q220:Q222"/>
    <mergeCell ref="R220:R222"/>
    <mergeCell ref="S220:S222"/>
    <mergeCell ref="T211:T225"/>
    <mergeCell ref="C214:C216"/>
    <mergeCell ref="U220:U222"/>
    <mergeCell ref="L221:L222"/>
    <mergeCell ref="M221:M222"/>
    <mergeCell ref="B223:B225"/>
    <mergeCell ref="C223:C225"/>
    <mergeCell ref="D223:D225"/>
    <mergeCell ref="E223:E225"/>
    <mergeCell ref="F223:F225"/>
    <mergeCell ref="G223:G225"/>
    <mergeCell ref="H223:H225"/>
    <mergeCell ref="I223:I225"/>
    <mergeCell ref="N223:N225"/>
    <mergeCell ref="O223:O225"/>
    <mergeCell ref="P223:P225"/>
    <mergeCell ref="Q223:Q225"/>
    <mergeCell ref="R223:R225"/>
    <mergeCell ref="S223:S225"/>
    <mergeCell ref="U223:U225"/>
    <mergeCell ref="L224:L225"/>
  </mergeCells>
  <conditionalFormatting sqref="K13">
    <cfRule type="expression" dxfId="6771" priority="12412">
      <formula>J13="NO CUMPLE"</formula>
    </cfRule>
    <cfRule type="expression" dxfId="6770" priority="12413">
      <formula>J13="CUMPLE"</formula>
    </cfRule>
  </conditionalFormatting>
  <conditionalFormatting sqref="M13">
    <cfRule type="expression" dxfId="6769" priority="12410">
      <formula>L13="NO CUMPLE"</formula>
    </cfRule>
    <cfRule type="expression" dxfId="6768" priority="12411">
      <formula>L13="CUMPLE"</formula>
    </cfRule>
  </conditionalFormatting>
  <conditionalFormatting sqref="J16:J24">
    <cfRule type="cellIs" dxfId="6767" priority="12405" operator="equal">
      <formula>"NO CUMPLE"</formula>
    </cfRule>
    <cfRule type="cellIs" dxfId="6766" priority="12406" operator="equal">
      <formula>"CUMPLE"</formula>
    </cfRule>
  </conditionalFormatting>
  <conditionalFormatting sqref="L13:L14">
    <cfRule type="cellIs" dxfId="6765" priority="12403" operator="equal">
      <formula>"NO CUMPLE"</formula>
    </cfRule>
    <cfRule type="cellIs" dxfId="6764" priority="12404" operator="equal">
      <formula>"CUMPLE"</formula>
    </cfRule>
  </conditionalFormatting>
  <conditionalFormatting sqref="T28">
    <cfRule type="cellIs" dxfId="6763" priority="12380" operator="equal">
      <formula>"NO CUMPLE"</formula>
    </cfRule>
    <cfRule type="cellIs" dxfId="6762" priority="12381" operator="equal">
      <formula>"CUMPLE"</formula>
    </cfRule>
  </conditionalFormatting>
  <conditionalFormatting sqref="B28">
    <cfRule type="cellIs" dxfId="6761" priority="12378" operator="equal">
      <formula>"NO CUMPLE CON LA EXPERIENCIA REQUERIDA"</formula>
    </cfRule>
    <cfRule type="cellIs" dxfId="6760" priority="12379" operator="equal">
      <formula>"CUMPLE CON LA EXPERIENCIA REQUERIDA"</formula>
    </cfRule>
  </conditionalFormatting>
  <conditionalFormatting sqref="H16 H19 H22 H25">
    <cfRule type="notContainsBlanks" dxfId="6759" priority="12377">
      <formula>LEN(TRIM(H16))&gt;0</formula>
    </cfRule>
  </conditionalFormatting>
  <conditionalFormatting sqref="T13">
    <cfRule type="cellIs" dxfId="6758" priority="12369" operator="equal">
      <formula>"NO"</formula>
    </cfRule>
    <cfRule type="cellIs" dxfId="6757" priority="12370" operator="equal">
      <formula>"SI"</formula>
    </cfRule>
  </conditionalFormatting>
  <conditionalFormatting sqref="K14:K15">
    <cfRule type="expression" dxfId="6756" priority="12367">
      <formula>J14="NO CUMPLE"</formula>
    </cfRule>
    <cfRule type="expression" dxfId="6755" priority="12368">
      <formula>J14="CUMPLE"</formula>
    </cfRule>
  </conditionalFormatting>
  <conditionalFormatting sqref="M14">
    <cfRule type="expression" dxfId="6754" priority="12363">
      <formula>L14="NO CUMPLE"</formula>
    </cfRule>
    <cfRule type="expression" dxfId="6753" priority="12364">
      <formula>L14="CUMPLE"</formula>
    </cfRule>
  </conditionalFormatting>
  <conditionalFormatting sqref="Z12:Z28">
    <cfRule type="cellIs" dxfId="6752" priority="12361" operator="equal">
      <formula>"NH"</formula>
    </cfRule>
    <cfRule type="cellIs" dxfId="6751" priority="12362" operator="equal">
      <formula>"H"</formula>
    </cfRule>
  </conditionalFormatting>
  <conditionalFormatting sqref="L19:L20">
    <cfRule type="cellIs" dxfId="6750" priority="12304" operator="equal">
      <formula>"NO CUMPLE"</formula>
    </cfRule>
    <cfRule type="cellIs" dxfId="6749" priority="12305" operator="equal">
      <formula>"CUMPLE"</formula>
    </cfRule>
  </conditionalFormatting>
  <conditionalFormatting sqref="L22:L23">
    <cfRule type="cellIs" dxfId="6748" priority="12256" operator="equal">
      <formula>"NO CUMPLE"</formula>
    </cfRule>
    <cfRule type="cellIs" dxfId="6747" priority="12257" operator="equal">
      <formula>"CUMPLE"</formula>
    </cfRule>
  </conditionalFormatting>
  <conditionalFormatting sqref="L16:L17">
    <cfRule type="cellIs" dxfId="6746" priority="12346" operator="equal">
      <formula>"NO CUMPLE"</formula>
    </cfRule>
    <cfRule type="cellIs" dxfId="6745" priority="12347" operator="equal">
      <formula>"CUMPLE"</formula>
    </cfRule>
  </conditionalFormatting>
  <conditionalFormatting sqref="G19">
    <cfRule type="notContainsBlanks" dxfId="6744" priority="12282">
      <formula>LEN(TRIM(G19))&gt;0</formula>
    </cfRule>
  </conditionalFormatting>
  <conditionalFormatting sqref="F19">
    <cfRule type="notContainsBlanks" dxfId="6743" priority="12281">
      <formula>LEN(TRIM(F19))&gt;0</formula>
    </cfRule>
  </conditionalFormatting>
  <conditionalFormatting sqref="E19">
    <cfRule type="notContainsBlanks" dxfId="6742" priority="12280">
      <formula>LEN(TRIM(E19))&gt;0</formula>
    </cfRule>
  </conditionalFormatting>
  <conditionalFormatting sqref="D19">
    <cfRule type="notContainsBlanks" dxfId="6741" priority="12279">
      <formula>LEN(TRIM(D19))&gt;0</formula>
    </cfRule>
  </conditionalFormatting>
  <conditionalFormatting sqref="C19">
    <cfRule type="notContainsBlanks" dxfId="6740" priority="12278">
      <formula>LEN(TRIM(C19))&gt;0</formula>
    </cfRule>
  </conditionalFormatting>
  <conditionalFormatting sqref="I19">
    <cfRule type="notContainsBlanks" dxfId="6739" priority="12277">
      <formula>LEN(TRIM(I19))&gt;0</formula>
    </cfRule>
  </conditionalFormatting>
  <conditionalFormatting sqref="J25">
    <cfRule type="cellIs" dxfId="6738" priority="12216" operator="equal">
      <formula>"NO CUMPLE"</formula>
    </cfRule>
    <cfRule type="cellIs" dxfId="6737" priority="12217" operator="equal">
      <formula>"CUMPLE"</formula>
    </cfRule>
  </conditionalFormatting>
  <conditionalFormatting sqref="L25:L26">
    <cfRule type="cellIs" dxfId="6736" priority="12214" operator="equal">
      <formula>"NO CUMPLE"</formula>
    </cfRule>
    <cfRule type="cellIs" dxfId="6735" priority="12215" operator="equal">
      <formula>"CUMPLE"</formula>
    </cfRule>
  </conditionalFormatting>
  <conditionalFormatting sqref="G25">
    <cfRule type="notContainsBlanks" dxfId="6734" priority="12192">
      <formula>LEN(TRIM(G25))&gt;0</formula>
    </cfRule>
  </conditionalFormatting>
  <conditionalFormatting sqref="F25">
    <cfRule type="notContainsBlanks" dxfId="6733" priority="12191">
      <formula>LEN(TRIM(F25))&gt;0</formula>
    </cfRule>
  </conditionalFormatting>
  <conditionalFormatting sqref="E25">
    <cfRule type="notContainsBlanks" dxfId="6732" priority="12190">
      <formula>LEN(TRIM(E25))&gt;0</formula>
    </cfRule>
  </conditionalFormatting>
  <conditionalFormatting sqref="D25">
    <cfRule type="notContainsBlanks" dxfId="6731" priority="12189">
      <formula>LEN(TRIM(D25))&gt;0</formula>
    </cfRule>
  </conditionalFormatting>
  <conditionalFormatting sqref="C25">
    <cfRule type="notContainsBlanks" dxfId="6730" priority="12188">
      <formula>LEN(TRIM(C25))&gt;0</formula>
    </cfRule>
  </conditionalFormatting>
  <conditionalFormatting sqref="I25">
    <cfRule type="notContainsBlanks" dxfId="6729" priority="12187">
      <formula>LEN(TRIM(I25))&gt;0</formula>
    </cfRule>
  </conditionalFormatting>
  <conditionalFormatting sqref="J26:J27">
    <cfRule type="cellIs" dxfId="6728" priority="12183" operator="equal">
      <formula>"NO CUMPLE"</formula>
    </cfRule>
    <cfRule type="cellIs" dxfId="6727" priority="12184" operator="equal">
      <formula>"CUMPLE"</formula>
    </cfRule>
  </conditionalFormatting>
  <conditionalFormatting sqref="G16">
    <cfRule type="notContainsBlanks" dxfId="6726" priority="12176">
      <formula>LEN(TRIM(G16))&gt;0</formula>
    </cfRule>
  </conditionalFormatting>
  <conditionalFormatting sqref="F16">
    <cfRule type="notContainsBlanks" dxfId="6725" priority="12175">
      <formula>LEN(TRIM(F16))&gt;0</formula>
    </cfRule>
  </conditionalFormatting>
  <conditionalFormatting sqref="E16">
    <cfRule type="notContainsBlanks" dxfId="6724" priority="12174">
      <formula>LEN(TRIM(E16))&gt;0</formula>
    </cfRule>
  </conditionalFormatting>
  <conditionalFormatting sqref="D16">
    <cfRule type="notContainsBlanks" dxfId="6723" priority="12173">
      <formula>LEN(TRIM(D16))&gt;0</formula>
    </cfRule>
  </conditionalFormatting>
  <conditionalFormatting sqref="C16">
    <cfRule type="notContainsBlanks" dxfId="6722" priority="12172">
      <formula>LEN(TRIM(C16))&gt;0</formula>
    </cfRule>
  </conditionalFormatting>
  <conditionalFormatting sqref="G22">
    <cfRule type="notContainsBlanks" dxfId="6721" priority="12171">
      <formula>LEN(TRIM(G22))&gt;0</formula>
    </cfRule>
  </conditionalFormatting>
  <conditionalFormatting sqref="F22">
    <cfRule type="notContainsBlanks" dxfId="6720" priority="12170">
      <formula>LEN(TRIM(F22))&gt;0</formula>
    </cfRule>
  </conditionalFormatting>
  <conditionalFormatting sqref="E22">
    <cfRule type="notContainsBlanks" dxfId="6719" priority="12169">
      <formula>LEN(TRIM(E22))&gt;0</formula>
    </cfRule>
  </conditionalFormatting>
  <conditionalFormatting sqref="D22">
    <cfRule type="notContainsBlanks" dxfId="6718" priority="12168">
      <formula>LEN(TRIM(D22))&gt;0</formula>
    </cfRule>
  </conditionalFormatting>
  <conditionalFormatting sqref="C22">
    <cfRule type="notContainsBlanks" dxfId="6717" priority="12167">
      <formula>LEN(TRIM(C22))&gt;0</formula>
    </cfRule>
  </conditionalFormatting>
  <conditionalFormatting sqref="I16">
    <cfRule type="notContainsBlanks" dxfId="6716" priority="12166">
      <formula>LEN(TRIM(I16))&gt;0</formula>
    </cfRule>
  </conditionalFormatting>
  <conditionalFormatting sqref="I22">
    <cfRule type="notContainsBlanks" dxfId="6715" priority="12165">
      <formula>LEN(TRIM(I22))&gt;0</formula>
    </cfRule>
  </conditionalFormatting>
  <conditionalFormatting sqref="S28">
    <cfRule type="expression" dxfId="6714" priority="12163">
      <formula>$S$28&gt;0</formula>
    </cfRule>
    <cfRule type="cellIs" dxfId="6713" priority="12164" operator="equal">
      <formula>0</formula>
    </cfRule>
  </conditionalFormatting>
  <conditionalFormatting sqref="S29">
    <cfRule type="expression" dxfId="6712" priority="12161">
      <formula>$S$28&gt;0</formula>
    </cfRule>
    <cfRule type="cellIs" dxfId="6711" priority="12162" operator="equal">
      <formula>0</formula>
    </cfRule>
  </conditionalFormatting>
  <conditionalFormatting sqref="U16:U18">
    <cfRule type="cellIs" dxfId="6710" priority="12157" operator="equal">
      <formula>0</formula>
    </cfRule>
    <cfRule type="cellIs" dxfId="6709" priority="12158" operator="equal">
      <formula>1</formula>
    </cfRule>
  </conditionalFormatting>
  <conditionalFormatting sqref="U19:U21">
    <cfRule type="cellIs" dxfId="6708" priority="12155" operator="equal">
      <formula>0</formula>
    </cfRule>
    <cfRule type="cellIs" dxfId="6707" priority="12156" operator="equal">
      <formula>1</formula>
    </cfRule>
  </conditionalFormatting>
  <conditionalFormatting sqref="U22:U24">
    <cfRule type="cellIs" dxfId="6706" priority="12153" operator="equal">
      <formula>0</formula>
    </cfRule>
    <cfRule type="cellIs" dxfId="6705" priority="12154" operator="equal">
      <formula>1</formula>
    </cfRule>
  </conditionalFormatting>
  <conditionalFormatting sqref="U25:U27">
    <cfRule type="cellIs" dxfId="6704" priority="12151" operator="equal">
      <formula>0</formula>
    </cfRule>
    <cfRule type="cellIs" dxfId="6703" priority="12152" operator="equal">
      <formula>1</formula>
    </cfRule>
  </conditionalFormatting>
  <conditionalFormatting sqref="L35:L36">
    <cfRule type="cellIs" dxfId="6702" priority="12140" operator="equal">
      <formula>"NO CUMPLE"</formula>
    </cfRule>
    <cfRule type="cellIs" dxfId="6701" priority="12141" operator="equal">
      <formula>"CUMPLE"</formula>
    </cfRule>
  </conditionalFormatting>
  <conditionalFormatting sqref="T50">
    <cfRule type="cellIs" dxfId="6700" priority="12117" operator="equal">
      <formula>"NO CUMPLE"</formula>
    </cfRule>
    <cfRule type="cellIs" dxfId="6699" priority="12118" operator="equal">
      <formula>"CUMPLE"</formula>
    </cfRule>
  </conditionalFormatting>
  <conditionalFormatting sqref="B50">
    <cfRule type="cellIs" dxfId="6698" priority="12115" operator="equal">
      <formula>"NO CUMPLE CON LA EXPERIENCIA REQUERIDA"</formula>
    </cfRule>
    <cfRule type="cellIs" dxfId="6697" priority="12116" operator="equal">
      <formula>"CUMPLE CON LA EXPERIENCIA REQUERIDA"</formula>
    </cfRule>
  </conditionalFormatting>
  <conditionalFormatting sqref="H41 H44 H47">
    <cfRule type="notContainsBlanks" dxfId="6696" priority="12114">
      <formula>LEN(TRIM(H41))&gt;0</formula>
    </cfRule>
  </conditionalFormatting>
  <conditionalFormatting sqref="T35">
    <cfRule type="cellIs" dxfId="6695" priority="12106" operator="equal">
      <formula>"NO"</formula>
    </cfRule>
    <cfRule type="cellIs" dxfId="6694" priority="12107" operator="equal">
      <formula>"SI"</formula>
    </cfRule>
  </conditionalFormatting>
  <conditionalFormatting sqref="G41">
    <cfRule type="notContainsBlanks" dxfId="6693" priority="12021">
      <formula>LEN(TRIM(G41))&gt;0</formula>
    </cfRule>
  </conditionalFormatting>
  <conditionalFormatting sqref="F41">
    <cfRule type="notContainsBlanks" dxfId="6692" priority="12020">
      <formula>LEN(TRIM(F41))&gt;0</formula>
    </cfRule>
  </conditionalFormatting>
  <conditionalFormatting sqref="E41">
    <cfRule type="notContainsBlanks" dxfId="6691" priority="12019">
      <formula>LEN(TRIM(E41))&gt;0</formula>
    </cfRule>
  </conditionalFormatting>
  <conditionalFormatting sqref="D41">
    <cfRule type="notContainsBlanks" dxfId="6690" priority="12018">
      <formula>LEN(TRIM(D41))&gt;0</formula>
    </cfRule>
  </conditionalFormatting>
  <conditionalFormatting sqref="C41">
    <cfRule type="notContainsBlanks" dxfId="6689" priority="12017">
      <formula>LEN(TRIM(C41))&gt;0</formula>
    </cfRule>
  </conditionalFormatting>
  <conditionalFormatting sqref="I41">
    <cfRule type="notContainsBlanks" dxfId="6688" priority="12016">
      <formula>LEN(TRIM(I41))&gt;0</formula>
    </cfRule>
  </conditionalFormatting>
  <conditionalFormatting sqref="G47">
    <cfRule type="notContainsBlanks" dxfId="6687" priority="11931">
      <formula>LEN(TRIM(G47))&gt;0</formula>
    </cfRule>
  </conditionalFormatting>
  <conditionalFormatting sqref="F47">
    <cfRule type="notContainsBlanks" dxfId="6686" priority="11930">
      <formula>LEN(TRIM(F47))&gt;0</formula>
    </cfRule>
  </conditionalFormatting>
  <conditionalFormatting sqref="E47">
    <cfRule type="notContainsBlanks" dxfId="6685" priority="11929">
      <formula>LEN(TRIM(E47))&gt;0</formula>
    </cfRule>
  </conditionalFormatting>
  <conditionalFormatting sqref="D47">
    <cfRule type="notContainsBlanks" dxfId="6684" priority="11928">
      <formula>LEN(TRIM(D47))&gt;0</formula>
    </cfRule>
  </conditionalFormatting>
  <conditionalFormatting sqref="C47">
    <cfRule type="notContainsBlanks" dxfId="6683" priority="11927">
      <formula>LEN(TRIM(C47))&gt;0</formula>
    </cfRule>
  </conditionalFormatting>
  <conditionalFormatting sqref="I47">
    <cfRule type="notContainsBlanks" dxfId="6682" priority="11926">
      <formula>LEN(TRIM(I47))&gt;0</formula>
    </cfRule>
  </conditionalFormatting>
  <conditionalFormatting sqref="G44">
    <cfRule type="notContainsBlanks" dxfId="6681" priority="11910">
      <formula>LEN(TRIM(G44))&gt;0</formula>
    </cfRule>
  </conditionalFormatting>
  <conditionalFormatting sqref="F44">
    <cfRule type="notContainsBlanks" dxfId="6680" priority="11909">
      <formula>LEN(TRIM(F44))&gt;0</formula>
    </cfRule>
  </conditionalFormatting>
  <conditionalFormatting sqref="E44">
    <cfRule type="notContainsBlanks" dxfId="6679" priority="11908">
      <formula>LEN(TRIM(E44))&gt;0</formula>
    </cfRule>
  </conditionalFormatting>
  <conditionalFormatting sqref="D44">
    <cfRule type="notContainsBlanks" dxfId="6678" priority="11907">
      <formula>LEN(TRIM(D44))&gt;0</formula>
    </cfRule>
  </conditionalFormatting>
  <conditionalFormatting sqref="C44">
    <cfRule type="notContainsBlanks" dxfId="6677" priority="11906">
      <formula>LEN(TRIM(C44))&gt;0</formula>
    </cfRule>
  </conditionalFormatting>
  <conditionalFormatting sqref="I44">
    <cfRule type="notContainsBlanks" dxfId="6676" priority="11904">
      <formula>LEN(TRIM(I44))&gt;0</formula>
    </cfRule>
  </conditionalFormatting>
  <conditionalFormatting sqref="S50">
    <cfRule type="expression" dxfId="6675" priority="11902">
      <formula>$S$28&gt;0</formula>
    </cfRule>
    <cfRule type="cellIs" dxfId="6674" priority="11903" operator="equal">
      <formula>0</formula>
    </cfRule>
  </conditionalFormatting>
  <conditionalFormatting sqref="S51">
    <cfRule type="expression" dxfId="6673" priority="11900">
      <formula>$S$28&gt;0</formula>
    </cfRule>
    <cfRule type="cellIs" dxfId="6672" priority="11901" operator="equal">
      <formula>0</formula>
    </cfRule>
  </conditionalFormatting>
  <conditionalFormatting sqref="N16 N19 N22 N25">
    <cfRule type="expression" dxfId="6671" priority="7957">
      <formula>N16=" "</formula>
    </cfRule>
    <cfRule type="expression" dxfId="6670" priority="7958">
      <formula>N16="NO PRESENTÓ CERTIFICADO"</formula>
    </cfRule>
    <cfRule type="expression" dxfId="6669" priority="7959">
      <formula>N16="PRESENTÓ CERTIFICADO"</formula>
    </cfRule>
  </conditionalFormatting>
  <conditionalFormatting sqref="Q19 Q22 Q25">
    <cfRule type="containsBlanks" dxfId="6668" priority="7939">
      <formula>LEN(TRIM(Q19))=0</formula>
    </cfRule>
    <cfRule type="cellIs" dxfId="6667" priority="7948" operator="equal">
      <formula>"REQUERIMIENTOS SUBSANADOS"</formula>
    </cfRule>
    <cfRule type="containsText" dxfId="6666" priority="7954" operator="containsText" text="NO SUBSANABLE">
      <formula>NOT(ISERROR(SEARCH("NO SUBSANABLE",Q19)))</formula>
    </cfRule>
    <cfRule type="containsText" dxfId="6665" priority="7955" operator="containsText" text="PENDIENTES POR SUBSANAR">
      <formula>NOT(ISERROR(SEARCH("PENDIENTES POR SUBSANAR",Q19)))</formula>
    </cfRule>
    <cfRule type="containsText" dxfId="6664" priority="7956" operator="containsText" text="SIN OBSERVACIÓN">
      <formula>NOT(ISERROR(SEARCH("SIN OBSERVACIÓN",Q19)))</formula>
    </cfRule>
  </conditionalFormatting>
  <conditionalFormatting sqref="R19 R22 R25">
    <cfRule type="containsBlanks" dxfId="6663" priority="7938">
      <formula>LEN(TRIM(R19))=0</formula>
    </cfRule>
    <cfRule type="cellIs" dxfId="6662" priority="7940" operator="equal">
      <formula>"NO CUMPLEN CON LO SOLICITADO"</formula>
    </cfRule>
    <cfRule type="cellIs" dxfId="6661" priority="7941" operator="equal">
      <formula>"CUMPLEN CON LO SOLICITADO"</formula>
    </cfRule>
    <cfRule type="cellIs" dxfId="6660" priority="7942" operator="equal">
      <formula>"PENDIENTES"</formula>
    </cfRule>
    <cfRule type="cellIs" dxfId="6659" priority="7943" operator="equal">
      <formula>"NINGUNO"</formula>
    </cfRule>
  </conditionalFormatting>
  <conditionalFormatting sqref="P16 P19 P22 P25">
    <cfRule type="expression" dxfId="6658" priority="7929">
      <formula>Q16="NO SUBSANABLE"</formula>
    </cfRule>
    <cfRule type="expression" dxfId="6657" priority="7930">
      <formula>Q16="REQUERIMIENTOS SUBSANADOS"</formula>
    </cfRule>
    <cfRule type="expression" dxfId="6656" priority="7931">
      <formula>Q16="PENDIENTES POR SUBSANAR"</formula>
    </cfRule>
    <cfRule type="expression" dxfId="6655" priority="7932">
      <formula>Q16="SIN OBSERVACIÓN"</formula>
    </cfRule>
    <cfRule type="containsBlanks" dxfId="6654" priority="7933">
      <formula>LEN(TRIM(P16))=0</formula>
    </cfRule>
  </conditionalFormatting>
  <conditionalFormatting sqref="T72">
    <cfRule type="cellIs" dxfId="6653" priority="7084" operator="equal">
      <formula>"NO CUMPLE"</formula>
    </cfRule>
    <cfRule type="cellIs" dxfId="6652" priority="7085" operator="equal">
      <formula>"CUMPLE"</formula>
    </cfRule>
  </conditionalFormatting>
  <conditionalFormatting sqref="B72">
    <cfRule type="cellIs" dxfId="6651" priority="7082" operator="equal">
      <formula>"NO CUMPLE CON LA EXPERIENCIA REQUERIDA"</formula>
    </cfRule>
    <cfRule type="cellIs" dxfId="6650" priority="7083" operator="equal">
      <formula>"CUMPLE CON LA EXPERIENCIA REQUERIDA"</formula>
    </cfRule>
  </conditionalFormatting>
  <conditionalFormatting sqref="T57">
    <cfRule type="cellIs" dxfId="6649" priority="7073" operator="equal">
      <formula>"NO"</formula>
    </cfRule>
    <cfRule type="cellIs" dxfId="6648" priority="7074" operator="equal">
      <formula>"SI"</formula>
    </cfRule>
  </conditionalFormatting>
  <conditionalFormatting sqref="S72">
    <cfRule type="expression" dxfId="6647" priority="6977">
      <formula>$S$28&gt;0</formula>
    </cfRule>
    <cfRule type="cellIs" dxfId="6646" priority="6978" operator="equal">
      <formula>0</formula>
    </cfRule>
  </conditionalFormatting>
  <conditionalFormatting sqref="S73">
    <cfRule type="expression" dxfId="6645" priority="6975">
      <formula>$S$28&gt;0</formula>
    </cfRule>
    <cfRule type="cellIs" dxfId="6644" priority="6976" operator="equal">
      <formula>0</formula>
    </cfRule>
  </conditionalFormatting>
  <conditionalFormatting sqref="T94">
    <cfRule type="cellIs" dxfId="6643" priority="6901" operator="equal">
      <formula>"NO CUMPLE"</formula>
    </cfRule>
    <cfRule type="cellIs" dxfId="6642" priority="6902" operator="equal">
      <formula>"CUMPLE"</formula>
    </cfRule>
  </conditionalFormatting>
  <conditionalFormatting sqref="B94">
    <cfRule type="cellIs" dxfId="6641" priority="6899" operator="equal">
      <formula>"NO CUMPLE CON LA EXPERIENCIA REQUERIDA"</formula>
    </cfRule>
    <cfRule type="cellIs" dxfId="6640" priority="6900" operator="equal">
      <formula>"CUMPLE CON LA EXPERIENCIA REQUERIDA"</formula>
    </cfRule>
  </conditionalFormatting>
  <conditionalFormatting sqref="H79 H82 H85 H88 H91">
    <cfRule type="notContainsBlanks" dxfId="6639" priority="6898">
      <formula>LEN(TRIM(H79))&gt;0</formula>
    </cfRule>
  </conditionalFormatting>
  <conditionalFormatting sqref="G79">
    <cfRule type="notContainsBlanks" dxfId="6638" priority="6897">
      <formula>LEN(TRIM(G79))&gt;0</formula>
    </cfRule>
  </conditionalFormatting>
  <conditionalFormatting sqref="F79">
    <cfRule type="notContainsBlanks" dxfId="6637" priority="6896">
      <formula>LEN(TRIM(F79))&gt;0</formula>
    </cfRule>
  </conditionalFormatting>
  <conditionalFormatting sqref="E79">
    <cfRule type="notContainsBlanks" dxfId="6636" priority="6895">
      <formula>LEN(TRIM(E79))&gt;0</formula>
    </cfRule>
  </conditionalFormatting>
  <conditionalFormatting sqref="D79">
    <cfRule type="notContainsBlanks" dxfId="6635" priority="6894">
      <formula>LEN(TRIM(D79))&gt;0</formula>
    </cfRule>
  </conditionalFormatting>
  <conditionalFormatting sqref="C79">
    <cfRule type="notContainsBlanks" dxfId="6634" priority="6893">
      <formula>LEN(TRIM(C79))&gt;0</formula>
    </cfRule>
  </conditionalFormatting>
  <conditionalFormatting sqref="I79">
    <cfRule type="notContainsBlanks" dxfId="6633" priority="6892">
      <formula>LEN(TRIM(I79))&gt;0</formula>
    </cfRule>
  </conditionalFormatting>
  <conditionalFormatting sqref="T79">
    <cfRule type="cellIs" dxfId="6632" priority="6890" operator="equal">
      <formula>"NO"</formula>
    </cfRule>
    <cfRule type="cellIs" dxfId="6631" priority="6891" operator="equal">
      <formula>"SI"</formula>
    </cfRule>
  </conditionalFormatting>
  <conditionalFormatting sqref="G85">
    <cfRule type="notContainsBlanks" dxfId="6630" priority="6857">
      <formula>LEN(TRIM(G85))&gt;0</formula>
    </cfRule>
  </conditionalFormatting>
  <conditionalFormatting sqref="F85">
    <cfRule type="notContainsBlanks" dxfId="6629" priority="6856">
      <formula>LEN(TRIM(F85))&gt;0</formula>
    </cfRule>
  </conditionalFormatting>
  <conditionalFormatting sqref="E85">
    <cfRule type="notContainsBlanks" dxfId="6628" priority="6855">
      <formula>LEN(TRIM(E85))&gt;0</formula>
    </cfRule>
  </conditionalFormatting>
  <conditionalFormatting sqref="D85">
    <cfRule type="notContainsBlanks" dxfId="6627" priority="6854">
      <formula>LEN(TRIM(D85))&gt;0</formula>
    </cfRule>
  </conditionalFormatting>
  <conditionalFormatting sqref="C85">
    <cfRule type="notContainsBlanks" dxfId="6626" priority="6853">
      <formula>LEN(TRIM(C85))&gt;0</formula>
    </cfRule>
  </conditionalFormatting>
  <conditionalFormatting sqref="I85">
    <cfRule type="notContainsBlanks" dxfId="6625" priority="6852">
      <formula>LEN(TRIM(I85))&gt;0</formula>
    </cfRule>
  </conditionalFormatting>
  <conditionalFormatting sqref="G91">
    <cfRule type="notContainsBlanks" dxfId="6624" priority="6819">
      <formula>LEN(TRIM(G91))&gt;0</formula>
    </cfRule>
  </conditionalFormatting>
  <conditionalFormatting sqref="F91">
    <cfRule type="notContainsBlanks" dxfId="6623" priority="6818">
      <formula>LEN(TRIM(F91))&gt;0</formula>
    </cfRule>
  </conditionalFormatting>
  <conditionalFormatting sqref="E91">
    <cfRule type="notContainsBlanks" dxfId="6622" priority="6817">
      <formula>LEN(TRIM(E91))&gt;0</formula>
    </cfRule>
  </conditionalFormatting>
  <conditionalFormatting sqref="D91">
    <cfRule type="notContainsBlanks" dxfId="6621" priority="6816">
      <formula>LEN(TRIM(D91))&gt;0</formula>
    </cfRule>
  </conditionalFormatting>
  <conditionalFormatting sqref="C91">
    <cfRule type="notContainsBlanks" dxfId="6620" priority="6815">
      <formula>LEN(TRIM(C91))&gt;0</formula>
    </cfRule>
  </conditionalFormatting>
  <conditionalFormatting sqref="I91">
    <cfRule type="notContainsBlanks" dxfId="6619" priority="6814">
      <formula>LEN(TRIM(I91))&gt;0</formula>
    </cfRule>
  </conditionalFormatting>
  <conditionalFormatting sqref="G82">
    <cfRule type="notContainsBlanks" dxfId="6618" priority="6807">
      <formula>LEN(TRIM(G82))&gt;0</formula>
    </cfRule>
  </conditionalFormatting>
  <conditionalFormatting sqref="F82">
    <cfRule type="notContainsBlanks" dxfId="6617" priority="6806">
      <formula>LEN(TRIM(F82))&gt;0</formula>
    </cfRule>
  </conditionalFormatting>
  <conditionalFormatting sqref="E82">
    <cfRule type="notContainsBlanks" dxfId="6616" priority="6805">
      <formula>LEN(TRIM(E82))&gt;0</formula>
    </cfRule>
  </conditionalFormatting>
  <conditionalFormatting sqref="D82">
    <cfRule type="notContainsBlanks" dxfId="6615" priority="6804">
      <formula>LEN(TRIM(D82))&gt;0</formula>
    </cfRule>
  </conditionalFormatting>
  <conditionalFormatting sqref="C82">
    <cfRule type="notContainsBlanks" dxfId="6614" priority="6803">
      <formula>LEN(TRIM(C82))&gt;0</formula>
    </cfRule>
  </conditionalFormatting>
  <conditionalFormatting sqref="G88">
    <cfRule type="notContainsBlanks" dxfId="6613" priority="6802">
      <formula>LEN(TRIM(G88))&gt;0</formula>
    </cfRule>
  </conditionalFormatting>
  <conditionalFormatting sqref="F88">
    <cfRule type="notContainsBlanks" dxfId="6612" priority="6801">
      <formula>LEN(TRIM(F88))&gt;0</formula>
    </cfRule>
  </conditionalFormatting>
  <conditionalFormatting sqref="E88">
    <cfRule type="notContainsBlanks" dxfId="6611" priority="6800">
      <formula>LEN(TRIM(E88))&gt;0</formula>
    </cfRule>
  </conditionalFormatting>
  <conditionalFormatting sqref="D88">
    <cfRule type="notContainsBlanks" dxfId="6610" priority="6799">
      <formula>LEN(TRIM(D88))&gt;0</formula>
    </cfRule>
  </conditionalFormatting>
  <conditionalFormatting sqref="C88">
    <cfRule type="notContainsBlanks" dxfId="6609" priority="6798">
      <formula>LEN(TRIM(C88))&gt;0</formula>
    </cfRule>
  </conditionalFormatting>
  <conditionalFormatting sqref="I82">
    <cfRule type="notContainsBlanks" dxfId="6608" priority="6797">
      <formula>LEN(TRIM(I82))&gt;0</formula>
    </cfRule>
  </conditionalFormatting>
  <conditionalFormatting sqref="I88">
    <cfRule type="notContainsBlanks" dxfId="6607" priority="6796">
      <formula>LEN(TRIM(I88))&gt;0</formula>
    </cfRule>
  </conditionalFormatting>
  <conditionalFormatting sqref="S94">
    <cfRule type="expression" dxfId="6606" priority="6794">
      <formula>$S$28&gt;0</formula>
    </cfRule>
    <cfRule type="cellIs" dxfId="6605" priority="6795" operator="equal">
      <formula>0</formula>
    </cfRule>
  </conditionalFormatting>
  <conditionalFormatting sqref="S95">
    <cfRule type="expression" dxfId="6604" priority="6792">
      <formula>$S$28&gt;0</formula>
    </cfRule>
    <cfRule type="cellIs" dxfId="6603" priority="6793" operator="equal">
      <formula>0</formula>
    </cfRule>
  </conditionalFormatting>
  <conditionalFormatting sqref="S101">
    <cfRule type="cellIs" dxfId="6602" priority="6720" operator="greaterThan">
      <formula>0</formula>
    </cfRule>
    <cfRule type="top10" dxfId="6601" priority="6721" rank="10"/>
  </conditionalFormatting>
  <conditionalFormatting sqref="B116">
    <cfRule type="cellIs" dxfId="6600" priority="6716" operator="equal">
      <formula>"NO CUMPLE CON LA EXPERIENCIA REQUERIDA"</formula>
    </cfRule>
    <cfRule type="cellIs" dxfId="6599" priority="6717" operator="equal">
      <formula>"CUMPLE CON LA EXPERIENCIA REQUERIDA"</formula>
    </cfRule>
  </conditionalFormatting>
  <conditionalFormatting sqref="H101 H110 H113">
    <cfRule type="notContainsBlanks" dxfId="6598" priority="6715">
      <formula>LEN(TRIM(H101))&gt;0</formula>
    </cfRule>
  </conditionalFormatting>
  <conditionalFormatting sqref="G101">
    <cfRule type="notContainsBlanks" dxfId="6597" priority="6714">
      <formula>LEN(TRIM(G101))&gt;0</formula>
    </cfRule>
  </conditionalFormatting>
  <conditionalFormatting sqref="F101">
    <cfRule type="notContainsBlanks" dxfId="6596" priority="6713">
      <formula>LEN(TRIM(F101))&gt;0</formula>
    </cfRule>
  </conditionalFormatting>
  <conditionalFormatting sqref="E101">
    <cfRule type="notContainsBlanks" dxfId="6595" priority="6712">
      <formula>LEN(TRIM(E101))&gt;0</formula>
    </cfRule>
  </conditionalFormatting>
  <conditionalFormatting sqref="D101">
    <cfRule type="notContainsBlanks" dxfId="6594" priority="6711">
      <formula>LEN(TRIM(D101))&gt;0</formula>
    </cfRule>
  </conditionalFormatting>
  <conditionalFormatting sqref="C101">
    <cfRule type="notContainsBlanks" dxfId="6593" priority="6710">
      <formula>LEN(TRIM(C101))&gt;0</formula>
    </cfRule>
  </conditionalFormatting>
  <conditionalFormatting sqref="I101">
    <cfRule type="notContainsBlanks" dxfId="6592" priority="6709">
      <formula>LEN(TRIM(I101))&gt;0</formula>
    </cfRule>
  </conditionalFormatting>
  <conditionalFormatting sqref="S104">
    <cfRule type="cellIs" dxfId="6591" priority="6691" operator="greaterThan">
      <formula>0</formula>
    </cfRule>
    <cfRule type="top10" dxfId="6590" priority="6692" rank="10"/>
  </conditionalFormatting>
  <conditionalFormatting sqref="S107">
    <cfRule type="cellIs" dxfId="6589" priority="6675" operator="greaterThan">
      <formula>0</formula>
    </cfRule>
    <cfRule type="top10" dxfId="6588" priority="6676" rank="10"/>
  </conditionalFormatting>
  <conditionalFormatting sqref="G107">
    <cfRule type="notContainsBlanks" dxfId="6587" priority="6674">
      <formula>LEN(TRIM(G107))&gt;0</formula>
    </cfRule>
  </conditionalFormatting>
  <conditionalFormatting sqref="F107">
    <cfRule type="notContainsBlanks" dxfId="6586" priority="6673">
      <formula>LEN(TRIM(F107))&gt;0</formula>
    </cfRule>
  </conditionalFormatting>
  <conditionalFormatting sqref="E107">
    <cfRule type="notContainsBlanks" dxfId="6585" priority="6672">
      <formula>LEN(TRIM(E107))&gt;0</formula>
    </cfRule>
  </conditionalFormatting>
  <conditionalFormatting sqref="D107">
    <cfRule type="notContainsBlanks" dxfId="6584" priority="6671">
      <formula>LEN(TRIM(D107))&gt;0</formula>
    </cfRule>
  </conditionalFormatting>
  <conditionalFormatting sqref="C107">
    <cfRule type="notContainsBlanks" dxfId="6583" priority="6670">
      <formula>LEN(TRIM(C107))&gt;0</formula>
    </cfRule>
  </conditionalFormatting>
  <conditionalFormatting sqref="S110">
    <cfRule type="cellIs" dxfId="6582" priority="6653" operator="greaterThan">
      <formula>0</formula>
    </cfRule>
    <cfRule type="top10" dxfId="6581" priority="6654" rank="10"/>
  </conditionalFormatting>
  <conditionalFormatting sqref="S113">
    <cfRule type="cellIs" dxfId="6580" priority="6637" operator="greaterThan">
      <formula>0</formula>
    </cfRule>
    <cfRule type="top10" dxfId="6579" priority="6638" rank="10"/>
  </conditionalFormatting>
  <conditionalFormatting sqref="G113">
    <cfRule type="notContainsBlanks" dxfId="6578" priority="6636">
      <formula>LEN(TRIM(G113))&gt;0</formula>
    </cfRule>
  </conditionalFormatting>
  <conditionalFormatting sqref="F113">
    <cfRule type="notContainsBlanks" dxfId="6577" priority="6635">
      <formula>LEN(TRIM(F113))&gt;0</formula>
    </cfRule>
  </conditionalFormatting>
  <conditionalFormatting sqref="E113">
    <cfRule type="notContainsBlanks" dxfId="6576" priority="6634">
      <formula>LEN(TRIM(E113))&gt;0</formula>
    </cfRule>
  </conditionalFormatting>
  <conditionalFormatting sqref="D113">
    <cfRule type="notContainsBlanks" dxfId="6575" priority="6633">
      <formula>LEN(TRIM(D113))&gt;0</formula>
    </cfRule>
  </conditionalFormatting>
  <conditionalFormatting sqref="C113">
    <cfRule type="notContainsBlanks" dxfId="6574" priority="6632">
      <formula>LEN(TRIM(C113))&gt;0</formula>
    </cfRule>
  </conditionalFormatting>
  <conditionalFormatting sqref="I113">
    <cfRule type="notContainsBlanks" dxfId="6573" priority="6631">
      <formula>LEN(TRIM(I113))&gt;0</formula>
    </cfRule>
  </conditionalFormatting>
  <conditionalFormatting sqref="G104">
    <cfRule type="notContainsBlanks" dxfId="6572" priority="6624">
      <formula>LEN(TRIM(G104))&gt;0</formula>
    </cfRule>
  </conditionalFormatting>
  <conditionalFormatting sqref="F104">
    <cfRule type="notContainsBlanks" dxfId="6571" priority="6623">
      <formula>LEN(TRIM(F104))&gt;0</formula>
    </cfRule>
  </conditionalFormatting>
  <conditionalFormatting sqref="E104">
    <cfRule type="notContainsBlanks" dxfId="6570" priority="6622">
      <formula>LEN(TRIM(E104))&gt;0</formula>
    </cfRule>
  </conditionalFormatting>
  <conditionalFormatting sqref="D104">
    <cfRule type="notContainsBlanks" dxfId="6569" priority="6621">
      <formula>LEN(TRIM(D104))&gt;0</formula>
    </cfRule>
  </conditionalFormatting>
  <conditionalFormatting sqref="C104">
    <cfRule type="notContainsBlanks" dxfId="6568" priority="6620">
      <formula>LEN(TRIM(C104))&gt;0</formula>
    </cfRule>
  </conditionalFormatting>
  <conditionalFormatting sqref="G110">
    <cfRule type="notContainsBlanks" dxfId="6567" priority="6619">
      <formula>LEN(TRIM(G110))&gt;0</formula>
    </cfRule>
  </conditionalFormatting>
  <conditionalFormatting sqref="F110">
    <cfRule type="notContainsBlanks" dxfId="6566" priority="6618">
      <formula>LEN(TRIM(F110))&gt;0</formula>
    </cfRule>
  </conditionalFormatting>
  <conditionalFormatting sqref="E110">
    <cfRule type="notContainsBlanks" dxfId="6565" priority="6617">
      <formula>LEN(TRIM(E110))&gt;0</formula>
    </cfRule>
  </conditionalFormatting>
  <conditionalFormatting sqref="D110">
    <cfRule type="notContainsBlanks" dxfId="6564" priority="6616">
      <formula>LEN(TRIM(D110))&gt;0</formula>
    </cfRule>
  </conditionalFormatting>
  <conditionalFormatting sqref="C110">
    <cfRule type="notContainsBlanks" dxfId="6563" priority="6615">
      <formula>LEN(TRIM(C110))&gt;0</formula>
    </cfRule>
  </conditionalFormatting>
  <conditionalFormatting sqref="I110">
    <cfRule type="notContainsBlanks" dxfId="6562" priority="6613">
      <formula>LEN(TRIM(I110))&gt;0</formula>
    </cfRule>
  </conditionalFormatting>
  <conditionalFormatting sqref="S116">
    <cfRule type="expression" dxfId="6561" priority="6611">
      <formula>$S$28&gt;0</formula>
    </cfRule>
    <cfRule type="cellIs" dxfId="6560" priority="6612" operator="equal">
      <formula>0</formula>
    </cfRule>
  </conditionalFormatting>
  <conditionalFormatting sqref="S117">
    <cfRule type="expression" dxfId="6559" priority="6609">
      <formula>$S$28&gt;0</formula>
    </cfRule>
    <cfRule type="cellIs" dxfId="6558" priority="6610" operator="equal">
      <formula>0</formula>
    </cfRule>
  </conditionalFormatting>
  <conditionalFormatting sqref="S123">
    <cfRule type="cellIs" dxfId="6557" priority="6537" operator="greaterThan">
      <formula>0</formula>
    </cfRule>
    <cfRule type="top10" dxfId="6556" priority="6538" rank="10"/>
  </conditionalFormatting>
  <conditionalFormatting sqref="B138">
    <cfRule type="cellIs" dxfId="6555" priority="6533" operator="equal">
      <formula>"NO CUMPLE CON LA EXPERIENCIA REQUERIDA"</formula>
    </cfRule>
    <cfRule type="cellIs" dxfId="6554" priority="6534" operator="equal">
      <formula>"CUMPLE CON LA EXPERIENCIA REQUERIDA"</formula>
    </cfRule>
  </conditionalFormatting>
  <conditionalFormatting sqref="H123 H132 H135">
    <cfRule type="notContainsBlanks" dxfId="6553" priority="6532">
      <formula>LEN(TRIM(H123))&gt;0</formula>
    </cfRule>
  </conditionalFormatting>
  <conditionalFormatting sqref="G123">
    <cfRule type="notContainsBlanks" dxfId="6552" priority="6531">
      <formula>LEN(TRIM(G123))&gt;0</formula>
    </cfRule>
  </conditionalFormatting>
  <conditionalFormatting sqref="F123">
    <cfRule type="notContainsBlanks" dxfId="6551" priority="6530">
      <formula>LEN(TRIM(F123))&gt;0</formula>
    </cfRule>
  </conditionalFormatting>
  <conditionalFormatting sqref="E123">
    <cfRule type="notContainsBlanks" dxfId="6550" priority="6529">
      <formula>LEN(TRIM(E123))&gt;0</formula>
    </cfRule>
  </conditionalFormatting>
  <conditionalFormatting sqref="D123">
    <cfRule type="notContainsBlanks" dxfId="6549" priority="6528">
      <formula>LEN(TRIM(D123))&gt;0</formula>
    </cfRule>
  </conditionalFormatting>
  <conditionalFormatting sqref="C123">
    <cfRule type="notContainsBlanks" dxfId="6548" priority="6527">
      <formula>LEN(TRIM(C123))&gt;0</formula>
    </cfRule>
  </conditionalFormatting>
  <conditionalFormatting sqref="I123">
    <cfRule type="notContainsBlanks" dxfId="6547" priority="6526">
      <formula>LEN(TRIM(I123))&gt;0</formula>
    </cfRule>
  </conditionalFormatting>
  <conditionalFormatting sqref="S126">
    <cfRule type="cellIs" dxfId="6546" priority="6508" operator="greaterThan">
      <formula>0</formula>
    </cfRule>
    <cfRule type="top10" dxfId="6545" priority="6509" rank="10"/>
  </conditionalFormatting>
  <conditionalFormatting sqref="S129">
    <cfRule type="cellIs" dxfId="6544" priority="6492" operator="greaterThan">
      <formula>0</formula>
    </cfRule>
    <cfRule type="top10" dxfId="6543" priority="6493" rank="10"/>
  </conditionalFormatting>
  <conditionalFormatting sqref="G129">
    <cfRule type="notContainsBlanks" dxfId="6542" priority="6491">
      <formula>LEN(TRIM(G129))&gt;0</formula>
    </cfRule>
  </conditionalFormatting>
  <conditionalFormatting sqref="F129">
    <cfRule type="notContainsBlanks" dxfId="6541" priority="6490">
      <formula>LEN(TRIM(F129))&gt;0</formula>
    </cfRule>
  </conditionalFormatting>
  <conditionalFormatting sqref="E129">
    <cfRule type="notContainsBlanks" dxfId="6540" priority="6489">
      <formula>LEN(TRIM(E129))&gt;0</formula>
    </cfRule>
  </conditionalFormatting>
  <conditionalFormatting sqref="D129">
    <cfRule type="notContainsBlanks" dxfId="6539" priority="6488">
      <formula>LEN(TRIM(D129))&gt;0</formula>
    </cfRule>
  </conditionalFormatting>
  <conditionalFormatting sqref="C129">
    <cfRule type="notContainsBlanks" dxfId="6538" priority="6487">
      <formula>LEN(TRIM(C129))&gt;0</formula>
    </cfRule>
  </conditionalFormatting>
  <conditionalFormatting sqref="S132">
    <cfRule type="cellIs" dxfId="6537" priority="6470" operator="greaterThan">
      <formula>0</formula>
    </cfRule>
    <cfRule type="top10" dxfId="6536" priority="6471" rank="10"/>
  </conditionalFormatting>
  <conditionalFormatting sqref="S135">
    <cfRule type="cellIs" dxfId="6535" priority="6454" operator="greaterThan">
      <formula>0</formula>
    </cfRule>
    <cfRule type="top10" dxfId="6534" priority="6455" rank="10"/>
  </conditionalFormatting>
  <conditionalFormatting sqref="G135">
    <cfRule type="notContainsBlanks" dxfId="6533" priority="6453">
      <formula>LEN(TRIM(G135))&gt;0</formula>
    </cfRule>
  </conditionalFormatting>
  <conditionalFormatting sqref="F135">
    <cfRule type="notContainsBlanks" dxfId="6532" priority="6452">
      <formula>LEN(TRIM(F135))&gt;0</formula>
    </cfRule>
  </conditionalFormatting>
  <conditionalFormatting sqref="E135">
    <cfRule type="notContainsBlanks" dxfId="6531" priority="6451">
      <formula>LEN(TRIM(E135))&gt;0</formula>
    </cfRule>
  </conditionalFormatting>
  <conditionalFormatting sqref="D135">
    <cfRule type="notContainsBlanks" dxfId="6530" priority="6450">
      <formula>LEN(TRIM(D135))&gt;0</formula>
    </cfRule>
  </conditionalFormatting>
  <conditionalFormatting sqref="C135">
    <cfRule type="notContainsBlanks" dxfId="6529" priority="6449">
      <formula>LEN(TRIM(C135))&gt;0</formula>
    </cfRule>
  </conditionalFormatting>
  <conditionalFormatting sqref="I135">
    <cfRule type="notContainsBlanks" dxfId="6528" priority="6448">
      <formula>LEN(TRIM(I135))&gt;0</formula>
    </cfRule>
  </conditionalFormatting>
  <conditionalFormatting sqref="G126">
    <cfRule type="notContainsBlanks" dxfId="6527" priority="6441">
      <formula>LEN(TRIM(G126))&gt;0</formula>
    </cfRule>
  </conditionalFormatting>
  <conditionalFormatting sqref="F126">
    <cfRule type="notContainsBlanks" dxfId="6526" priority="6440">
      <formula>LEN(TRIM(F126))&gt;0</formula>
    </cfRule>
  </conditionalFormatting>
  <conditionalFormatting sqref="E126">
    <cfRule type="notContainsBlanks" dxfId="6525" priority="6439">
      <formula>LEN(TRIM(E126))&gt;0</formula>
    </cfRule>
  </conditionalFormatting>
  <conditionalFormatting sqref="D126">
    <cfRule type="notContainsBlanks" dxfId="6524" priority="6438">
      <formula>LEN(TRIM(D126))&gt;0</formula>
    </cfRule>
  </conditionalFormatting>
  <conditionalFormatting sqref="C126">
    <cfRule type="notContainsBlanks" dxfId="6523" priority="6437">
      <formula>LEN(TRIM(C126))&gt;0</formula>
    </cfRule>
  </conditionalFormatting>
  <conditionalFormatting sqref="G132">
    <cfRule type="notContainsBlanks" dxfId="6522" priority="6436">
      <formula>LEN(TRIM(G132))&gt;0</formula>
    </cfRule>
  </conditionalFormatting>
  <conditionalFormatting sqref="F132">
    <cfRule type="notContainsBlanks" dxfId="6521" priority="6435">
      <formula>LEN(TRIM(F132))&gt;0</formula>
    </cfRule>
  </conditionalFormatting>
  <conditionalFormatting sqref="E132">
    <cfRule type="notContainsBlanks" dxfId="6520" priority="6434">
      <formula>LEN(TRIM(E132))&gt;0</formula>
    </cfRule>
  </conditionalFormatting>
  <conditionalFormatting sqref="D132">
    <cfRule type="notContainsBlanks" dxfId="6519" priority="6433">
      <formula>LEN(TRIM(D132))&gt;0</formula>
    </cfRule>
  </conditionalFormatting>
  <conditionalFormatting sqref="C132">
    <cfRule type="notContainsBlanks" dxfId="6518" priority="6432">
      <formula>LEN(TRIM(C132))&gt;0</formula>
    </cfRule>
  </conditionalFormatting>
  <conditionalFormatting sqref="I132">
    <cfRule type="notContainsBlanks" dxfId="6517" priority="6430">
      <formula>LEN(TRIM(I132))&gt;0</formula>
    </cfRule>
  </conditionalFormatting>
  <conditionalFormatting sqref="S138">
    <cfRule type="expression" dxfId="6516" priority="6428">
      <formula>$S$28&gt;0</formula>
    </cfRule>
    <cfRule type="cellIs" dxfId="6515" priority="6429" operator="equal">
      <formula>0</formula>
    </cfRule>
  </conditionalFormatting>
  <conditionalFormatting sqref="S139">
    <cfRule type="expression" dxfId="6514" priority="6426">
      <formula>$S$28&gt;0</formula>
    </cfRule>
    <cfRule type="cellIs" dxfId="6513" priority="6427" operator="equal">
      <formula>0</formula>
    </cfRule>
  </conditionalFormatting>
  <conditionalFormatting sqref="S145">
    <cfRule type="cellIs" dxfId="6512" priority="6354" operator="greaterThan">
      <formula>0</formula>
    </cfRule>
    <cfRule type="top10" dxfId="6511" priority="6355" rank="10"/>
  </conditionalFormatting>
  <conditionalFormatting sqref="B160">
    <cfRule type="cellIs" dxfId="6510" priority="6350" operator="equal">
      <formula>"NO CUMPLE CON LA EXPERIENCIA REQUERIDA"</formula>
    </cfRule>
    <cfRule type="cellIs" dxfId="6509" priority="6351" operator="equal">
      <formula>"CUMPLE CON LA EXPERIENCIA REQUERIDA"</formula>
    </cfRule>
  </conditionalFormatting>
  <conditionalFormatting sqref="H145 H148 H151 H154 H157">
    <cfRule type="notContainsBlanks" dxfId="6508" priority="6349">
      <formula>LEN(TRIM(H145))&gt;0</formula>
    </cfRule>
  </conditionalFormatting>
  <conditionalFormatting sqref="G145">
    <cfRule type="notContainsBlanks" dxfId="6507" priority="6348">
      <formula>LEN(TRIM(G145))&gt;0</formula>
    </cfRule>
  </conditionalFormatting>
  <conditionalFormatting sqref="F145">
    <cfRule type="notContainsBlanks" dxfId="6506" priority="6347">
      <formula>LEN(TRIM(F145))&gt;0</formula>
    </cfRule>
  </conditionalFormatting>
  <conditionalFormatting sqref="E145">
    <cfRule type="notContainsBlanks" dxfId="6505" priority="6346">
      <formula>LEN(TRIM(E145))&gt;0</formula>
    </cfRule>
  </conditionalFormatting>
  <conditionalFormatting sqref="D145">
    <cfRule type="notContainsBlanks" dxfId="6504" priority="6345">
      <formula>LEN(TRIM(D145))&gt;0</formula>
    </cfRule>
  </conditionalFormatting>
  <conditionalFormatting sqref="C145">
    <cfRule type="notContainsBlanks" dxfId="6503" priority="6344">
      <formula>LEN(TRIM(C145))&gt;0</formula>
    </cfRule>
  </conditionalFormatting>
  <conditionalFormatting sqref="I145">
    <cfRule type="notContainsBlanks" dxfId="6502" priority="6343">
      <formula>LEN(TRIM(I145))&gt;0</formula>
    </cfRule>
  </conditionalFormatting>
  <conditionalFormatting sqref="S148">
    <cfRule type="cellIs" dxfId="6501" priority="6325" operator="greaterThan">
      <formula>0</formula>
    </cfRule>
    <cfRule type="top10" dxfId="6500" priority="6326" rank="10"/>
  </conditionalFormatting>
  <conditionalFormatting sqref="S151">
    <cfRule type="cellIs" dxfId="6499" priority="6309" operator="greaterThan">
      <formula>0</formula>
    </cfRule>
    <cfRule type="top10" dxfId="6498" priority="6310" rank="10"/>
  </conditionalFormatting>
  <conditionalFormatting sqref="G151">
    <cfRule type="notContainsBlanks" dxfId="6497" priority="6308">
      <formula>LEN(TRIM(G151))&gt;0</formula>
    </cfRule>
  </conditionalFormatting>
  <conditionalFormatting sqref="F151">
    <cfRule type="notContainsBlanks" dxfId="6496" priority="6307">
      <formula>LEN(TRIM(F151))&gt;0</formula>
    </cfRule>
  </conditionalFormatting>
  <conditionalFormatting sqref="E151">
    <cfRule type="notContainsBlanks" dxfId="6495" priority="6306">
      <formula>LEN(TRIM(E151))&gt;0</formula>
    </cfRule>
  </conditionalFormatting>
  <conditionalFormatting sqref="D151">
    <cfRule type="notContainsBlanks" dxfId="6494" priority="6305">
      <formula>LEN(TRIM(D151))&gt;0</formula>
    </cfRule>
  </conditionalFormatting>
  <conditionalFormatting sqref="C151">
    <cfRule type="notContainsBlanks" dxfId="6493" priority="6304">
      <formula>LEN(TRIM(C151))&gt;0</formula>
    </cfRule>
  </conditionalFormatting>
  <conditionalFormatting sqref="I151">
    <cfRule type="notContainsBlanks" dxfId="6492" priority="6303">
      <formula>LEN(TRIM(I151))&gt;0</formula>
    </cfRule>
  </conditionalFormatting>
  <conditionalFormatting sqref="S154">
    <cfRule type="cellIs" dxfId="6491" priority="6287" operator="greaterThan">
      <formula>0</formula>
    </cfRule>
    <cfRule type="top10" dxfId="6490" priority="6288" rank="10"/>
  </conditionalFormatting>
  <conditionalFormatting sqref="S157">
    <cfRule type="cellIs" dxfId="6489" priority="6271" operator="greaterThan">
      <formula>0</formula>
    </cfRule>
    <cfRule type="top10" dxfId="6488" priority="6272" rank="10"/>
  </conditionalFormatting>
  <conditionalFormatting sqref="G157">
    <cfRule type="notContainsBlanks" dxfId="6487" priority="6270">
      <formula>LEN(TRIM(G157))&gt;0</formula>
    </cfRule>
  </conditionalFormatting>
  <conditionalFormatting sqref="F157">
    <cfRule type="notContainsBlanks" dxfId="6486" priority="6269">
      <formula>LEN(TRIM(F157))&gt;0</formula>
    </cfRule>
  </conditionalFormatting>
  <conditionalFormatting sqref="E157">
    <cfRule type="notContainsBlanks" dxfId="6485" priority="6268">
      <formula>LEN(TRIM(E157))&gt;0</formula>
    </cfRule>
  </conditionalFormatting>
  <conditionalFormatting sqref="D157">
    <cfRule type="notContainsBlanks" dxfId="6484" priority="6267">
      <formula>LEN(TRIM(D157))&gt;0</formula>
    </cfRule>
  </conditionalFormatting>
  <conditionalFormatting sqref="C157">
    <cfRule type="notContainsBlanks" dxfId="6483" priority="6266">
      <formula>LEN(TRIM(C157))&gt;0</formula>
    </cfRule>
  </conditionalFormatting>
  <conditionalFormatting sqref="I157">
    <cfRule type="notContainsBlanks" dxfId="6482" priority="6265">
      <formula>LEN(TRIM(I157))&gt;0</formula>
    </cfRule>
  </conditionalFormatting>
  <conditionalFormatting sqref="G148">
    <cfRule type="notContainsBlanks" dxfId="6481" priority="6258">
      <formula>LEN(TRIM(G148))&gt;0</formula>
    </cfRule>
  </conditionalFormatting>
  <conditionalFormatting sqref="E148">
    <cfRule type="notContainsBlanks" dxfId="6480" priority="6256">
      <formula>LEN(TRIM(E148))&gt;0</formula>
    </cfRule>
  </conditionalFormatting>
  <conditionalFormatting sqref="D148">
    <cfRule type="notContainsBlanks" dxfId="6479" priority="6255">
      <formula>LEN(TRIM(D148))&gt;0</formula>
    </cfRule>
  </conditionalFormatting>
  <conditionalFormatting sqref="C148">
    <cfRule type="notContainsBlanks" dxfId="6478" priority="6254">
      <formula>LEN(TRIM(C148))&gt;0</formula>
    </cfRule>
  </conditionalFormatting>
  <conditionalFormatting sqref="G154">
    <cfRule type="notContainsBlanks" dxfId="6477" priority="6253">
      <formula>LEN(TRIM(G154))&gt;0</formula>
    </cfRule>
  </conditionalFormatting>
  <conditionalFormatting sqref="F154">
    <cfRule type="notContainsBlanks" dxfId="6476" priority="6252">
      <formula>LEN(TRIM(F154))&gt;0</formula>
    </cfRule>
  </conditionalFormatting>
  <conditionalFormatting sqref="E154">
    <cfRule type="notContainsBlanks" dxfId="6475" priority="6251">
      <formula>LEN(TRIM(E154))&gt;0</formula>
    </cfRule>
  </conditionalFormatting>
  <conditionalFormatting sqref="D154">
    <cfRule type="notContainsBlanks" dxfId="6474" priority="6250">
      <formula>LEN(TRIM(D154))&gt;0</formula>
    </cfRule>
  </conditionalFormatting>
  <conditionalFormatting sqref="C154">
    <cfRule type="notContainsBlanks" dxfId="6473" priority="6249">
      <formula>LEN(TRIM(C154))&gt;0</formula>
    </cfRule>
  </conditionalFormatting>
  <conditionalFormatting sqref="I148">
    <cfRule type="notContainsBlanks" dxfId="6472" priority="6248">
      <formula>LEN(TRIM(I148))&gt;0</formula>
    </cfRule>
  </conditionalFormatting>
  <conditionalFormatting sqref="I154">
    <cfRule type="notContainsBlanks" dxfId="6471" priority="6247">
      <formula>LEN(TRIM(I154))&gt;0</formula>
    </cfRule>
  </conditionalFormatting>
  <conditionalFormatting sqref="S160">
    <cfRule type="expression" dxfId="6470" priority="6245">
      <formula>$S$28&gt;0</formula>
    </cfRule>
    <cfRule type="cellIs" dxfId="6469" priority="6246" operator="equal">
      <formula>0</formula>
    </cfRule>
  </conditionalFormatting>
  <conditionalFormatting sqref="S161">
    <cfRule type="expression" dxfId="6468" priority="6243">
      <formula>$S$28&gt;0</formula>
    </cfRule>
    <cfRule type="cellIs" dxfId="6467" priority="6244" operator="equal">
      <formula>0</formula>
    </cfRule>
  </conditionalFormatting>
  <conditionalFormatting sqref="N157">
    <cfRule type="expression" dxfId="6466" priority="6204">
      <formula>N157=" "</formula>
    </cfRule>
    <cfRule type="expression" dxfId="6465" priority="6205">
      <formula>N157="NO PRESENTÓ CERTIFICADO"</formula>
    </cfRule>
    <cfRule type="expression" dxfId="6464" priority="6206">
      <formula>N157="PRESENTÓ CERTIFICADO"</formula>
    </cfRule>
  </conditionalFormatting>
  <conditionalFormatting sqref="O157">
    <cfRule type="cellIs" dxfId="6463" priority="6186" operator="equal">
      <formula>"PENDIENTE POR DESCRIPCIÓN"</formula>
    </cfRule>
    <cfRule type="cellIs" dxfId="6462" priority="6187" operator="equal">
      <formula>"DESCRIPCIÓN INSUFICIENTE"</formula>
    </cfRule>
    <cfRule type="cellIs" dxfId="6461" priority="6188" operator="equal">
      <formula>"NO ESTÁ ACORDE A ITEM 5.2.2 (T.R.)"</formula>
    </cfRule>
    <cfRule type="cellIs" dxfId="6460" priority="6189" operator="equal">
      <formula>"ACORDE A ITEM 5.2.2 (T.R.)"</formula>
    </cfRule>
    <cfRule type="cellIs" dxfId="6459" priority="6196" operator="equal">
      <formula>"PENDIENTE POR DESCRIPCIÓN"</formula>
    </cfRule>
    <cfRule type="cellIs" dxfId="6458" priority="6198" operator="equal">
      <formula>"DESCRIPCIÓN INSUFICIENTE"</formula>
    </cfRule>
    <cfRule type="cellIs" dxfId="6457" priority="6199" operator="equal">
      <formula>"NO ESTÁ ACORDE A ITEM 5.2.1 (T.R.)"</formula>
    </cfRule>
    <cfRule type="cellIs" dxfId="6456" priority="6200" operator="equal">
      <formula>"ACORDE A ITEM 5.2.1 (T.R.)"</formula>
    </cfRule>
  </conditionalFormatting>
  <conditionalFormatting sqref="Q157">
    <cfRule type="containsBlanks" dxfId="6455" priority="6191">
      <formula>LEN(TRIM(Q157))=0</formula>
    </cfRule>
    <cfRule type="cellIs" dxfId="6454" priority="6197" operator="equal">
      <formula>"REQUERIMIENTOS SUBSANADOS"</formula>
    </cfRule>
    <cfRule type="containsText" dxfId="6453" priority="6201" operator="containsText" text="NO SUBSANABLE">
      <formula>NOT(ISERROR(SEARCH("NO SUBSANABLE",Q157)))</formula>
    </cfRule>
    <cfRule type="containsText" dxfId="6452" priority="6202" operator="containsText" text="PENDIENTES POR SUBSANAR">
      <formula>NOT(ISERROR(SEARCH("PENDIENTES POR SUBSANAR",Q157)))</formula>
    </cfRule>
    <cfRule type="containsText" dxfId="6451" priority="6203" operator="containsText" text="SIN OBSERVACIÓN">
      <formula>NOT(ISERROR(SEARCH("SIN OBSERVACIÓN",Q157)))</formula>
    </cfRule>
  </conditionalFormatting>
  <conditionalFormatting sqref="R157">
    <cfRule type="containsBlanks" dxfId="6450" priority="6190">
      <formula>LEN(TRIM(R157))=0</formula>
    </cfRule>
    <cfRule type="cellIs" dxfId="6449" priority="6192" operator="equal">
      <formula>"NO CUMPLEN CON LO SOLICITADO"</formula>
    </cfRule>
    <cfRule type="cellIs" dxfId="6448" priority="6193" operator="equal">
      <formula>"CUMPLEN CON LO SOLICITADO"</formula>
    </cfRule>
    <cfRule type="cellIs" dxfId="6447" priority="6194" operator="equal">
      <formula>"PENDIENTES"</formula>
    </cfRule>
    <cfRule type="cellIs" dxfId="6446" priority="6195" operator="equal">
      <formula>"NINGUNO"</formula>
    </cfRule>
  </conditionalFormatting>
  <conditionalFormatting sqref="P157">
    <cfRule type="expression" dxfId="6445" priority="6181">
      <formula>Q157="NO SUBSANABLE"</formula>
    </cfRule>
    <cfRule type="expression" dxfId="6444" priority="6182">
      <formula>Q157="REQUERIMIENTOS SUBSANADOS"</formula>
    </cfRule>
    <cfRule type="expression" dxfId="6443" priority="6183">
      <formula>Q157="PENDIENTES POR SUBSANAR"</formula>
    </cfRule>
    <cfRule type="expression" dxfId="6442" priority="6184">
      <formula>Q157="SIN OBSERVACIÓN"</formula>
    </cfRule>
    <cfRule type="containsBlanks" dxfId="6441" priority="6185">
      <formula>LEN(TRIM(P157))=0</formula>
    </cfRule>
  </conditionalFormatting>
  <conditionalFormatting sqref="S167">
    <cfRule type="cellIs" dxfId="6440" priority="6171" operator="greaterThan">
      <formula>0</formula>
    </cfRule>
    <cfRule type="top10" dxfId="6439" priority="6172" rank="10"/>
  </conditionalFormatting>
  <conditionalFormatting sqref="B182">
    <cfRule type="cellIs" dxfId="6438" priority="6167" operator="equal">
      <formula>"NO CUMPLE CON LA EXPERIENCIA REQUERIDA"</formula>
    </cfRule>
    <cfRule type="cellIs" dxfId="6437" priority="6168" operator="equal">
      <formula>"CUMPLE CON LA EXPERIENCIA REQUERIDA"</formula>
    </cfRule>
  </conditionalFormatting>
  <conditionalFormatting sqref="H167 H176 H179">
    <cfRule type="notContainsBlanks" dxfId="6436" priority="6166">
      <formula>LEN(TRIM(H167))&gt;0</formula>
    </cfRule>
  </conditionalFormatting>
  <conditionalFormatting sqref="G167">
    <cfRule type="notContainsBlanks" dxfId="6435" priority="6165">
      <formula>LEN(TRIM(G167))&gt;0</formula>
    </cfRule>
  </conditionalFormatting>
  <conditionalFormatting sqref="F167">
    <cfRule type="notContainsBlanks" dxfId="6434" priority="6164">
      <formula>LEN(TRIM(F167))&gt;0</formula>
    </cfRule>
  </conditionalFormatting>
  <conditionalFormatting sqref="E167">
    <cfRule type="notContainsBlanks" dxfId="6433" priority="6163">
      <formula>LEN(TRIM(E167))&gt;0</formula>
    </cfRule>
  </conditionalFormatting>
  <conditionalFormatting sqref="D167">
    <cfRule type="notContainsBlanks" dxfId="6432" priority="6162">
      <formula>LEN(TRIM(D167))&gt;0</formula>
    </cfRule>
  </conditionalFormatting>
  <conditionalFormatting sqref="C167">
    <cfRule type="notContainsBlanks" dxfId="6431" priority="6161">
      <formula>LEN(TRIM(C167))&gt;0</formula>
    </cfRule>
  </conditionalFormatting>
  <conditionalFormatting sqref="I167">
    <cfRule type="notContainsBlanks" dxfId="6430" priority="6160">
      <formula>LEN(TRIM(I167))&gt;0</formula>
    </cfRule>
  </conditionalFormatting>
  <conditionalFormatting sqref="S170">
    <cfRule type="cellIs" dxfId="6429" priority="6142" operator="greaterThan">
      <formula>0</formula>
    </cfRule>
    <cfRule type="top10" dxfId="6428" priority="6143" rank="10"/>
  </conditionalFormatting>
  <conditionalFormatting sqref="S173">
    <cfRule type="cellIs" dxfId="6427" priority="6126" operator="greaterThan">
      <formula>0</formula>
    </cfRule>
    <cfRule type="top10" dxfId="6426" priority="6127" rank="10"/>
  </conditionalFormatting>
  <conditionalFormatting sqref="G173">
    <cfRule type="notContainsBlanks" dxfId="6425" priority="6125">
      <formula>LEN(TRIM(G173))&gt;0</formula>
    </cfRule>
  </conditionalFormatting>
  <conditionalFormatting sqref="F173">
    <cfRule type="notContainsBlanks" dxfId="6424" priority="6124">
      <formula>LEN(TRIM(F173))&gt;0</formula>
    </cfRule>
  </conditionalFormatting>
  <conditionalFormatting sqref="E173">
    <cfRule type="notContainsBlanks" dxfId="6423" priority="6123">
      <formula>LEN(TRIM(E173))&gt;0</formula>
    </cfRule>
  </conditionalFormatting>
  <conditionalFormatting sqref="D173">
    <cfRule type="notContainsBlanks" dxfId="6422" priority="6122">
      <formula>LEN(TRIM(D173))&gt;0</formula>
    </cfRule>
  </conditionalFormatting>
  <conditionalFormatting sqref="C173">
    <cfRule type="notContainsBlanks" dxfId="6421" priority="6121">
      <formula>LEN(TRIM(C173))&gt;0</formula>
    </cfRule>
  </conditionalFormatting>
  <conditionalFormatting sqref="I173">
    <cfRule type="notContainsBlanks" dxfId="6420" priority="6120">
      <formula>LEN(TRIM(I173))&gt;0</formula>
    </cfRule>
  </conditionalFormatting>
  <conditionalFormatting sqref="S176">
    <cfRule type="cellIs" dxfId="6419" priority="6104" operator="greaterThan">
      <formula>0</formula>
    </cfRule>
    <cfRule type="top10" dxfId="6418" priority="6105" rank="10"/>
  </conditionalFormatting>
  <conditionalFormatting sqref="S179">
    <cfRule type="cellIs" dxfId="6417" priority="6088" operator="greaterThan">
      <formula>0</formula>
    </cfRule>
    <cfRule type="top10" dxfId="6416" priority="6089" rank="10"/>
  </conditionalFormatting>
  <conditionalFormatting sqref="G179">
    <cfRule type="notContainsBlanks" dxfId="6415" priority="6087">
      <formula>LEN(TRIM(G179))&gt;0</formula>
    </cfRule>
  </conditionalFormatting>
  <conditionalFormatting sqref="F179">
    <cfRule type="notContainsBlanks" dxfId="6414" priority="6086">
      <formula>LEN(TRIM(F179))&gt;0</formula>
    </cfRule>
  </conditionalFormatting>
  <conditionalFormatting sqref="E179">
    <cfRule type="notContainsBlanks" dxfId="6413" priority="6085">
      <formula>LEN(TRIM(E179))&gt;0</formula>
    </cfRule>
  </conditionalFormatting>
  <conditionalFormatting sqref="D179">
    <cfRule type="notContainsBlanks" dxfId="6412" priority="6084">
      <formula>LEN(TRIM(D179))&gt;0</formula>
    </cfRule>
  </conditionalFormatting>
  <conditionalFormatting sqref="C179">
    <cfRule type="notContainsBlanks" dxfId="6411" priority="6083">
      <formula>LEN(TRIM(C179))&gt;0</formula>
    </cfRule>
  </conditionalFormatting>
  <conditionalFormatting sqref="I179">
    <cfRule type="notContainsBlanks" dxfId="6410" priority="6082">
      <formula>LEN(TRIM(I179))&gt;0</formula>
    </cfRule>
  </conditionalFormatting>
  <conditionalFormatting sqref="G170">
    <cfRule type="notContainsBlanks" dxfId="6409" priority="6075">
      <formula>LEN(TRIM(G170))&gt;0</formula>
    </cfRule>
  </conditionalFormatting>
  <conditionalFormatting sqref="F170">
    <cfRule type="notContainsBlanks" dxfId="6408" priority="6074">
      <formula>LEN(TRIM(F170))&gt;0</formula>
    </cfRule>
  </conditionalFormatting>
  <conditionalFormatting sqref="E170">
    <cfRule type="notContainsBlanks" dxfId="6407" priority="6073">
      <formula>LEN(TRIM(E170))&gt;0</formula>
    </cfRule>
  </conditionalFormatting>
  <conditionalFormatting sqref="D170">
    <cfRule type="notContainsBlanks" dxfId="6406" priority="6072">
      <formula>LEN(TRIM(D170))&gt;0</formula>
    </cfRule>
  </conditionalFormatting>
  <conditionalFormatting sqref="C170">
    <cfRule type="notContainsBlanks" dxfId="6405" priority="6071">
      <formula>LEN(TRIM(C170))&gt;0</formula>
    </cfRule>
  </conditionalFormatting>
  <conditionalFormatting sqref="G176">
    <cfRule type="notContainsBlanks" dxfId="6404" priority="6070">
      <formula>LEN(TRIM(G176))&gt;0</formula>
    </cfRule>
  </conditionalFormatting>
  <conditionalFormatting sqref="F176">
    <cfRule type="notContainsBlanks" dxfId="6403" priority="6069">
      <formula>LEN(TRIM(F176))&gt;0</formula>
    </cfRule>
  </conditionalFormatting>
  <conditionalFormatting sqref="E176">
    <cfRule type="notContainsBlanks" dxfId="6402" priority="6068">
      <formula>LEN(TRIM(E176))&gt;0</formula>
    </cfRule>
  </conditionalFormatting>
  <conditionalFormatting sqref="D176">
    <cfRule type="notContainsBlanks" dxfId="6401" priority="6067">
      <formula>LEN(TRIM(D176))&gt;0</formula>
    </cfRule>
  </conditionalFormatting>
  <conditionalFormatting sqref="C176">
    <cfRule type="notContainsBlanks" dxfId="6400" priority="6066">
      <formula>LEN(TRIM(C176))&gt;0</formula>
    </cfRule>
  </conditionalFormatting>
  <conditionalFormatting sqref="I170">
    <cfRule type="notContainsBlanks" dxfId="6399" priority="6065">
      <formula>LEN(TRIM(I170))&gt;0</formula>
    </cfRule>
  </conditionalFormatting>
  <conditionalFormatting sqref="I176">
    <cfRule type="notContainsBlanks" dxfId="6398" priority="6064">
      <formula>LEN(TRIM(I176))&gt;0</formula>
    </cfRule>
  </conditionalFormatting>
  <conditionalFormatting sqref="S182">
    <cfRule type="expression" dxfId="6397" priority="6062">
      <formula>$S$28&gt;0</formula>
    </cfRule>
    <cfRule type="cellIs" dxfId="6396" priority="6063" operator="equal">
      <formula>0</formula>
    </cfRule>
  </conditionalFormatting>
  <conditionalFormatting sqref="S183">
    <cfRule type="expression" dxfId="6395" priority="6060">
      <formula>$S$28&gt;0</formula>
    </cfRule>
    <cfRule type="cellIs" dxfId="6394" priority="6061" operator="equal">
      <formula>0</formula>
    </cfRule>
  </conditionalFormatting>
  <conditionalFormatting sqref="B204">
    <cfRule type="cellIs" dxfId="6393" priority="5984" operator="equal">
      <formula>"NO CUMPLE CON LA EXPERIENCIA REQUERIDA"</formula>
    </cfRule>
    <cfRule type="cellIs" dxfId="6392" priority="5985" operator="equal">
      <formula>"CUMPLE CON LA EXPERIENCIA REQUERIDA"</formula>
    </cfRule>
  </conditionalFormatting>
  <conditionalFormatting sqref="H189 H192 H195 H198 H201">
    <cfRule type="notContainsBlanks" dxfId="6391" priority="5983">
      <formula>LEN(TRIM(H189))&gt;0</formula>
    </cfRule>
  </conditionalFormatting>
  <conditionalFormatting sqref="G189">
    <cfRule type="notContainsBlanks" dxfId="6390" priority="5982">
      <formula>LEN(TRIM(G189))&gt;0</formula>
    </cfRule>
  </conditionalFormatting>
  <conditionalFormatting sqref="F189">
    <cfRule type="notContainsBlanks" dxfId="6389" priority="5981">
      <formula>LEN(TRIM(F189))&gt;0</formula>
    </cfRule>
  </conditionalFormatting>
  <conditionalFormatting sqref="E189">
    <cfRule type="notContainsBlanks" dxfId="6388" priority="5980">
      <formula>LEN(TRIM(E189))&gt;0</formula>
    </cfRule>
  </conditionalFormatting>
  <conditionalFormatting sqref="D189">
    <cfRule type="notContainsBlanks" dxfId="6387" priority="5979">
      <formula>LEN(TRIM(D189))&gt;0</formula>
    </cfRule>
  </conditionalFormatting>
  <conditionalFormatting sqref="C189">
    <cfRule type="notContainsBlanks" dxfId="6386" priority="5978">
      <formula>LEN(TRIM(C189))&gt;0</formula>
    </cfRule>
  </conditionalFormatting>
  <conditionalFormatting sqref="I189">
    <cfRule type="notContainsBlanks" dxfId="6385" priority="5977">
      <formula>LEN(TRIM(I189))&gt;0</formula>
    </cfRule>
  </conditionalFormatting>
  <conditionalFormatting sqref="S192">
    <cfRule type="cellIs" dxfId="6384" priority="5959" operator="greaterThan">
      <formula>0</formula>
    </cfRule>
    <cfRule type="top10" dxfId="6383" priority="5960" rank="10"/>
  </conditionalFormatting>
  <conditionalFormatting sqref="S195">
    <cfRule type="cellIs" dxfId="6382" priority="5943" operator="greaterThan">
      <formula>0</formula>
    </cfRule>
    <cfRule type="top10" dxfId="6381" priority="5944" rank="10"/>
  </conditionalFormatting>
  <conditionalFormatting sqref="G195">
    <cfRule type="notContainsBlanks" dxfId="6380" priority="5942">
      <formula>LEN(TRIM(G195))&gt;0</formula>
    </cfRule>
  </conditionalFormatting>
  <conditionalFormatting sqref="F195">
    <cfRule type="notContainsBlanks" dxfId="6379" priority="5941">
      <formula>LEN(TRIM(F195))&gt;0</formula>
    </cfRule>
  </conditionalFormatting>
  <conditionalFormatting sqref="E195">
    <cfRule type="notContainsBlanks" dxfId="6378" priority="5940">
      <formula>LEN(TRIM(E195))&gt;0</formula>
    </cfRule>
  </conditionalFormatting>
  <conditionalFormatting sqref="D195">
    <cfRule type="notContainsBlanks" dxfId="6377" priority="5939">
      <formula>LEN(TRIM(D195))&gt;0</formula>
    </cfRule>
  </conditionalFormatting>
  <conditionalFormatting sqref="C195">
    <cfRule type="notContainsBlanks" dxfId="6376" priority="5938">
      <formula>LEN(TRIM(C195))&gt;0</formula>
    </cfRule>
  </conditionalFormatting>
  <conditionalFormatting sqref="I195">
    <cfRule type="notContainsBlanks" dxfId="6375" priority="5937">
      <formula>LEN(TRIM(I195))&gt;0</formula>
    </cfRule>
  </conditionalFormatting>
  <conditionalFormatting sqref="S198">
    <cfRule type="cellIs" dxfId="6374" priority="5921" operator="greaterThan">
      <formula>0</formula>
    </cfRule>
    <cfRule type="top10" dxfId="6373" priority="5922" rank="10"/>
  </conditionalFormatting>
  <conditionalFormatting sqref="S201">
    <cfRule type="cellIs" dxfId="6372" priority="5905" operator="greaterThan">
      <formula>0</formula>
    </cfRule>
    <cfRule type="top10" dxfId="6371" priority="5906" rank="10"/>
  </conditionalFormatting>
  <conditionalFormatting sqref="G201">
    <cfRule type="notContainsBlanks" dxfId="6370" priority="5904">
      <formula>LEN(TRIM(G201))&gt;0</formula>
    </cfRule>
  </conditionalFormatting>
  <conditionalFormatting sqref="F201">
    <cfRule type="notContainsBlanks" dxfId="6369" priority="5903">
      <formula>LEN(TRIM(F201))&gt;0</formula>
    </cfRule>
  </conditionalFormatting>
  <conditionalFormatting sqref="E201">
    <cfRule type="notContainsBlanks" dxfId="6368" priority="5902">
      <formula>LEN(TRIM(E201))&gt;0</formula>
    </cfRule>
  </conditionalFormatting>
  <conditionalFormatting sqref="D201">
    <cfRule type="notContainsBlanks" dxfId="6367" priority="5901">
      <formula>LEN(TRIM(D201))&gt;0</formula>
    </cfRule>
  </conditionalFormatting>
  <conditionalFormatting sqref="C201">
    <cfRule type="notContainsBlanks" dxfId="6366" priority="5900">
      <formula>LEN(TRIM(C201))&gt;0</formula>
    </cfRule>
  </conditionalFormatting>
  <conditionalFormatting sqref="I201">
    <cfRule type="notContainsBlanks" dxfId="6365" priority="5899">
      <formula>LEN(TRIM(I201))&gt;0</formula>
    </cfRule>
  </conditionalFormatting>
  <conditionalFormatting sqref="G192">
    <cfRule type="notContainsBlanks" dxfId="6364" priority="5892">
      <formula>LEN(TRIM(G192))&gt;0</formula>
    </cfRule>
  </conditionalFormatting>
  <conditionalFormatting sqref="F192">
    <cfRule type="notContainsBlanks" dxfId="6363" priority="5891">
      <formula>LEN(TRIM(F192))&gt;0</formula>
    </cfRule>
  </conditionalFormatting>
  <conditionalFormatting sqref="E192">
    <cfRule type="notContainsBlanks" dxfId="6362" priority="5890">
      <formula>LEN(TRIM(E192))&gt;0</formula>
    </cfRule>
  </conditionalFormatting>
  <conditionalFormatting sqref="D192">
    <cfRule type="notContainsBlanks" dxfId="6361" priority="5889">
      <formula>LEN(TRIM(D192))&gt;0</formula>
    </cfRule>
  </conditionalFormatting>
  <conditionalFormatting sqref="C192">
    <cfRule type="notContainsBlanks" dxfId="6360" priority="5888">
      <formula>LEN(TRIM(C192))&gt;0</formula>
    </cfRule>
  </conditionalFormatting>
  <conditionalFormatting sqref="G198">
    <cfRule type="notContainsBlanks" dxfId="6359" priority="5887">
      <formula>LEN(TRIM(G198))&gt;0</formula>
    </cfRule>
  </conditionalFormatting>
  <conditionalFormatting sqref="F198">
    <cfRule type="notContainsBlanks" dxfId="6358" priority="5886">
      <formula>LEN(TRIM(F198))&gt;0</formula>
    </cfRule>
  </conditionalFormatting>
  <conditionalFormatting sqref="E198">
    <cfRule type="notContainsBlanks" dxfId="6357" priority="5885">
      <formula>LEN(TRIM(E198))&gt;0</formula>
    </cfRule>
  </conditionalFormatting>
  <conditionalFormatting sqref="D198">
    <cfRule type="notContainsBlanks" dxfId="6356" priority="5884">
      <formula>LEN(TRIM(D198))&gt;0</formula>
    </cfRule>
  </conditionalFormatting>
  <conditionalFormatting sqref="C198">
    <cfRule type="notContainsBlanks" dxfId="6355" priority="5883">
      <formula>LEN(TRIM(C198))&gt;0</formula>
    </cfRule>
  </conditionalFormatting>
  <conditionalFormatting sqref="I192">
    <cfRule type="notContainsBlanks" dxfId="6354" priority="5882">
      <formula>LEN(TRIM(I192))&gt;0</formula>
    </cfRule>
  </conditionalFormatting>
  <conditionalFormatting sqref="I198">
    <cfRule type="notContainsBlanks" dxfId="6353" priority="5881">
      <formula>LEN(TRIM(I198))&gt;0</formula>
    </cfRule>
  </conditionalFormatting>
  <conditionalFormatting sqref="S204">
    <cfRule type="expression" dxfId="6352" priority="5879">
      <formula>$S$28&gt;0</formula>
    </cfRule>
    <cfRule type="cellIs" dxfId="6351" priority="5880" operator="equal">
      <formula>0</formula>
    </cfRule>
  </conditionalFormatting>
  <conditionalFormatting sqref="S205">
    <cfRule type="expression" dxfId="6350" priority="5877">
      <formula>$S$28&gt;0</formula>
    </cfRule>
    <cfRule type="cellIs" dxfId="6349" priority="5878" operator="equal">
      <formula>0</formula>
    </cfRule>
  </conditionalFormatting>
  <conditionalFormatting sqref="N201">
    <cfRule type="expression" dxfId="6348" priority="5838">
      <formula>N201=" "</formula>
    </cfRule>
    <cfRule type="expression" dxfId="6347" priority="5839">
      <formula>N201="NO PRESENTÓ CERTIFICADO"</formula>
    </cfRule>
    <cfRule type="expression" dxfId="6346" priority="5840">
      <formula>N201="PRESENTÓ CERTIFICADO"</formula>
    </cfRule>
  </conditionalFormatting>
  <conditionalFormatting sqref="O201">
    <cfRule type="cellIs" dxfId="6345" priority="5820" operator="equal">
      <formula>"PENDIENTE POR DESCRIPCIÓN"</formula>
    </cfRule>
    <cfRule type="cellIs" dxfId="6344" priority="5821" operator="equal">
      <formula>"DESCRIPCIÓN INSUFICIENTE"</formula>
    </cfRule>
    <cfRule type="cellIs" dxfId="6343" priority="5822" operator="equal">
      <formula>"NO ESTÁ ACORDE A ITEM 5.2.2 (T.R.)"</formula>
    </cfRule>
    <cfRule type="cellIs" dxfId="6342" priority="5823" operator="equal">
      <formula>"ACORDE A ITEM 5.2.2 (T.R.)"</formula>
    </cfRule>
    <cfRule type="cellIs" dxfId="6341" priority="5830" operator="equal">
      <formula>"PENDIENTE POR DESCRIPCIÓN"</formula>
    </cfRule>
    <cfRule type="cellIs" dxfId="6340" priority="5832" operator="equal">
      <formula>"DESCRIPCIÓN INSUFICIENTE"</formula>
    </cfRule>
    <cfRule type="cellIs" dxfId="6339" priority="5833" operator="equal">
      <formula>"NO ESTÁ ACORDE A ITEM 5.2.1 (T.R.)"</formula>
    </cfRule>
    <cfRule type="cellIs" dxfId="6338" priority="5834" operator="equal">
      <formula>"ACORDE A ITEM 5.2.1 (T.R.)"</formula>
    </cfRule>
  </conditionalFormatting>
  <conditionalFormatting sqref="Q201">
    <cfRule type="containsBlanks" dxfId="6337" priority="5825">
      <formula>LEN(TRIM(Q201))=0</formula>
    </cfRule>
    <cfRule type="cellIs" dxfId="6336" priority="5831" operator="equal">
      <formula>"REQUERIMIENTOS SUBSANADOS"</formula>
    </cfRule>
    <cfRule type="containsText" dxfId="6335" priority="5835" operator="containsText" text="NO SUBSANABLE">
      <formula>NOT(ISERROR(SEARCH("NO SUBSANABLE",Q201)))</formula>
    </cfRule>
    <cfRule type="containsText" dxfId="6334" priority="5836" operator="containsText" text="PENDIENTES POR SUBSANAR">
      <formula>NOT(ISERROR(SEARCH("PENDIENTES POR SUBSANAR",Q201)))</formula>
    </cfRule>
    <cfRule type="containsText" dxfId="6333" priority="5837" operator="containsText" text="SIN OBSERVACIÓN">
      <formula>NOT(ISERROR(SEARCH("SIN OBSERVACIÓN",Q201)))</formula>
    </cfRule>
  </conditionalFormatting>
  <conditionalFormatting sqref="R201">
    <cfRule type="containsBlanks" dxfId="6332" priority="5824">
      <formula>LEN(TRIM(R201))=0</formula>
    </cfRule>
    <cfRule type="cellIs" dxfId="6331" priority="5826" operator="equal">
      <formula>"NO CUMPLEN CON LO SOLICITADO"</formula>
    </cfRule>
    <cfRule type="cellIs" dxfId="6330" priority="5827" operator="equal">
      <formula>"CUMPLEN CON LO SOLICITADO"</formula>
    </cfRule>
    <cfRule type="cellIs" dxfId="6329" priority="5828" operator="equal">
      <formula>"PENDIENTES"</formula>
    </cfRule>
    <cfRule type="cellIs" dxfId="6328" priority="5829" operator="equal">
      <formula>"NINGUNO"</formula>
    </cfRule>
  </conditionalFormatting>
  <conditionalFormatting sqref="P192 P195 P198 P201">
    <cfRule type="expression" dxfId="6327" priority="5815">
      <formula>Q192="NO SUBSANABLE"</formula>
    </cfRule>
    <cfRule type="expression" dxfId="6326" priority="5816">
      <formula>Q192="REQUERIMIENTOS SUBSANADOS"</formula>
    </cfRule>
    <cfRule type="expression" dxfId="6325" priority="5817">
      <formula>Q192="PENDIENTES POR SUBSANAR"</formula>
    </cfRule>
    <cfRule type="expression" dxfId="6324" priority="5818">
      <formula>Q192="SIN OBSERVACIÓN"</formula>
    </cfRule>
    <cfRule type="containsBlanks" dxfId="6323" priority="5819">
      <formula>LEN(TRIM(P192))=0</formula>
    </cfRule>
  </conditionalFormatting>
  <conditionalFormatting sqref="N192">
    <cfRule type="expression" dxfId="6322" priority="4154">
      <formula>N192=" "</formula>
    </cfRule>
    <cfRule type="expression" dxfId="6321" priority="4155">
      <formula>N192="NO PRESENTÓ CERTIFICADO"</formula>
    </cfRule>
    <cfRule type="expression" dxfId="6320" priority="4156">
      <formula>N192="PRESENTÓ CERTIFICADO"</formula>
    </cfRule>
  </conditionalFormatting>
  <conditionalFormatting sqref="N195">
    <cfRule type="expression" dxfId="6319" priority="4151">
      <formula>N195=" "</formula>
    </cfRule>
    <cfRule type="expression" dxfId="6318" priority="4152">
      <formula>N195="NO PRESENTÓ CERTIFICADO"</formula>
    </cfRule>
    <cfRule type="expression" dxfId="6317" priority="4153">
      <formula>N195="PRESENTÓ CERTIFICADO"</formula>
    </cfRule>
  </conditionalFormatting>
  <conditionalFormatting sqref="N198">
    <cfRule type="expression" dxfId="6316" priority="4148">
      <formula>N198=" "</formula>
    </cfRule>
    <cfRule type="expression" dxfId="6315" priority="4149">
      <formula>N198="NO PRESENTÓ CERTIFICADO"</formula>
    </cfRule>
    <cfRule type="expression" dxfId="6314" priority="4150">
      <formula>N198="PRESENTÓ CERTIFICADO"</formula>
    </cfRule>
  </conditionalFormatting>
  <conditionalFormatting sqref="O192">
    <cfRule type="cellIs" dxfId="6313" priority="4140" operator="equal">
      <formula>"PENDIENTE POR DESCRIPCIÓN"</formula>
    </cfRule>
    <cfRule type="cellIs" dxfId="6312" priority="4141" operator="equal">
      <formula>"DESCRIPCIÓN INSUFICIENTE"</formula>
    </cfRule>
    <cfRule type="cellIs" dxfId="6311" priority="4142" operator="equal">
      <formula>"NO ESTÁ ACORDE A ITEM 5.2.2 (T.R.)"</formula>
    </cfRule>
    <cfRule type="cellIs" dxfId="6310" priority="4143" operator="equal">
      <formula>"ACORDE A ITEM 5.2.2 (T.R.)"</formula>
    </cfRule>
    <cfRule type="cellIs" dxfId="6309" priority="4144" operator="equal">
      <formula>"PENDIENTE POR DESCRIPCIÓN"</formula>
    </cfRule>
    <cfRule type="cellIs" dxfId="6308" priority="4145" operator="equal">
      <formula>"DESCRIPCIÓN INSUFICIENTE"</formula>
    </cfRule>
    <cfRule type="cellIs" dxfId="6307" priority="4146" operator="equal">
      <formula>"NO ESTÁ ACORDE A ITEM 5.2.1 (T.R.)"</formula>
    </cfRule>
    <cfRule type="cellIs" dxfId="6306" priority="4147" operator="equal">
      <formula>"ACORDE A ITEM 5.2.1 (T.R.)"</formula>
    </cfRule>
  </conditionalFormatting>
  <conditionalFormatting sqref="O195">
    <cfRule type="cellIs" dxfId="6305" priority="4132" operator="equal">
      <formula>"PENDIENTE POR DESCRIPCIÓN"</formula>
    </cfRule>
    <cfRule type="cellIs" dxfId="6304" priority="4133" operator="equal">
      <formula>"DESCRIPCIÓN INSUFICIENTE"</formula>
    </cfRule>
    <cfRule type="cellIs" dxfId="6303" priority="4134" operator="equal">
      <formula>"NO ESTÁ ACORDE A ITEM 5.2.2 (T.R.)"</formula>
    </cfRule>
    <cfRule type="cellIs" dxfId="6302" priority="4135" operator="equal">
      <formula>"ACORDE A ITEM 5.2.2 (T.R.)"</formula>
    </cfRule>
    <cfRule type="cellIs" dxfId="6301" priority="4136" operator="equal">
      <formula>"PENDIENTE POR DESCRIPCIÓN"</formula>
    </cfRule>
    <cfRule type="cellIs" dxfId="6300" priority="4137" operator="equal">
      <formula>"DESCRIPCIÓN INSUFICIENTE"</formula>
    </cfRule>
    <cfRule type="cellIs" dxfId="6299" priority="4138" operator="equal">
      <formula>"NO ESTÁ ACORDE A ITEM 5.2.1 (T.R.)"</formula>
    </cfRule>
    <cfRule type="cellIs" dxfId="6298" priority="4139" operator="equal">
      <formula>"ACORDE A ITEM 5.2.1 (T.R.)"</formula>
    </cfRule>
  </conditionalFormatting>
  <conditionalFormatting sqref="O198">
    <cfRule type="cellIs" dxfId="6297" priority="4124" operator="equal">
      <formula>"PENDIENTE POR DESCRIPCIÓN"</formula>
    </cfRule>
    <cfRule type="cellIs" dxfId="6296" priority="4125" operator="equal">
      <formula>"DESCRIPCIÓN INSUFICIENTE"</formula>
    </cfRule>
    <cfRule type="cellIs" dxfId="6295" priority="4126" operator="equal">
      <formula>"NO ESTÁ ACORDE A ITEM 5.2.2 (T.R.)"</formula>
    </cfRule>
    <cfRule type="cellIs" dxfId="6294" priority="4127" operator="equal">
      <formula>"ACORDE A ITEM 5.2.2 (T.R.)"</formula>
    </cfRule>
    <cfRule type="cellIs" dxfId="6293" priority="4128" operator="equal">
      <formula>"PENDIENTE POR DESCRIPCIÓN"</formula>
    </cfRule>
    <cfRule type="cellIs" dxfId="6292" priority="4129" operator="equal">
      <formula>"DESCRIPCIÓN INSUFICIENTE"</formula>
    </cfRule>
    <cfRule type="cellIs" dxfId="6291" priority="4130" operator="equal">
      <formula>"NO ESTÁ ACORDE A ITEM 5.2.1 (T.R.)"</formula>
    </cfRule>
    <cfRule type="cellIs" dxfId="6290" priority="4131" operator="equal">
      <formula>"ACORDE A ITEM 5.2.1 (T.R.)"</formula>
    </cfRule>
  </conditionalFormatting>
  <conditionalFormatting sqref="Q192">
    <cfRule type="containsBlanks" dxfId="6289" priority="4115">
      <formula>LEN(TRIM(Q192))=0</formula>
    </cfRule>
    <cfRule type="cellIs" dxfId="6288" priority="4120" operator="equal">
      <formula>"REQUERIMIENTOS SUBSANADOS"</formula>
    </cfRule>
    <cfRule type="containsText" dxfId="6287" priority="4121" operator="containsText" text="NO SUBSANABLE">
      <formula>NOT(ISERROR(SEARCH("NO SUBSANABLE",Q192)))</formula>
    </cfRule>
    <cfRule type="containsText" dxfId="6286" priority="4122" operator="containsText" text="PENDIENTES POR SUBSANAR">
      <formula>NOT(ISERROR(SEARCH("PENDIENTES POR SUBSANAR",Q192)))</formula>
    </cfRule>
    <cfRule type="containsText" dxfId="6285" priority="4123" operator="containsText" text="SIN OBSERVACIÓN">
      <formula>NOT(ISERROR(SEARCH("SIN OBSERVACIÓN",Q192)))</formula>
    </cfRule>
  </conditionalFormatting>
  <conditionalFormatting sqref="R192">
    <cfRule type="containsBlanks" dxfId="6284" priority="4114">
      <formula>LEN(TRIM(R192))=0</formula>
    </cfRule>
    <cfRule type="cellIs" dxfId="6283" priority="4116" operator="equal">
      <formula>"NO CUMPLEN CON LO SOLICITADO"</formula>
    </cfRule>
    <cfRule type="cellIs" dxfId="6282" priority="4117" operator="equal">
      <formula>"CUMPLEN CON LO SOLICITADO"</formula>
    </cfRule>
    <cfRule type="cellIs" dxfId="6281" priority="4118" operator="equal">
      <formula>"PENDIENTES"</formula>
    </cfRule>
    <cfRule type="cellIs" dxfId="6280" priority="4119" operator="equal">
      <formula>"NINGUNO"</formula>
    </cfRule>
  </conditionalFormatting>
  <conditionalFormatting sqref="Q195">
    <cfRule type="containsBlanks" dxfId="6279" priority="4105">
      <formula>LEN(TRIM(Q195))=0</formula>
    </cfRule>
    <cfRule type="cellIs" dxfId="6278" priority="4110" operator="equal">
      <formula>"REQUERIMIENTOS SUBSANADOS"</formula>
    </cfRule>
    <cfRule type="containsText" dxfId="6277" priority="4111" operator="containsText" text="NO SUBSANABLE">
      <formula>NOT(ISERROR(SEARCH("NO SUBSANABLE",Q195)))</formula>
    </cfRule>
    <cfRule type="containsText" dxfId="6276" priority="4112" operator="containsText" text="PENDIENTES POR SUBSANAR">
      <formula>NOT(ISERROR(SEARCH("PENDIENTES POR SUBSANAR",Q195)))</formula>
    </cfRule>
    <cfRule type="containsText" dxfId="6275" priority="4113" operator="containsText" text="SIN OBSERVACIÓN">
      <formula>NOT(ISERROR(SEARCH("SIN OBSERVACIÓN",Q195)))</formula>
    </cfRule>
  </conditionalFormatting>
  <conditionalFormatting sqref="R195">
    <cfRule type="containsBlanks" dxfId="6274" priority="4104">
      <formula>LEN(TRIM(R195))=0</formula>
    </cfRule>
    <cfRule type="cellIs" dxfId="6273" priority="4106" operator="equal">
      <formula>"NO CUMPLEN CON LO SOLICITADO"</formula>
    </cfRule>
    <cfRule type="cellIs" dxfId="6272" priority="4107" operator="equal">
      <formula>"CUMPLEN CON LO SOLICITADO"</formula>
    </cfRule>
    <cfRule type="cellIs" dxfId="6271" priority="4108" operator="equal">
      <formula>"PENDIENTES"</formula>
    </cfRule>
    <cfRule type="cellIs" dxfId="6270" priority="4109" operator="equal">
      <formula>"NINGUNO"</formula>
    </cfRule>
  </conditionalFormatting>
  <conditionalFormatting sqref="Q198">
    <cfRule type="containsBlanks" dxfId="6269" priority="4095">
      <formula>LEN(TRIM(Q198))=0</formula>
    </cfRule>
    <cfRule type="cellIs" dxfId="6268" priority="4100" operator="equal">
      <formula>"REQUERIMIENTOS SUBSANADOS"</formula>
    </cfRule>
    <cfRule type="containsText" dxfId="6267" priority="4101" operator="containsText" text="NO SUBSANABLE">
      <formula>NOT(ISERROR(SEARCH("NO SUBSANABLE",Q198)))</formula>
    </cfRule>
    <cfRule type="containsText" dxfId="6266" priority="4102" operator="containsText" text="PENDIENTES POR SUBSANAR">
      <formula>NOT(ISERROR(SEARCH("PENDIENTES POR SUBSANAR",Q198)))</formula>
    </cfRule>
    <cfRule type="containsText" dxfId="6265" priority="4103" operator="containsText" text="SIN OBSERVACIÓN">
      <formula>NOT(ISERROR(SEARCH("SIN OBSERVACIÓN",Q198)))</formula>
    </cfRule>
  </conditionalFormatting>
  <conditionalFormatting sqref="R198">
    <cfRule type="containsBlanks" dxfId="6264" priority="4094">
      <formula>LEN(TRIM(R198))=0</formula>
    </cfRule>
    <cfRule type="cellIs" dxfId="6263" priority="4096" operator="equal">
      <formula>"NO CUMPLEN CON LO SOLICITADO"</formula>
    </cfRule>
    <cfRule type="cellIs" dxfId="6262" priority="4097" operator="equal">
      <formula>"CUMPLEN CON LO SOLICITADO"</formula>
    </cfRule>
    <cfRule type="cellIs" dxfId="6261" priority="4098" operator="equal">
      <formula>"PENDIENTES"</formula>
    </cfRule>
    <cfRule type="cellIs" dxfId="6260" priority="4099" operator="equal">
      <formula>"NINGUNO"</formula>
    </cfRule>
  </conditionalFormatting>
  <conditionalFormatting sqref="M198">
    <cfRule type="expression" dxfId="6259" priority="3262">
      <formula>L198="NO CUMPLE"</formula>
    </cfRule>
    <cfRule type="expression" dxfId="6258" priority="3263">
      <formula>L198="CUMPLE"</formula>
    </cfRule>
  </conditionalFormatting>
  <conditionalFormatting sqref="L198:L199">
    <cfRule type="cellIs" dxfId="6257" priority="3260" operator="equal">
      <formula>"NO CUMPLE"</formula>
    </cfRule>
    <cfRule type="cellIs" dxfId="6256" priority="3261" operator="equal">
      <formula>"CUMPLE"</formula>
    </cfRule>
  </conditionalFormatting>
  <conditionalFormatting sqref="M199">
    <cfRule type="expression" dxfId="6255" priority="3258">
      <formula>L199="NO CUMPLE"</formula>
    </cfRule>
    <cfRule type="expression" dxfId="6254" priority="3259">
      <formula>L199="CUMPLE"</formula>
    </cfRule>
  </conditionalFormatting>
  <conditionalFormatting sqref="M127">
    <cfRule type="expression" dxfId="6253" priority="3360">
      <formula>L127="NO CUMPLE"</formula>
    </cfRule>
    <cfRule type="expression" dxfId="6252" priority="3361">
      <formula>L127="CUMPLE"</formula>
    </cfRule>
  </conditionalFormatting>
  <conditionalFormatting sqref="L148:L149">
    <cfRule type="cellIs" dxfId="6251" priority="3332" operator="equal">
      <formula>"NO CUMPLE"</formula>
    </cfRule>
    <cfRule type="cellIs" dxfId="6250" priority="3333" operator="equal">
      <formula>"CUMPLE"</formula>
    </cfRule>
  </conditionalFormatting>
  <conditionalFormatting sqref="M149">
    <cfRule type="expression" dxfId="6249" priority="3330">
      <formula>L149="NO CUMPLE"</formula>
    </cfRule>
    <cfRule type="expression" dxfId="6248" priority="3331">
      <formula>L149="CUMPLE"</formula>
    </cfRule>
  </conditionalFormatting>
  <conditionalFormatting sqref="L151:L152">
    <cfRule type="cellIs" dxfId="6247" priority="3326" operator="equal">
      <formula>"NO CUMPLE"</formula>
    </cfRule>
    <cfRule type="cellIs" dxfId="6246" priority="3327" operator="equal">
      <formula>"CUMPLE"</formula>
    </cfRule>
  </conditionalFormatting>
  <conditionalFormatting sqref="M152">
    <cfRule type="expression" dxfId="6245" priority="3324">
      <formula>L152="NO CUMPLE"</formula>
    </cfRule>
    <cfRule type="expression" dxfId="6244" priority="3325">
      <formula>L152="CUMPLE"</formula>
    </cfRule>
  </conditionalFormatting>
  <conditionalFormatting sqref="M133">
    <cfRule type="expression" dxfId="6243" priority="3348">
      <formula>L133="NO CUMPLE"</formula>
    </cfRule>
    <cfRule type="expression" dxfId="6242" priority="3349">
      <formula>L133="CUMPLE"</formula>
    </cfRule>
  </conditionalFormatting>
  <conditionalFormatting sqref="L154:L155">
    <cfRule type="cellIs" dxfId="6241" priority="3320" operator="equal">
      <formula>"NO CUMPLE"</formula>
    </cfRule>
    <cfRule type="cellIs" dxfId="6240" priority="3321" operator="equal">
      <formula>"CUMPLE"</formula>
    </cfRule>
  </conditionalFormatting>
  <conditionalFormatting sqref="L135:L136">
    <cfRule type="cellIs" dxfId="6239" priority="3344" operator="equal">
      <formula>"NO CUMPLE"</formula>
    </cfRule>
    <cfRule type="cellIs" dxfId="6238" priority="3345" operator="equal">
      <formula>"CUMPLE"</formula>
    </cfRule>
  </conditionalFormatting>
  <conditionalFormatting sqref="M136">
    <cfRule type="expression" dxfId="6237" priority="3342">
      <formula>L136="NO CUMPLE"</formula>
    </cfRule>
    <cfRule type="expression" dxfId="6236" priority="3343">
      <formula>L136="CUMPLE"</formula>
    </cfRule>
  </conditionalFormatting>
  <conditionalFormatting sqref="M145">
    <cfRule type="expression" dxfId="6235" priority="3340">
      <formula>L145="NO CUMPLE"</formula>
    </cfRule>
    <cfRule type="expression" dxfId="6234" priority="3341">
      <formula>L145="CUMPLE"</formula>
    </cfRule>
  </conditionalFormatting>
  <conditionalFormatting sqref="M126">
    <cfRule type="expression" dxfId="6233" priority="3364">
      <formula>L126="NO CUMPLE"</formula>
    </cfRule>
    <cfRule type="expression" dxfId="6232" priority="3365">
      <formula>L126="CUMPLE"</formula>
    </cfRule>
  </conditionalFormatting>
  <conditionalFormatting sqref="L126:L127">
    <cfRule type="cellIs" dxfId="6231" priority="3362" operator="equal">
      <formula>"NO CUMPLE"</formula>
    </cfRule>
    <cfRule type="cellIs" dxfId="6230" priority="3363" operator="equal">
      <formula>"CUMPLE"</formula>
    </cfRule>
  </conditionalFormatting>
  <conditionalFormatting sqref="M148">
    <cfRule type="expression" dxfId="6229" priority="3334">
      <formula>L148="NO CUMPLE"</formula>
    </cfRule>
    <cfRule type="expression" dxfId="6228" priority="3335">
      <formula>L148="CUMPLE"</formula>
    </cfRule>
  </conditionalFormatting>
  <conditionalFormatting sqref="L129:L130">
    <cfRule type="cellIs" dxfId="6227" priority="3356" operator="equal">
      <formula>"NO CUMPLE"</formula>
    </cfRule>
    <cfRule type="cellIs" dxfId="6226" priority="3357" operator="equal">
      <formula>"CUMPLE"</formula>
    </cfRule>
  </conditionalFormatting>
  <conditionalFormatting sqref="M130">
    <cfRule type="expression" dxfId="6225" priority="3354">
      <formula>L130="NO CUMPLE"</formula>
    </cfRule>
    <cfRule type="expression" dxfId="6224" priority="3355">
      <formula>L130="CUMPLE"</formula>
    </cfRule>
  </conditionalFormatting>
  <conditionalFormatting sqref="M132">
    <cfRule type="expression" dxfId="6223" priority="3352">
      <formula>L132="NO CUMPLE"</formula>
    </cfRule>
    <cfRule type="expression" dxfId="6222" priority="3353">
      <formula>L132="CUMPLE"</formula>
    </cfRule>
  </conditionalFormatting>
  <conditionalFormatting sqref="L132:L133">
    <cfRule type="cellIs" dxfId="6221" priority="3350" operator="equal">
      <formula>"NO CUMPLE"</formula>
    </cfRule>
    <cfRule type="cellIs" dxfId="6220" priority="3351" operator="equal">
      <formula>"CUMPLE"</formula>
    </cfRule>
  </conditionalFormatting>
  <conditionalFormatting sqref="M135">
    <cfRule type="expression" dxfId="6219" priority="3346">
      <formula>L135="NO CUMPLE"</formula>
    </cfRule>
    <cfRule type="expression" dxfId="6218" priority="3347">
      <formula>L135="CUMPLE"</formula>
    </cfRule>
  </conditionalFormatting>
  <conditionalFormatting sqref="M155">
    <cfRule type="expression" dxfId="6217" priority="3318">
      <formula>L155="NO CUMPLE"</formula>
    </cfRule>
    <cfRule type="expression" dxfId="6216" priority="3319">
      <formula>L155="CUMPLE"</formula>
    </cfRule>
  </conditionalFormatting>
  <conditionalFormatting sqref="M129">
    <cfRule type="expression" dxfId="6215" priority="3358">
      <formula>L129="NO CUMPLE"</formula>
    </cfRule>
    <cfRule type="expression" dxfId="6214" priority="3359">
      <formula>L129="CUMPLE"</formula>
    </cfRule>
  </conditionalFormatting>
  <conditionalFormatting sqref="M154">
    <cfRule type="expression" dxfId="6213" priority="3322">
      <formula>L154="NO CUMPLE"</formula>
    </cfRule>
    <cfRule type="expression" dxfId="6212" priority="3323">
      <formula>L154="CUMPLE"</formula>
    </cfRule>
  </conditionalFormatting>
  <conditionalFormatting sqref="M114">
    <cfRule type="expression" dxfId="6211" priority="3372">
      <formula>L114="NO CUMPLE"</formula>
    </cfRule>
    <cfRule type="expression" dxfId="6210" priority="3373">
      <formula>L114="CUMPLE"</formula>
    </cfRule>
  </conditionalFormatting>
  <conditionalFormatting sqref="L145:L146">
    <cfRule type="cellIs" dxfId="6209" priority="3338" operator="equal">
      <formula>"NO CUMPLE"</formula>
    </cfRule>
    <cfRule type="cellIs" dxfId="6208" priority="3339" operator="equal">
      <formula>"CUMPLE"</formula>
    </cfRule>
  </conditionalFormatting>
  <conditionalFormatting sqref="M146">
    <cfRule type="expression" dxfId="6207" priority="3336">
      <formula>L146="NO CUMPLE"</formula>
    </cfRule>
    <cfRule type="expression" dxfId="6206" priority="3337">
      <formula>L146="CUMPLE"</formula>
    </cfRule>
  </conditionalFormatting>
  <conditionalFormatting sqref="M151">
    <cfRule type="expression" dxfId="6205" priority="3328">
      <formula>L151="NO CUMPLE"</formula>
    </cfRule>
    <cfRule type="expression" dxfId="6204" priority="3329">
      <formula>L151="CUMPLE"</formula>
    </cfRule>
  </conditionalFormatting>
  <conditionalFormatting sqref="M113">
    <cfRule type="expression" dxfId="6203" priority="3376">
      <formula>L113="NO CUMPLE"</formula>
    </cfRule>
    <cfRule type="expression" dxfId="6202" priority="3377">
      <formula>L113="CUMPLE"</formula>
    </cfRule>
  </conditionalFormatting>
  <conditionalFormatting sqref="L113:L114">
    <cfRule type="cellIs" dxfId="6201" priority="3374" operator="equal">
      <formula>"NO CUMPLE"</formula>
    </cfRule>
    <cfRule type="cellIs" dxfId="6200" priority="3375" operator="equal">
      <formula>"CUMPLE"</formula>
    </cfRule>
  </conditionalFormatting>
  <conditionalFormatting sqref="L123:L124">
    <cfRule type="cellIs" dxfId="6199" priority="3368" operator="equal">
      <formula>"NO CUMPLE"</formula>
    </cfRule>
    <cfRule type="cellIs" dxfId="6198" priority="3369" operator="equal">
      <formula>"CUMPLE"</formula>
    </cfRule>
  </conditionalFormatting>
  <conditionalFormatting sqref="M124">
    <cfRule type="expression" dxfId="6197" priority="3366">
      <formula>L124="NO CUMPLE"</formula>
    </cfRule>
    <cfRule type="expression" dxfId="6196" priority="3367">
      <formula>L124="CUMPLE"</formula>
    </cfRule>
  </conditionalFormatting>
  <conditionalFormatting sqref="J41:J46">
    <cfRule type="cellIs" dxfId="6195" priority="3690" operator="equal">
      <formula>"NO CUMPLE"</formula>
    </cfRule>
    <cfRule type="cellIs" dxfId="6194" priority="3691" operator="equal">
      <formula>"CUMPLE"</formula>
    </cfRule>
  </conditionalFormatting>
  <conditionalFormatting sqref="K38">
    <cfRule type="expression" dxfId="6193" priority="3686">
      <formula>J38="NO CUMPLE"</formula>
    </cfRule>
    <cfRule type="expression" dxfId="6192" priority="3687">
      <formula>J38="CUMPLE"</formula>
    </cfRule>
  </conditionalFormatting>
  <conditionalFormatting sqref="K39:K40">
    <cfRule type="expression" dxfId="6191" priority="3684">
      <formula>J39="NO CUMPLE"</formula>
    </cfRule>
    <cfRule type="expression" dxfId="6190" priority="3685">
      <formula>J39="CUMPLE"</formula>
    </cfRule>
  </conditionalFormatting>
  <conditionalFormatting sqref="J47">
    <cfRule type="cellIs" dxfId="6189" priority="3682" operator="equal">
      <formula>"NO CUMPLE"</formula>
    </cfRule>
    <cfRule type="cellIs" dxfId="6188" priority="3683" operator="equal">
      <formula>"CUMPLE"</formula>
    </cfRule>
  </conditionalFormatting>
  <conditionalFormatting sqref="J48:J49">
    <cfRule type="cellIs" dxfId="6187" priority="3680" operator="equal">
      <formula>"NO CUMPLE"</formula>
    </cfRule>
    <cfRule type="cellIs" dxfId="6186" priority="3681" operator="equal">
      <formula>"CUMPLE"</formula>
    </cfRule>
  </conditionalFormatting>
  <conditionalFormatting sqref="K41">
    <cfRule type="expression" dxfId="6185" priority="3678">
      <formula>J41="NO CUMPLE"</formula>
    </cfRule>
    <cfRule type="expression" dxfId="6184" priority="3679">
      <formula>J41="CUMPLE"</formula>
    </cfRule>
  </conditionalFormatting>
  <conditionalFormatting sqref="K42:K43">
    <cfRule type="expression" dxfId="6183" priority="3676">
      <formula>J42="NO CUMPLE"</formula>
    </cfRule>
    <cfRule type="expression" dxfId="6182" priority="3677">
      <formula>J42="CUMPLE"</formula>
    </cfRule>
  </conditionalFormatting>
  <conditionalFormatting sqref="K44">
    <cfRule type="expression" dxfId="6181" priority="3674">
      <formula>J44="NO CUMPLE"</formula>
    </cfRule>
    <cfRule type="expression" dxfId="6180" priority="3675">
      <formula>J44="CUMPLE"</formula>
    </cfRule>
  </conditionalFormatting>
  <conditionalFormatting sqref="K45:K46">
    <cfRule type="expression" dxfId="6179" priority="3672">
      <formula>J45="NO CUMPLE"</formula>
    </cfRule>
    <cfRule type="expression" dxfId="6178" priority="3673">
      <formula>J45="CUMPLE"</formula>
    </cfRule>
  </conditionalFormatting>
  <conditionalFormatting sqref="K47">
    <cfRule type="expression" dxfId="6177" priority="3670">
      <formula>J47="NO CUMPLE"</formula>
    </cfRule>
    <cfRule type="expression" dxfId="6176" priority="3671">
      <formula>J47="CUMPLE"</formula>
    </cfRule>
  </conditionalFormatting>
  <conditionalFormatting sqref="K48:K49">
    <cfRule type="expression" dxfId="6175" priority="3668">
      <formula>J48="NO CUMPLE"</formula>
    </cfRule>
    <cfRule type="expression" dxfId="6174" priority="3669">
      <formula>J48="CUMPLE"</formula>
    </cfRule>
  </conditionalFormatting>
  <conditionalFormatting sqref="K60">
    <cfRule type="expression" dxfId="6173" priority="3660">
      <formula>J60="NO CUMPLE"</formula>
    </cfRule>
    <cfRule type="expression" dxfId="6172" priority="3661">
      <formula>J60="CUMPLE"</formula>
    </cfRule>
  </conditionalFormatting>
  <conditionalFormatting sqref="K61:K62">
    <cfRule type="expression" dxfId="6171" priority="3658">
      <formula>J61="NO CUMPLE"</formula>
    </cfRule>
    <cfRule type="expression" dxfId="6170" priority="3659">
      <formula>J61="CUMPLE"</formula>
    </cfRule>
  </conditionalFormatting>
  <conditionalFormatting sqref="K63">
    <cfRule type="expression" dxfId="6169" priority="3652">
      <formula>J63="NO CUMPLE"</formula>
    </cfRule>
    <cfRule type="expression" dxfId="6168" priority="3653">
      <formula>J63="CUMPLE"</formula>
    </cfRule>
  </conditionalFormatting>
  <conditionalFormatting sqref="K64:K65">
    <cfRule type="expression" dxfId="6167" priority="3650">
      <formula>J64="NO CUMPLE"</formula>
    </cfRule>
    <cfRule type="expression" dxfId="6166" priority="3651">
      <formula>J64="CUMPLE"</formula>
    </cfRule>
  </conditionalFormatting>
  <conditionalFormatting sqref="K66">
    <cfRule type="expression" dxfId="6165" priority="3648">
      <formula>J66="NO CUMPLE"</formula>
    </cfRule>
    <cfRule type="expression" dxfId="6164" priority="3649">
      <formula>J66="CUMPLE"</formula>
    </cfRule>
  </conditionalFormatting>
  <conditionalFormatting sqref="K67:K68">
    <cfRule type="expression" dxfId="6163" priority="3646">
      <formula>J67="NO CUMPLE"</formula>
    </cfRule>
    <cfRule type="expression" dxfId="6162" priority="3647">
      <formula>J67="CUMPLE"</formula>
    </cfRule>
  </conditionalFormatting>
  <conditionalFormatting sqref="K69">
    <cfRule type="expression" dxfId="6161" priority="3644">
      <formula>J69="NO CUMPLE"</formula>
    </cfRule>
    <cfRule type="expression" dxfId="6160" priority="3645">
      <formula>J69="CUMPLE"</formula>
    </cfRule>
  </conditionalFormatting>
  <conditionalFormatting sqref="K70:K71">
    <cfRule type="expression" dxfId="6159" priority="3642">
      <formula>J70="NO CUMPLE"</formula>
    </cfRule>
    <cfRule type="expression" dxfId="6158" priority="3643">
      <formula>J70="CUMPLE"</formula>
    </cfRule>
  </conditionalFormatting>
  <conditionalFormatting sqref="J88:J90">
    <cfRule type="cellIs" dxfId="6157" priority="3638" operator="equal">
      <formula>"NO CUMPLE"</formula>
    </cfRule>
    <cfRule type="cellIs" dxfId="6156" priority="3639" operator="equal">
      <formula>"CUMPLE"</formula>
    </cfRule>
  </conditionalFormatting>
  <conditionalFormatting sqref="K82">
    <cfRule type="expression" dxfId="6155" priority="3634">
      <formula>J82="NO CUMPLE"</formula>
    </cfRule>
    <cfRule type="expression" dxfId="6154" priority="3635">
      <formula>J82="CUMPLE"</formula>
    </cfRule>
  </conditionalFormatting>
  <conditionalFormatting sqref="K83:K84">
    <cfRule type="expression" dxfId="6153" priority="3632">
      <formula>J83="NO CUMPLE"</formula>
    </cfRule>
    <cfRule type="expression" dxfId="6152" priority="3633">
      <formula>J83="CUMPLE"</formula>
    </cfRule>
  </conditionalFormatting>
  <conditionalFormatting sqref="J91">
    <cfRule type="cellIs" dxfId="6151" priority="3630" operator="equal">
      <formula>"NO CUMPLE"</formula>
    </cfRule>
    <cfRule type="cellIs" dxfId="6150" priority="3631" operator="equal">
      <formula>"CUMPLE"</formula>
    </cfRule>
  </conditionalFormatting>
  <conditionalFormatting sqref="J92:J93">
    <cfRule type="cellIs" dxfId="6149" priority="3628" operator="equal">
      <formula>"NO CUMPLE"</formula>
    </cfRule>
    <cfRule type="cellIs" dxfId="6148" priority="3629" operator="equal">
      <formula>"CUMPLE"</formula>
    </cfRule>
  </conditionalFormatting>
  <conditionalFormatting sqref="K85">
    <cfRule type="expression" dxfId="6147" priority="3626">
      <formula>J85="NO CUMPLE"</formula>
    </cfRule>
    <cfRule type="expression" dxfId="6146" priority="3627">
      <formula>J85="CUMPLE"</formula>
    </cfRule>
  </conditionalFormatting>
  <conditionalFormatting sqref="K86:K87">
    <cfRule type="expression" dxfId="6145" priority="3624">
      <formula>J86="NO CUMPLE"</formula>
    </cfRule>
    <cfRule type="expression" dxfId="6144" priority="3625">
      <formula>J86="CUMPLE"</formula>
    </cfRule>
  </conditionalFormatting>
  <conditionalFormatting sqref="K88">
    <cfRule type="expression" dxfId="6143" priority="3622">
      <formula>J88="NO CUMPLE"</formula>
    </cfRule>
    <cfRule type="expression" dxfId="6142" priority="3623">
      <formula>J88="CUMPLE"</formula>
    </cfRule>
  </conditionalFormatting>
  <conditionalFormatting sqref="K89:K90">
    <cfRule type="expression" dxfId="6141" priority="3620">
      <formula>J89="NO CUMPLE"</formula>
    </cfRule>
    <cfRule type="expression" dxfId="6140" priority="3621">
      <formula>J89="CUMPLE"</formula>
    </cfRule>
  </conditionalFormatting>
  <conditionalFormatting sqref="K91">
    <cfRule type="expression" dxfId="6139" priority="3618">
      <formula>J91="NO CUMPLE"</formula>
    </cfRule>
    <cfRule type="expression" dxfId="6138" priority="3619">
      <formula>J91="CUMPLE"</formula>
    </cfRule>
  </conditionalFormatting>
  <conditionalFormatting sqref="K92:K93">
    <cfRule type="expression" dxfId="6137" priority="3616">
      <formula>J92="NO CUMPLE"</formula>
    </cfRule>
    <cfRule type="expression" dxfId="6136" priority="3617">
      <formula>J92="CUMPLE"</formula>
    </cfRule>
  </conditionalFormatting>
  <conditionalFormatting sqref="J101:J112">
    <cfRule type="cellIs" dxfId="6135" priority="3612" operator="equal">
      <formula>"NO CUMPLE"</formula>
    </cfRule>
    <cfRule type="cellIs" dxfId="6134" priority="3613" operator="equal">
      <formula>"CUMPLE"</formula>
    </cfRule>
  </conditionalFormatting>
  <conditionalFormatting sqref="K104">
    <cfRule type="expression" dxfId="6133" priority="3608">
      <formula>J104="NO CUMPLE"</formula>
    </cfRule>
    <cfRule type="expression" dxfId="6132" priority="3609">
      <formula>J104="CUMPLE"</formula>
    </cfRule>
  </conditionalFormatting>
  <conditionalFormatting sqref="K105:K106">
    <cfRule type="expression" dxfId="6131" priority="3606">
      <formula>J105="NO CUMPLE"</formula>
    </cfRule>
    <cfRule type="expression" dxfId="6130" priority="3607">
      <formula>J105="CUMPLE"</formula>
    </cfRule>
  </conditionalFormatting>
  <conditionalFormatting sqref="K107">
    <cfRule type="expression" dxfId="6129" priority="3600">
      <formula>J107="NO CUMPLE"</formula>
    </cfRule>
    <cfRule type="expression" dxfId="6128" priority="3601">
      <formula>J107="CUMPLE"</formula>
    </cfRule>
  </conditionalFormatting>
  <conditionalFormatting sqref="K108:K109">
    <cfRule type="expression" dxfId="6127" priority="3598">
      <formula>J108="NO CUMPLE"</formula>
    </cfRule>
    <cfRule type="expression" dxfId="6126" priority="3599">
      <formula>J108="CUMPLE"</formula>
    </cfRule>
  </conditionalFormatting>
  <conditionalFormatting sqref="K110">
    <cfRule type="expression" dxfId="6125" priority="3596">
      <formula>J110="NO CUMPLE"</formula>
    </cfRule>
    <cfRule type="expression" dxfId="6124" priority="3597">
      <formula>J110="CUMPLE"</formula>
    </cfRule>
  </conditionalFormatting>
  <conditionalFormatting sqref="K111:K112">
    <cfRule type="expression" dxfId="6123" priority="3594">
      <formula>J111="NO CUMPLE"</formula>
    </cfRule>
    <cfRule type="expression" dxfId="6122" priority="3595">
      <formula>J111="CUMPLE"</formula>
    </cfRule>
  </conditionalFormatting>
  <conditionalFormatting sqref="K113">
    <cfRule type="expression" dxfId="6121" priority="3592">
      <formula>J113="NO CUMPLE"</formula>
    </cfRule>
    <cfRule type="expression" dxfId="6120" priority="3593">
      <formula>J113="CUMPLE"</formula>
    </cfRule>
  </conditionalFormatting>
  <conditionalFormatting sqref="K114:K115">
    <cfRule type="expression" dxfId="6119" priority="3590">
      <formula>J114="NO CUMPLE"</formula>
    </cfRule>
    <cfRule type="expression" dxfId="6118" priority="3591">
      <formula>J114="CUMPLE"</formula>
    </cfRule>
  </conditionalFormatting>
  <conditionalFormatting sqref="J123:J134">
    <cfRule type="cellIs" dxfId="6117" priority="3586" operator="equal">
      <formula>"NO CUMPLE"</formula>
    </cfRule>
    <cfRule type="cellIs" dxfId="6116" priority="3587" operator="equal">
      <formula>"CUMPLE"</formula>
    </cfRule>
  </conditionalFormatting>
  <conditionalFormatting sqref="K126">
    <cfRule type="expression" dxfId="6115" priority="3582">
      <formula>J126="NO CUMPLE"</formula>
    </cfRule>
    <cfRule type="expression" dxfId="6114" priority="3583">
      <formula>J126="CUMPLE"</formula>
    </cfRule>
  </conditionalFormatting>
  <conditionalFormatting sqref="K127:K128">
    <cfRule type="expression" dxfId="6113" priority="3580">
      <formula>J127="NO CUMPLE"</formula>
    </cfRule>
    <cfRule type="expression" dxfId="6112" priority="3581">
      <formula>J127="CUMPLE"</formula>
    </cfRule>
  </conditionalFormatting>
  <conditionalFormatting sqref="J135">
    <cfRule type="cellIs" dxfId="6111" priority="3578" operator="equal">
      <formula>"NO CUMPLE"</formula>
    </cfRule>
    <cfRule type="cellIs" dxfId="6110" priority="3579" operator="equal">
      <formula>"CUMPLE"</formula>
    </cfRule>
  </conditionalFormatting>
  <conditionalFormatting sqref="J136:J137">
    <cfRule type="cellIs" dxfId="6109" priority="3576" operator="equal">
      <formula>"NO CUMPLE"</formula>
    </cfRule>
    <cfRule type="cellIs" dxfId="6108" priority="3577" operator="equal">
      <formula>"CUMPLE"</formula>
    </cfRule>
  </conditionalFormatting>
  <conditionalFormatting sqref="K129">
    <cfRule type="expression" dxfId="6107" priority="3574">
      <formula>J129="NO CUMPLE"</formula>
    </cfRule>
    <cfRule type="expression" dxfId="6106" priority="3575">
      <formula>J129="CUMPLE"</formula>
    </cfRule>
  </conditionalFormatting>
  <conditionalFormatting sqref="K130:K131">
    <cfRule type="expression" dxfId="6105" priority="3572">
      <formula>J130="NO CUMPLE"</formula>
    </cfRule>
    <cfRule type="expression" dxfId="6104" priority="3573">
      <formula>J130="CUMPLE"</formula>
    </cfRule>
  </conditionalFormatting>
  <conditionalFormatting sqref="K132">
    <cfRule type="expression" dxfId="6103" priority="3570">
      <formula>J132="NO CUMPLE"</formula>
    </cfRule>
    <cfRule type="expression" dxfId="6102" priority="3571">
      <formula>J132="CUMPLE"</formula>
    </cfRule>
  </conditionalFormatting>
  <conditionalFormatting sqref="K133:K134">
    <cfRule type="expression" dxfId="6101" priority="3568">
      <formula>J133="NO CUMPLE"</formula>
    </cfRule>
    <cfRule type="expression" dxfId="6100" priority="3569">
      <formula>J133="CUMPLE"</formula>
    </cfRule>
  </conditionalFormatting>
  <conditionalFormatting sqref="K135">
    <cfRule type="expression" dxfId="6099" priority="3566">
      <formula>J135="NO CUMPLE"</formula>
    </cfRule>
    <cfRule type="expression" dxfId="6098" priority="3567">
      <formula>J135="CUMPLE"</formula>
    </cfRule>
  </conditionalFormatting>
  <conditionalFormatting sqref="K136:K137">
    <cfRule type="expression" dxfId="6097" priority="3564">
      <formula>J136="NO CUMPLE"</formula>
    </cfRule>
    <cfRule type="expression" dxfId="6096" priority="3565">
      <formula>J136="CUMPLE"</formula>
    </cfRule>
  </conditionalFormatting>
  <conditionalFormatting sqref="J145:J156">
    <cfRule type="cellIs" dxfId="6095" priority="3560" operator="equal">
      <formula>"NO CUMPLE"</formula>
    </cfRule>
    <cfRule type="cellIs" dxfId="6094" priority="3561" operator="equal">
      <formula>"CUMPLE"</formula>
    </cfRule>
  </conditionalFormatting>
  <conditionalFormatting sqref="K148">
    <cfRule type="expression" dxfId="6093" priority="3556">
      <formula>J148="NO CUMPLE"</formula>
    </cfRule>
    <cfRule type="expression" dxfId="6092" priority="3557">
      <formula>J148="CUMPLE"</formula>
    </cfRule>
  </conditionalFormatting>
  <conditionalFormatting sqref="K149:K150">
    <cfRule type="expression" dxfId="6091" priority="3554">
      <formula>J149="NO CUMPLE"</formula>
    </cfRule>
    <cfRule type="expression" dxfId="6090" priority="3555">
      <formula>J149="CUMPLE"</formula>
    </cfRule>
  </conditionalFormatting>
  <conditionalFormatting sqref="J157">
    <cfRule type="cellIs" dxfId="6089" priority="3552" operator="equal">
      <formula>"NO CUMPLE"</formula>
    </cfRule>
    <cfRule type="cellIs" dxfId="6088" priority="3553" operator="equal">
      <formula>"CUMPLE"</formula>
    </cfRule>
  </conditionalFormatting>
  <conditionalFormatting sqref="J158:J159">
    <cfRule type="cellIs" dxfId="6087" priority="3550" operator="equal">
      <formula>"NO CUMPLE"</formula>
    </cfRule>
    <cfRule type="cellIs" dxfId="6086" priority="3551" operator="equal">
      <formula>"CUMPLE"</formula>
    </cfRule>
  </conditionalFormatting>
  <conditionalFormatting sqref="K151">
    <cfRule type="expression" dxfId="6085" priority="3548">
      <formula>J151="NO CUMPLE"</formula>
    </cfRule>
    <cfRule type="expression" dxfId="6084" priority="3549">
      <formula>J151="CUMPLE"</formula>
    </cfRule>
  </conditionalFormatting>
  <conditionalFormatting sqref="K152:K153">
    <cfRule type="expression" dxfId="6083" priority="3546">
      <formula>J152="NO CUMPLE"</formula>
    </cfRule>
    <cfRule type="expression" dxfId="6082" priority="3547">
      <formula>J152="CUMPLE"</formula>
    </cfRule>
  </conditionalFormatting>
  <conditionalFormatting sqref="K154">
    <cfRule type="expression" dxfId="6081" priority="3544">
      <formula>J154="NO CUMPLE"</formula>
    </cfRule>
    <cfRule type="expression" dxfId="6080" priority="3545">
      <formula>J154="CUMPLE"</formula>
    </cfRule>
  </conditionalFormatting>
  <conditionalFormatting sqref="K155:K156">
    <cfRule type="expression" dxfId="6079" priority="3542">
      <formula>J155="NO CUMPLE"</formula>
    </cfRule>
    <cfRule type="expression" dxfId="6078" priority="3543">
      <formula>J155="CUMPLE"</formula>
    </cfRule>
  </conditionalFormatting>
  <conditionalFormatting sqref="K157">
    <cfRule type="expression" dxfId="6077" priority="3540">
      <formula>J157="NO CUMPLE"</formula>
    </cfRule>
    <cfRule type="expression" dxfId="6076" priority="3541">
      <formula>J157="CUMPLE"</formula>
    </cfRule>
  </conditionalFormatting>
  <conditionalFormatting sqref="K158:K159">
    <cfRule type="expression" dxfId="6075" priority="3538">
      <formula>J158="NO CUMPLE"</formula>
    </cfRule>
    <cfRule type="expression" dxfId="6074" priority="3539">
      <formula>J158="CUMPLE"</formula>
    </cfRule>
  </conditionalFormatting>
  <conditionalFormatting sqref="K170">
    <cfRule type="expression" dxfId="6073" priority="3530">
      <formula>J170="NO CUMPLE"</formula>
    </cfRule>
    <cfRule type="expression" dxfId="6072" priority="3531">
      <formula>J170="CUMPLE"</formula>
    </cfRule>
  </conditionalFormatting>
  <conditionalFormatting sqref="K171:K172">
    <cfRule type="expression" dxfId="6071" priority="3528">
      <formula>J171="NO CUMPLE"</formula>
    </cfRule>
    <cfRule type="expression" dxfId="6070" priority="3529">
      <formula>J171="CUMPLE"</formula>
    </cfRule>
  </conditionalFormatting>
  <conditionalFormatting sqref="J181">
    <cfRule type="cellIs" dxfId="6069" priority="3524" operator="equal">
      <formula>"NO CUMPLE"</formula>
    </cfRule>
    <cfRule type="cellIs" dxfId="6068" priority="3525" operator="equal">
      <formula>"CUMPLE"</formula>
    </cfRule>
  </conditionalFormatting>
  <conditionalFormatting sqref="K173">
    <cfRule type="expression" dxfId="6067" priority="3522">
      <formula>J173="NO CUMPLE"</formula>
    </cfRule>
    <cfRule type="expression" dxfId="6066" priority="3523">
      <formula>J173="CUMPLE"</formula>
    </cfRule>
  </conditionalFormatting>
  <conditionalFormatting sqref="K174:K175">
    <cfRule type="expression" dxfId="6065" priority="3520">
      <formula>J174="NO CUMPLE"</formula>
    </cfRule>
    <cfRule type="expression" dxfId="6064" priority="3521">
      <formula>J174="CUMPLE"</formula>
    </cfRule>
  </conditionalFormatting>
  <conditionalFormatting sqref="K176">
    <cfRule type="expression" dxfId="6063" priority="3518">
      <formula>J176="NO CUMPLE"</formula>
    </cfRule>
    <cfRule type="expression" dxfId="6062" priority="3519">
      <formula>J176="CUMPLE"</formula>
    </cfRule>
  </conditionalFormatting>
  <conditionalFormatting sqref="K177:K178">
    <cfRule type="expression" dxfId="6061" priority="3516">
      <formula>J177="NO CUMPLE"</formula>
    </cfRule>
    <cfRule type="expression" dxfId="6060" priority="3517">
      <formula>J177="CUMPLE"</formula>
    </cfRule>
  </conditionalFormatting>
  <conditionalFormatting sqref="K179">
    <cfRule type="expression" dxfId="6059" priority="3514">
      <formula>J179="NO CUMPLE"</formula>
    </cfRule>
    <cfRule type="expression" dxfId="6058" priority="3515">
      <formula>J179="CUMPLE"</formula>
    </cfRule>
  </conditionalFormatting>
  <conditionalFormatting sqref="K180:K181">
    <cfRule type="expression" dxfId="6057" priority="3512">
      <formula>J180="NO CUMPLE"</formula>
    </cfRule>
    <cfRule type="expression" dxfId="6056" priority="3513">
      <formula>J180="CUMPLE"</formula>
    </cfRule>
  </conditionalFormatting>
  <conditionalFormatting sqref="J192:J200">
    <cfRule type="cellIs" dxfId="6055" priority="3508" operator="equal">
      <formula>"NO CUMPLE"</formula>
    </cfRule>
    <cfRule type="cellIs" dxfId="6054" priority="3509" operator="equal">
      <formula>"CUMPLE"</formula>
    </cfRule>
  </conditionalFormatting>
  <conditionalFormatting sqref="K192">
    <cfRule type="expression" dxfId="6053" priority="3504">
      <formula>J192="NO CUMPLE"</formula>
    </cfRule>
    <cfRule type="expression" dxfId="6052" priority="3505">
      <formula>J192="CUMPLE"</formula>
    </cfRule>
  </conditionalFormatting>
  <conditionalFormatting sqref="K193:K194">
    <cfRule type="expression" dxfId="6051" priority="3502">
      <formula>J193="NO CUMPLE"</formula>
    </cfRule>
    <cfRule type="expression" dxfId="6050" priority="3503">
      <formula>J193="CUMPLE"</formula>
    </cfRule>
  </conditionalFormatting>
  <conditionalFormatting sqref="J201">
    <cfRule type="cellIs" dxfId="6049" priority="3500" operator="equal">
      <formula>"NO CUMPLE"</formula>
    </cfRule>
    <cfRule type="cellIs" dxfId="6048" priority="3501" operator="equal">
      <formula>"CUMPLE"</formula>
    </cfRule>
  </conditionalFormatting>
  <conditionalFormatting sqref="J202:J203">
    <cfRule type="cellIs" dxfId="6047" priority="3498" operator="equal">
      <formula>"NO CUMPLE"</formula>
    </cfRule>
    <cfRule type="cellIs" dxfId="6046" priority="3499" operator="equal">
      <formula>"CUMPLE"</formula>
    </cfRule>
  </conditionalFormatting>
  <conditionalFormatting sqref="K195">
    <cfRule type="expression" dxfId="6045" priority="3496">
      <formula>J195="NO CUMPLE"</formula>
    </cfRule>
    <cfRule type="expression" dxfId="6044" priority="3497">
      <formula>J195="CUMPLE"</formula>
    </cfRule>
  </conditionalFormatting>
  <conditionalFormatting sqref="K196:K197">
    <cfRule type="expression" dxfId="6043" priority="3494">
      <formula>J196="NO CUMPLE"</formula>
    </cfRule>
    <cfRule type="expression" dxfId="6042" priority="3495">
      <formula>J196="CUMPLE"</formula>
    </cfRule>
  </conditionalFormatting>
  <conditionalFormatting sqref="K198">
    <cfRule type="expression" dxfId="6041" priority="3492">
      <formula>J198="NO CUMPLE"</formula>
    </cfRule>
    <cfRule type="expression" dxfId="6040" priority="3493">
      <formula>J198="CUMPLE"</formula>
    </cfRule>
  </conditionalFormatting>
  <conditionalFormatting sqref="K199:K200">
    <cfRule type="expression" dxfId="6039" priority="3490">
      <formula>J199="NO CUMPLE"</formula>
    </cfRule>
    <cfRule type="expression" dxfId="6038" priority="3491">
      <formula>J199="CUMPLE"</formula>
    </cfRule>
  </conditionalFormatting>
  <conditionalFormatting sqref="K201">
    <cfRule type="expression" dxfId="6037" priority="3488">
      <formula>J201="NO CUMPLE"</formula>
    </cfRule>
    <cfRule type="expression" dxfId="6036" priority="3489">
      <formula>J201="CUMPLE"</formula>
    </cfRule>
  </conditionalFormatting>
  <conditionalFormatting sqref="K202:K203">
    <cfRule type="expression" dxfId="6035" priority="3486">
      <formula>J202="NO CUMPLE"</formula>
    </cfRule>
    <cfRule type="expression" dxfId="6034" priority="3487">
      <formula>J202="CUMPLE"</formula>
    </cfRule>
  </conditionalFormatting>
  <conditionalFormatting sqref="M193">
    <cfRule type="expression" dxfId="6033" priority="3270">
      <formula>L193="NO CUMPLE"</formula>
    </cfRule>
    <cfRule type="expression" dxfId="6032" priority="3271">
      <formula>L193="CUMPLE"</formula>
    </cfRule>
  </conditionalFormatting>
  <conditionalFormatting sqref="L192:L193">
    <cfRule type="cellIs" dxfId="6031" priority="3272" operator="equal">
      <formula>"NO CUMPLE"</formula>
    </cfRule>
    <cfRule type="cellIs" dxfId="6030" priority="3273" operator="equal">
      <formula>"CUMPLE"</formula>
    </cfRule>
  </conditionalFormatting>
  <conditionalFormatting sqref="M58">
    <cfRule type="expression" dxfId="6029" priority="3480">
      <formula>L58="NO CUMPLE"</formula>
    </cfRule>
    <cfRule type="expression" dxfId="6028" priority="3481">
      <formula>L58="CUMPLE"</formula>
    </cfRule>
  </conditionalFormatting>
  <conditionalFormatting sqref="M57">
    <cfRule type="expression" dxfId="6027" priority="3484">
      <formula>L57="NO CUMPLE"</formula>
    </cfRule>
    <cfRule type="expression" dxfId="6026" priority="3485">
      <formula>L57="CUMPLE"</formula>
    </cfRule>
  </conditionalFormatting>
  <conditionalFormatting sqref="L57:L58">
    <cfRule type="cellIs" dxfId="6025" priority="3482" operator="equal">
      <formula>"NO CUMPLE"</formula>
    </cfRule>
    <cfRule type="cellIs" dxfId="6024" priority="3483" operator="equal">
      <formula>"CUMPLE"</formula>
    </cfRule>
  </conditionalFormatting>
  <conditionalFormatting sqref="M192">
    <cfRule type="expression" dxfId="6023" priority="3274">
      <formula>L192="NO CUMPLE"</formula>
    </cfRule>
    <cfRule type="expression" dxfId="6022" priority="3275">
      <formula>L192="CUMPLE"</formula>
    </cfRule>
  </conditionalFormatting>
  <conditionalFormatting sqref="L38:L39">
    <cfRule type="cellIs" dxfId="6021" priority="3246" operator="equal">
      <formula>"NO CUMPLE"</formula>
    </cfRule>
    <cfRule type="cellIs" dxfId="6020" priority="3247" operator="equal">
      <formula>"CUMPLE"</formula>
    </cfRule>
  </conditionalFormatting>
  <conditionalFormatting sqref="M61">
    <cfRule type="expression" dxfId="6019" priority="3450">
      <formula>L61="NO CUMPLE"</formula>
    </cfRule>
    <cfRule type="expression" dxfId="6018" priority="3451">
      <formula>L61="CUMPLE"</formula>
    </cfRule>
  </conditionalFormatting>
  <conditionalFormatting sqref="M60">
    <cfRule type="expression" dxfId="6017" priority="3454">
      <formula>L60="NO CUMPLE"</formula>
    </cfRule>
    <cfRule type="expression" dxfId="6016" priority="3455">
      <formula>L60="CUMPLE"</formula>
    </cfRule>
  </conditionalFormatting>
  <conditionalFormatting sqref="L60:L61">
    <cfRule type="cellIs" dxfId="6015" priority="3452" operator="equal">
      <formula>"NO CUMPLE"</formula>
    </cfRule>
    <cfRule type="cellIs" dxfId="6014" priority="3453" operator="equal">
      <formula>"CUMPLE"</formula>
    </cfRule>
  </conditionalFormatting>
  <conditionalFormatting sqref="M64">
    <cfRule type="expression" dxfId="6013" priority="3444">
      <formula>L64="NO CUMPLE"</formula>
    </cfRule>
    <cfRule type="expression" dxfId="6012" priority="3445">
      <formula>L64="CUMPLE"</formula>
    </cfRule>
  </conditionalFormatting>
  <conditionalFormatting sqref="M63">
    <cfRule type="expression" dxfId="6011" priority="3448">
      <formula>L63="NO CUMPLE"</formula>
    </cfRule>
    <cfRule type="expression" dxfId="6010" priority="3449">
      <formula>L63="CUMPLE"</formula>
    </cfRule>
  </conditionalFormatting>
  <conditionalFormatting sqref="L63:L64">
    <cfRule type="cellIs" dxfId="6009" priority="3446" operator="equal">
      <formula>"NO CUMPLE"</formula>
    </cfRule>
    <cfRule type="cellIs" dxfId="6008" priority="3447" operator="equal">
      <formula>"CUMPLE"</formula>
    </cfRule>
  </conditionalFormatting>
  <conditionalFormatting sqref="M67">
    <cfRule type="expression" dxfId="6007" priority="3438">
      <formula>L67="NO CUMPLE"</formula>
    </cfRule>
    <cfRule type="expression" dxfId="6006" priority="3439">
      <formula>L67="CUMPLE"</formula>
    </cfRule>
  </conditionalFormatting>
  <conditionalFormatting sqref="M66">
    <cfRule type="expression" dxfId="6005" priority="3442">
      <formula>L66="NO CUMPLE"</formula>
    </cfRule>
    <cfRule type="expression" dxfId="6004" priority="3443">
      <formula>L66="CUMPLE"</formula>
    </cfRule>
  </conditionalFormatting>
  <conditionalFormatting sqref="L66:L67">
    <cfRule type="cellIs" dxfId="6003" priority="3440" operator="equal">
      <formula>"NO CUMPLE"</formula>
    </cfRule>
    <cfRule type="cellIs" dxfId="6002" priority="3441" operator="equal">
      <formula>"CUMPLE"</formula>
    </cfRule>
  </conditionalFormatting>
  <conditionalFormatting sqref="M70">
    <cfRule type="expression" dxfId="6001" priority="3432">
      <formula>L70="NO CUMPLE"</formula>
    </cfRule>
    <cfRule type="expression" dxfId="6000" priority="3433">
      <formula>L70="CUMPLE"</formula>
    </cfRule>
  </conditionalFormatting>
  <conditionalFormatting sqref="M69">
    <cfRule type="expression" dxfId="5999" priority="3436">
      <formula>L69="NO CUMPLE"</formula>
    </cfRule>
    <cfRule type="expression" dxfId="5998" priority="3437">
      <formula>L69="CUMPLE"</formula>
    </cfRule>
  </conditionalFormatting>
  <conditionalFormatting sqref="L69:L70">
    <cfRule type="cellIs" dxfId="5997" priority="3434" operator="equal">
      <formula>"NO CUMPLE"</formula>
    </cfRule>
    <cfRule type="cellIs" dxfId="5996" priority="3435" operator="equal">
      <formula>"CUMPLE"</formula>
    </cfRule>
  </conditionalFormatting>
  <conditionalFormatting sqref="M80">
    <cfRule type="expression" dxfId="5995" priority="3426">
      <formula>L80="NO CUMPLE"</formula>
    </cfRule>
    <cfRule type="expression" dxfId="5994" priority="3427">
      <formula>L80="CUMPLE"</formula>
    </cfRule>
  </conditionalFormatting>
  <conditionalFormatting sqref="M79">
    <cfRule type="expression" dxfId="5993" priority="3430">
      <formula>L79="NO CUMPLE"</formula>
    </cfRule>
    <cfRule type="expression" dxfId="5992" priority="3431">
      <formula>L79="CUMPLE"</formula>
    </cfRule>
  </conditionalFormatting>
  <conditionalFormatting sqref="L79:L80">
    <cfRule type="cellIs" dxfId="5991" priority="3428" operator="equal">
      <formula>"NO CUMPLE"</formula>
    </cfRule>
    <cfRule type="cellIs" dxfId="5990" priority="3429" operator="equal">
      <formula>"CUMPLE"</formula>
    </cfRule>
  </conditionalFormatting>
  <conditionalFormatting sqref="M83">
    <cfRule type="expression" dxfId="5989" priority="3420">
      <formula>L83="NO CUMPLE"</formula>
    </cfRule>
    <cfRule type="expression" dxfId="5988" priority="3421">
      <formula>L83="CUMPLE"</formula>
    </cfRule>
  </conditionalFormatting>
  <conditionalFormatting sqref="M82">
    <cfRule type="expression" dxfId="5987" priority="3424">
      <formula>L82="NO CUMPLE"</formula>
    </cfRule>
    <cfRule type="expression" dxfId="5986" priority="3425">
      <formula>L82="CUMPLE"</formula>
    </cfRule>
  </conditionalFormatting>
  <conditionalFormatting sqref="L82:L83">
    <cfRule type="cellIs" dxfId="5985" priority="3422" operator="equal">
      <formula>"NO CUMPLE"</formula>
    </cfRule>
    <cfRule type="cellIs" dxfId="5984" priority="3423" operator="equal">
      <formula>"CUMPLE"</formula>
    </cfRule>
  </conditionalFormatting>
  <conditionalFormatting sqref="M86">
    <cfRule type="expression" dxfId="5983" priority="3414">
      <formula>L86="NO CUMPLE"</formula>
    </cfRule>
    <cfRule type="expression" dxfId="5982" priority="3415">
      <formula>L86="CUMPLE"</formula>
    </cfRule>
  </conditionalFormatting>
  <conditionalFormatting sqref="M85">
    <cfRule type="expression" dxfId="5981" priority="3418">
      <formula>L85="NO CUMPLE"</formula>
    </cfRule>
    <cfRule type="expression" dxfId="5980" priority="3419">
      <formula>L85="CUMPLE"</formula>
    </cfRule>
  </conditionalFormatting>
  <conditionalFormatting sqref="L85:L86">
    <cfRule type="cellIs" dxfId="5979" priority="3416" operator="equal">
      <formula>"NO CUMPLE"</formula>
    </cfRule>
    <cfRule type="cellIs" dxfId="5978" priority="3417" operator="equal">
      <formula>"CUMPLE"</formula>
    </cfRule>
  </conditionalFormatting>
  <conditionalFormatting sqref="M89">
    <cfRule type="expression" dxfId="5977" priority="3408">
      <formula>L89="NO CUMPLE"</formula>
    </cfRule>
    <cfRule type="expression" dxfId="5976" priority="3409">
      <formula>L89="CUMPLE"</formula>
    </cfRule>
  </conditionalFormatting>
  <conditionalFormatting sqref="M88">
    <cfRule type="expression" dxfId="5975" priority="3412">
      <formula>L88="NO CUMPLE"</formula>
    </cfRule>
    <cfRule type="expression" dxfId="5974" priority="3413">
      <formula>L88="CUMPLE"</formula>
    </cfRule>
  </conditionalFormatting>
  <conditionalFormatting sqref="L88:L89">
    <cfRule type="cellIs" dxfId="5973" priority="3410" operator="equal">
      <formula>"NO CUMPLE"</formula>
    </cfRule>
    <cfRule type="cellIs" dxfId="5972" priority="3411" operator="equal">
      <formula>"CUMPLE"</formula>
    </cfRule>
  </conditionalFormatting>
  <conditionalFormatting sqref="M92">
    <cfRule type="expression" dxfId="5971" priority="3402">
      <formula>L92="NO CUMPLE"</formula>
    </cfRule>
    <cfRule type="expression" dxfId="5970" priority="3403">
      <formula>L92="CUMPLE"</formula>
    </cfRule>
  </conditionalFormatting>
  <conditionalFormatting sqref="M91">
    <cfRule type="expression" dxfId="5969" priority="3406">
      <formula>L91="NO CUMPLE"</formula>
    </cfRule>
    <cfRule type="expression" dxfId="5968" priority="3407">
      <formula>L91="CUMPLE"</formula>
    </cfRule>
  </conditionalFormatting>
  <conditionalFormatting sqref="L91:L92">
    <cfRule type="cellIs" dxfId="5967" priority="3404" operator="equal">
      <formula>"NO CUMPLE"</formula>
    </cfRule>
    <cfRule type="cellIs" dxfId="5966" priority="3405" operator="equal">
      <formula>"CUMPLE"</formula>
    </cfRule>
  </conditionalFormatting>
  <conditionalFormatting sqref="M102">
    <cfRule type="expression" dxfId="5965" priority="3396">
      <formula>L102="NO CUMPLE"</formula>
    </cfRule>
    <cfRule type="expression" dxfId="5964" priority="3397">
      <formula>L102="CUMPLE"</formula>
    </cfRule>
  </conditionalFormatting>
  <conditionalFormatting sqref="M101">
    <cfRule type="expression" dxfId="5963" priority="3400">
      <formula>L101="NO CUMPLE"</formula>
    </cfRule>
    <cfRule type="expression" dxfId="5962" priority="3401">
      <formula>L101="CUMPLE"</formula>
    </cfRule>
  </conditionalFormatting>
  <conditionalFormatting sqref="L101:L102">
    <cfRule type="cellIs" dxfId="5961" priority="3398" operator="equal">
      <formula>"NO CUMPLE"</formula>
    </cfRule>
    <cfRule type="cellIs" dxfId="5960" priority="3399" operator="equal">
      <formula>"CUMPLE"</formula>
    </cfRule>
  </conditionalFormatting>
  <conditionalFormatting sqref="M105">
    <cfRule type="expression" dxfId="5959" priority="3390">
      <formula>L105="NO CUMPLE"</formula>
    </cfRule>
    <cfRule type="expression" dxfId="5958" priority="3391">
      <formula>L105="CUMPLE"</formula>
    </cfRule>
  </conditionalFormatting>
  <conditionalFormatting sqref="M104">
    <cfRule type="expression" dxfId="5957" priority="3394">
      <formula>L104="NO CUMPLE"</formula>
    </cfRule>
    <cfRule type="expression" dxfId="5956" priority="3395">
      <formula>L104="CUMPLE"</formula>
    </cfRule>
  </conditionalFormatting>
  <conditionalFormatting sqref="L104:L105">
    <cfRule type="cellIs" dxfId="5955" priority="3392" operator="equal">
      <formula>"NO CUMPLE"</formula>
    </cfRule>
    <cfRule type="cellIs" dxfId="5954" priority="3393" operator="equal">
      <formula>"CUMPLE"</formula>
    </cfRule>
  </conditionalFormatting>
  <conditionalFormatting sqref="M108">
    <cfRule type="expression" dxfId="5953" priority="3384">
      <formula>L108="NO CUMPLE"</formula>
    </cfRule>
    <cfRule type="expression" dxfId="5952" priority="3385">
      <formula>L108="CUMPLE"</formula>
    </cfRule>
  </conditionalFormatting>
  <conditionalFormatting sqref="M107">
    <cfRule type="expression" dxfId="5951" priority="3388">
      <formula>L107="NO CUMPLE"</formula>
    </cfRule>
    <cfRule type="expression" dxfId="5950" priority="3389">
      <formula>L107="CUMPLE"</formula>
    </cfRule>
  </conditionalFormatting>
  <conditionalFormatting sqref="L107:L108">
    <cfRule type="cellIs" dxfId="5949" priority="3386" operator="equal">
      <formula>"NO CUMPLE"</formula>
    </cfRule>
    <cfRule type="cellIs" dxfId="5948" priority="3387" operator="equal">
      <formula>"CUMPLE"</formula>
    </cfRule>
  </conditionalFormatting>
  <conditionalFormatting sqref="M111">
    <cfRule type="expression" dxfId="5947" priority="3378">
      <formula>L111="NO CUMPLE"</formula>
    </cfRule>
    <cfRule type="expression" dxfId="5946" priority="3379">
      <formula>L111="CUMPLE"</formula>
    </cfRule>
  </conditionalFormatting>
  <conditionalFormatting sqref="M110">
    <cfRule type="expression" dxfId="5945" priority="3382">
      <formula>L110="NO CUMPLE"</formula>
    </cfRule>
    <cfRule type="expression" dxfId="5944" priority="3383">
      <formula>L110="CUMPLE"</formula>
    </cfRule>
  </conditionalFormatting>
  <conditionalFormatting sqref="L110:L111">
    <cfRule type="cellIs" dxfId="5943" priority="3380" operator="equal">
      <formula>"NO CUMPLE"</formula>
    </cfRule>
    <cfRule type="cellIs" dxfId="5942" priority="3381" operator="equal">
      <formula>"CUMPLE"</formula>
    </cfRule>
  </conditionalFormatting>
  <conditionalFormatting sqref="M123">
    <cfRule type="expression" dxfId="5941" priority="3370">
      <formula>L123="NO CUMPLE"</formula>
    </cfRule>
    <cfRule type="expression" dxfId="5940" priority="3371">
      <formula>L123="CUMPLE"</formula>
    </cfRule>
  </conditionalFormatting>
  <conditionalFormatting sqref="M157">
    <cfRule type="expression" dxfId="5939" priority="3316">
      <formula>L157="NO CUMPLE"</formula>
    </cfRule>
    <cfRule type="expression" dxfId="5938" priority="3317">
      <formula>L157="CUMPLE"</formula>
    </cfRule>
  </conditionalFormatting>
  <conditionalFormatting sqref="M158">
    <cfRule type="expression" dxfId="5937" priority="3312">
      <formula>L158="NO CUMPLE"</formula>
    </cfRule>
    <cfRule type="expression" dxfId="5936" priority="3313">
      <formula>L158="CUMPLE"</formula>
    </cfRule>
  </conditionalFormatting>
  <conditionalFormatting sqref="L157:L158">
    <cfRule type="cellIs" dxfId="5935" priority="3314" operator="equal">
      <formula>"NO CUMPLE"</formula>
    </cfRule>
    <cfRule type="cellIs" dxfId="5934" priority="3315" operator="equal">
      <formula>"CUMPLE"</formula>
    </cfRule>
  </conditionalFormatting>
  <conditionalFormatting sqref="M168">
    <cfRule type="expression" dxfId="5933" priority="3306">
      <formula>L168="NO CUMPLE"</formula>
    </cfRule>
    <cfRule type="expression" dxfId="5932" priority="3307">
      <formula>L168="CUMPLE"</formula>
    </cfRule>
  </conditionalFormatting>
  <conditionalFormatting sqref="M167">
    <cfRule type="expression" dxfId="5931" priority="3310">
      <formula>L167="NO CUMPLE"</formula>
    </cfRule>
    <cfRule type="expression" dxfId="5930" priority="3311">
      <formula>L167="CUMPLE"</formula>
    </cfRule>
  </conditionalFormatting>
  <conditionalFormatting sqref="L167:L168">
    <cfRule type="cellIs" dxfId="5929" priority="3308" operator="equal">
      <formula>"NO CUMPLE"</formula>
    </cfRule>
    <cfRule type="cellIs" dxfId="5928" priority="3309" operator="equal">
      <formula>"CUMPLE"</formula>
    </cfRule>
  </conditionalFormatting>
  <conditionalFormatting sqref="M171">
    <cfRule type="expression" dxfId="5927" priority="3300">
      <formula>L171="NO CUMPLE"</formula>
    </cfRule>
    <cfRule type="expression" dxfId="5926" priority="3301">
      <formula>L171="CUMPLE"</formula>
    </cfRule>
  </conditionalFormatting>
  <conditionalFormatting sqref="M170">
    <cfRule type="expression" dxfId="5925" priority="3304">
      <formula>L170="NO CUMPLE"</formula>
    </cfRule>
    <cfRule type="expression" dxfId="5924" priority="3305">
      <formula>L170="CUMPLE"</formula>
    </cfRule>
  </conditionalFormatting>
  <conditionalFormatting sqref="L170:L171">
    <cfRule type="cellIs" dxfId="5923" priority="3302" operator="equal">
      <formula>"NO CUMPLE"</formula>
    </cfRule>
    <cfRule type="cellIs" dxfId="5922" priority="3303" operator="equal">
      <formula>"CUMPLE"</formula>
    </cfRule>
  </conditionalFormatting>
  <conditionalFormatting sqref="M174">
    <cfRule type="expression" dxfId="5921" priority="3294">
      <formula>L174="NO CUMPLE"</formula>
    </cfRule>
    <cfRule type="expression" dxfId="5920" priority="3295">
      <formula>L174="CUMPLE"</formula>
    </cfRule>
  </conditionalFormatting>
  <conditionalFormatting sqref="M173">
    <cfRule type="expression" dxfId="5919" priority="3298">
      <formula>L173="NO CUMPLE"</formula>
    </cfRule>
    <cfRule type="expression" dxfId="5918" priority="3299">
      <formula>L173="CUMPLE"</formula>
    </cfRule>
  </conditionalFormatting>
  <conditionalFormatting sqref="L173:L174">
    <cfRule type="cellIs" dxfId="5917" priority="3296" operator="equal">
      <formula>"NO CUMPLE"</formula>
    </cfRule>
    <cfRule type="cellIs" dxfId="5916" priority="3297" operator="equal">
      <formula>"CUMPLE"</formula>
    </cfRule>
  </conditionalFormatting>
  <conditionalFormatting sqref="M177">
    <cfRule type="expression" dxfId="5915" priority="3288">
      <formula>L177="NO CUMPLE"</formula>
    </cfRule>
    <cfRule type="expression" dxfId="5914" priority="3289">
      <formula>L177="CUMPLE"</formula>
    </cfRule>
  </conditionalFormatting>
  <conditionalFormatting sqref="M176">
    <cfRule type="expression" dxfId="5913" priority="3292">
      <formula>L176="NO CUMPLE"</formula>
    </cfRule>
    <cfRule type="expression" dxfId="5912" priority="3293">
      <formula>L176="CUMPLE"</formula>
    </cfRule>
  </conditionalFormatting>
  <conditionalFormatting sqref="L176:L177">
    <cfRule type="cellIs" dxfId="5911" priority="3290" operator="equal">
      <formula>"NO CUMPLE"</formula>
    </cfRule>
    <cfRule type="cellIs" dxfId="5910" priority="3291" operator="equal">
      <formula>"CUMPLE"</formula>
    </cfRule>
  </conditionalFormatting>
  <conditionalFormatting sqref="M180">
    <cfRule type="expression" dxfId="5909" priority="3282">
      <formula>L180="NO CUMPLE"</formula>
    </cfRule>
    <cfRule type="expression" dxfId="5908" priority="3283">
      <formula>L180="CUMPLE"</formula>
    </cfRule>
  </conditionalFormatting>
  <conditionalFormatting sqref="M179">
    <cfRule type="expression" dxfId="5907" priority="3286">
      <formula>L179="NO CUMPLE"</formula>
    </cfRule>
    <cfRule type="expression" dxfId="5906" priority="3287">
      <formula>L179="CUMPLE"</formula>
    </cfRule>
  </conditionalFormatting>
  <conditionalFormatting sqref="L179:L180">
    <cfRule type="cellIs" dxfId="5905" priority="3284" operator="equal">
      <formula>"NO CUMPLE"</formula>
    </cfRule>
    <cfRule type="cellIs" dxfId="5904" priority="3285" operator="equal">
      <formula>"CUMPLE"</formula>
    </cfRule>
  </conditionalFormatting>
  <conditionalFormatting sqref="M190">
    <cfRule type="expression" dxfId="5903" priority="3276">
      <formula>L190="NO CUMPLE"</formula>
    </cfRule>
    <cfRule type="expression" dxfId="5902" priority="3277">
      <formula>L190="CUMPLE"</formula>
    </cfRule>
  </conditionalFormatting>
  <conditionalFormatting sqref="M189">
    <cfRule type="expression" dxfId="5901" priority="3280">
      <formula>L189="NO CUMPLE"</formula>
    </cfRule>
    <cfRule type="expression" dxfId="5900" priority="3281">
      <formula>L189="CUMPLE"</formula>
    </cfRule>
  </conditionalFormatting>
  <conditionalFormatting sqref="L189:L190">
    <cfRule type="cellIs" dxfId="5899" priority="3278" operator="equal">
      <formula>"NO CUMPLE"</formula>
    </cfRule>
    <cfRule type="cellIs" dxfId="5898" priority="3279" operator="equal">
      <formula>"CUMPLE"</formula>
    </cfRule>
  </conditionalFormatting>
  <conditionalFormatting sqref="M196">
    <cfRule type="expression" dxfId="5897" priority="3264">
      <formula>L196="NO CUMPLE"</formula>
    </cfRule>
    <cfRule type="expression" dxfId="5896" priority="3265">
      <formula>L196="CUMPLE"</formula>
    </cfRule>
  </conditionalFormatting>
  <conditionalFormatting sqref="M195">
    <cfRule type="expression" dxfId="5895" priority="3268">
      <formula>L195="NO CUMPLE"</formula>
    </cfRule>
    <cfRule type="expression" dxfId="5894" priority="3269">
      <formula>L195="CUMPLE"</formula>
    </cfRule>
  </conditionalFormatting>
  <conditionalFormatting sqref="L195:L196">
    <cfRule type="cellIs" dxfId="5893" priority="3266" operator="equal">
      <formula>"NO CUMPLE"</formula>
    </cfRule>
    <cfRule type="cellIs" dxfId="5892" priority="3267" operator="equal">
      <formula>"CUMPLE"</formula>
    </cfRule>
  </conditionalFormatting>
  <conditionalFormatting sqref="L44:L45">
    <cfRule type="cellIs" dxfId="5891" priority="3234" operator="equal">
      <formula>"NO CUMPLE"</formula>
    </cfRule>
    <cfRule type="cellIs" dxfId="5890" priority="3235" operator="equal">
      <formula>"CUMPLE"</formula>
    </cfRule>
  </conditionalFormatting>
  <conditionalFormatting sqref="M202">
    <cfRule type="expression" dxfId="5889" priority="3252">
      <formula>L202="NO CUMPLE"</formula>
    </cfRule>
    <cfRule type="expression" dxfId="5888" priority="3253">
      <formula>L202="CUMPLE"</formula>
    </cfRule>
  </conditionalFormatting>
  <conditionalFormatting sqref="M201">
    <cfRule type="expression" dxfId="5887" priority="3256">
      <formula>L201="NO CUMPLE"</formula>
    </cfRule>
    <cfRule type="expression" dxfId="5886" priority="3257">
      <formula>L201="CUMPLE"</formula>
    </cfRule>
  </conditionalFormatting>
  <conditionalFormatting sqref="L201:L202">
    <cfRule type="cellIs" dxfId="5885" priority="3254" operator="equal">
      <formula>"NO CUMPLE"</formula>
    </cfRule>
    <cfRule type="cellIs" dxfId="5884" priority="3255" operator="equal">
      <formula>"CUMPLE"</formula>
    </cfRule>
  </conditionalFormatting>
  <conditionalFormatting sqref="S13">
    <cfRule type="cellIs" dxfId="5883" priority="3250" operator="greaterThan">
      <formula>0</formula>
    </cfRule>
    <cfRule type="top10" dxfId="5882" priority="3251" rank="10"/>
  </conditionalFormatting>
  <conditionalFormatting sqref="L41:L42">
    <cfRule type="cellIs" dxfId="5881" priority="3240" operator="equal">
      <formula>"NO CUMPLE"</formula>
    </cfRule>
    <cfRule type="cellIs" dxfId="5880" priority="3241" operator="equal">
      <formula>"CUMPLE"</formula>
    </cfRule>
  </conditionalFormatting>
  <conditionalFormatting sqref="L47:L48">
    <cfRule type="cellIs" dxfId="5879" priority="3228" operator="equal">
      <formula>"NO CUMPLE"</formula>
    </cfRule>
    <cfRule type="cellIs" dxfId="5878" priority="3229" operator="equal">
      <formula>"CUMPLE"</formula>
    </cfRule>
  </conditionalFormatting>
  <conditionalFormatting sqref="M20 M23 M26">
    <cfRule type="expression" dxfId="5877" priority="3222">
      <formula>L20="NO CUMPLE"</formula>
    </cfRule>
    <cfRule type="expression" dxfId="5876" priority="3223">
      <formula>L20="CUMPLE"</formula>
    </cfRule>
  </conditionalFormatting>
  <conditionalFormatting sqref="M19 M22 M25">
    <cfRule type="expression" dxfId="5875" priority="3224">
      <formula>L19="NO CUMPLE"</formula>
    </cfRule>
    <cfRule type="expression" dxfId="5874" priority="3225">
      <formula>L19="CUMPLE"</formula>
    </cfRule>
  </conditionalFormatting>
  <conditionalFormatting sqref="Q16">
    <cfRule type="containsBlanks" dxfId="5873" priority="3213">
      <formula>LEN(TRIM(Q16))=0</formula>
    </cfRule>
    <cfRule type="cellIs" dxfId="5872" priority="3218" operator="equal">
      <formula>"REQUERIMIENTOS SUBSANADOS"</formula>
    </cfRule>
    <cfRule type="containsText" dxfId="5871" priority="3219" operator="containsText" text="NO SUBSANABLE">
      <formula>NOT(ISERROR(SEARCH("NO SUBSANABLE",Q16)))</formula>
    </cfRule>
    <cfRule type="containsText" dxfId="5870" priority="3220" operator="containsText" text="PENDIENTES POR SUBSANAR">
      <formula>NOT(ISERROR(SEARCH("PENDIENTES POR SUBSANAR",Q16)))</formula>
    </cfRule>
    <cfRule type="containsText" dxfId="5869" priority="3221" operator="containsText" text="SIN OBSERVACIÓN">
      <formula>NOT(ISERROR(SEARCH("SIN OBSERVACIÓN",Q16)))</formula>
    </cfRule>
  </conditionalFormatting>
  <conditionalFormatting sqref="R16">
    <cfRule type="containsBlanks" dxfId="5868" priority="3212">
      <formula>LEN(TRIM(R16))=0</formula>
    </cfRule>
    <cfRule type="cellIs" dxfId="5867" priority="3214" operator="equal">
      <formula>"NO CUMPLEN CON LO SOLICITADO"</formula>
    </cfRule>
    <cfRule type="cellIs" dxfId="5866" priority="3215" operator="equal">
      <formula>"CUMPLEN CON LO SOLICITADO"</formula>
    </cfRule>
    <cfRule type="cellIs" dxfId="5865" priority="3216" operator="equal">
      <formula>"PENDIENTES"</formula>
    </cfRule>
    <cfRule type="cellIs" dxfId="5864" priority="3217" operator="equal">
      <formula>"NINGUNO"</formula>
    </cfRule>
  </conditionalFormatting>
  <conditionalFormatting sqref="N41">
    <cfRule type="expression" dxfId="5863" priority="3183">
      <formula>N41=" "</formula>
    </cfRule>
    <cfRule type="expression" dxfId="5862" priority="3184">
      <formula>N41="NO PRESENTÓ CERTIFICADO"</formula>
    </cfRule>
    <cfRule type="expression" dxfId="5861" priority="3185">
      <formula>N41="PRESENTÓ CERTIFICADO"</formula>
    </cfRule>
  </conditionalFormatting>
  <conditionalFormatting sqref="Q41">
    <cfRule type="containsBlanks" dxfId="5860" priority="3170">
      <formula>LEN(TRIM(Q41))=0</formula>
    </cfRule>
    <cfRule type="cellIs" dxfId="5859" priority="3176" operator="equal">
      <formula>"REQUERIMIENTOS SUBSANADOS"</formula>
    </cfRule>
    <cfRule type="containsText" dxfId="5858" priority="3180" operator="containsText" text="NO SUBSANABLE">
      <formula>NOT(ISERROR(SEARCH("NO SUBSANABLE",Q41)))</formula>
    </cfRule>
    <cfRule type="containsText" dxfId="5857" priority="3181" operator="containsText" text="PENDIENTES POR SUBSANAR">
      <formula>NOT(ISERROR(SEARCH("PENDIENTES POR SUBSANAR",Q41)))</formula>
    </cfRule>
    <cfRule type="containsText" dxfId="5856" priority="3182" operator="containsText" text="SIN OBSERVACIÓN">
      <formula>NOT(ISERROR(SEARCH("SIN OBSERVACIÓN",Q41)))</formula>
    </cfRule>
  </conditionalFormatting>
  <conditionalFormatting sqref="R41">
    <cfRule type="containsBlanks" dxfId="5855" priority="3169">
      <formula>LEN(TRIM(R41))=0</formula>
    </cfRule>
    <cfRule type="cellIs" dxfId="5854" priority="3171" operator="equal">
      <formula>"NO CUMPLEN CON LO SOLICITADO"</formula>
    </cfRule>
    <cfRule type="cellIs" dxfId="5853" priority="3172" operator="equal">
      <formula>"CUMPLEN CON LO SOLICITADO"</formula>
    </cfRule>
    <cfRule type="cellIs" dxfId="5852" priority="3173" operator="equal">
      <formula>"PENDIENTES"</formula>
    </cfRule>
    <cfRule type="cellIs" dxfId="5851" priority="3174" operator="equal">
      <formula>"NINGUNO"</formula>
    </cfRule>
  </conditionalFormatting>
  <conditionalFormatting sqref="P41">
    <cfRule type="expression" dxfId="5850" priority="3160">
      <formula>Q41="NO SUBSANABLE"</formula>
    </cfRule>
    <cfRule type="expression" dxfId="5849" priority="3161">
      <formula>Q41="REQUERIMIENTOS SUBSANADOS"</formula>
    </cfRule>
    <cfRule type="expression" dxfId="5848" priority="3162">
      <formula>Q41="PENDIENTES POR SUBSANAR"</formula>
    </cfRule>
    <cfRule type="expression" dxfId="5847" priority="3163">
      <formula>Q41="SIN OBSERVACIÓN"</formula>
    </cfRule>
    <cfRule type="containsBlanks" dxfId="5846" priority="3164">
      <formula>LEN(TRIM(P41))=0</formula>
    </cfRule>
  </conditionalFormatting>
  <conditionalFormatting sqref="N44">
    <cfRule type="expression" dxfId="5845" priority="3157">
      <formula>N44=" "</formula>
    </cfRule>
    <cfRule type="expression" dxfId="5844" priority="3158">
      <formula>N44="NO PRESENTÓ CERTIFICADO"</formula>
    </cfRule>
    <cfRule type="expression" dxfId="5843" priority="3159">
      <formula>N44="PRESENTÓ CERTIFICADO"</formula>
    </cfRule>
  </conditionalFormatting>
  <conditionalFormatting sqref="Q44">
    <cfRule type="containsBlanks" dxfId="5842" priority="3144">
      <formula>LEN(TRIM(Q44))=0</formula>
    </cfRule>
    <cfRule type="cellIs" dxfId="5841" priority="3150" operator="equal">
      <formula>"REQUERIMIENTOS SUBSANADOS"</formula>
    </cfRule>
    <cfRule type="containsText" dxfId="5840" priority="3154" operator="containsText" text="NO SUBSANABLE">
      <formula>NOT(ISERROR(SEARCH("NO SUBSANABLE",Q44)))</formula>
    </cfRule>
    <cfRule type="containsText" dxfId="5839" priority="3155" operator="containsText" text="PENDIENTES POR SUBSANAR">
      <formula>NOT(ISERROR(SEARCH("PENDIENTES POR SUBSANAR",Q44)))</formula>
    </cfRule>
    <cfRule type="containsText" dxfId="5838" priority="3156" operator="containsText" text="SIN OBSERVACIÓN">
      <formula>NOT(ISERROR(SEARCH("SIN OBSERVACIÓN",Q44)))</formula>
    </cfRule>
  </conditionalFormatting>
  <conditionalFormatting sqref="R44">
    <cfRule type="containsBlanks" dxfId="5837" priority="3143">
      <formula>LEN(TRIM(R44))=0</formula>
    </cfRule>
    <cfRule type="cellIs" dxfId="5836" priority="3145" operator="equal">
      <formula>"NO CUMPLEN CON LO SOLICITADO"</formula>
    </cfRule>
    <cfRule type="cellIs" dxfId="5835" priority="3146" operator="equal">
      <formula>"CUMPLEN CON LO SOLICITADO"</formula>
    </cfRule>
    <cfRule type="cellIs" dxfId="5834" priority="3147" operator="equal">
      <formula>"PENDIENTES"</formula>
    </cfRule>
    <cfRule type="cellIs" dxfId="5833" priority="3148" operator="equal">
      <formula>"NINGUNO"</formula>
    </cfRule>
  </conditionalFormatting>
  <conditionalFormatting sqref="P44">
    <cfRule type="expression" dxfId="5832" priority="3134">
      <formula>Q44="NO SUBSANABLE"</formula>
    </cfRule>
    <cfRule type="expression" dxfId="5831" priority="3135">
      <formula>Q44="REQUERIMIENTOS SUBSANADOS"</formula>
    </cfRule>
    <cfRule type="expression" dxfId="5830" priority="3136">
      <formula>Q44="PENDIENTES POR SUBSANAR"</formula>
    </cfRule>
    <cfRule type="expression" dxfId="5829" priority="3137">
      <formula>Q44="SIN OBSERVACIÓN"</formula>
    </cfRule>
    <cfRule type="containsBlanks" dxfId="5828" priority="3138">
      <formula>LEN(TRIM(P44))=0</formula>
    </cfRule>
  </conditionalFormatting>
  <conditionalFormatting sqref="N47">
    <cfRule type="expression" dxfId="5827" priority="3131">
      <formula>N47=" "</formula>
    </cfRule>
    <cfRule type="expression" dxfId="5826" priority="3132">
      <formula>N47="NO PRESENTÓ CERTIFICADO"</formula>
    </cfRule>
    <cfRule type="expression" dxfId="5825" priority="3133">
      <formula>N47="PRESENTÓ CERTIFICADO"</formula>
    </cfRule>
  </conditionalFormatting>
  <conditionalFormatting sqref="Q47">
    <cfRule type="containsBlanks" dxfId="5824" priority="3118">
      <formula>LEN(TRIM(Q47))=0</formula>
    </cfRule>
    <cfRule type="cellIs" dxfId="5823" priority="3124" operator="equal">
      <formula>"REQUERIMIENTOS SUBSANADOS"</formula>
    </cfRule>
    <cfRule type="containsText" dxfId="5822" priority="3128" operator="containsText" text="NO SUBSANABLE">
      <formula>NOT(ISERROR(SEARCH("NO SUBSANABLE",Q47)))</formula>
    </cfRule>
    <cfRule type="containsText" dxfId="5821" priority="3129" operator="containsText" text="PENDIENTES POR SUBSANAR">
      <formula>NOT(ISERROR(SEARCH("PENDIENTES POR SUBSANAR",Q47)))</formula>
    </cfRule>
    <cfRule type="containsText" dxfId="5820" priority="3130" operator="containsText" text="SIN OBSERVACIÓN">
      <formula>NOT(ISERROR(SEARCH("SIN OBSERVACIÓN",Q47)))</formula>
    </cfRule>
  </conditionalFormatting>
  <conditionalFormatting sqref="R47">
    <cfRule type="containsBlanks" dxfId="5819" priority="3117">
      <formula>LEN(TRIM(R47))=0</formula>
    </cfRule>
    <cfRule type="cellIs" dxfId="5818" priority="3119" operator="equal">
      <formula>"NO CUMPLEN CON LO SOLICITADO"</formula>
    </cfRule>
    <cfRule type="cellIs" dxfId="5817" priority="3120" operator="equal">
      <formula>"CUMPLEN CON LO SOLICITADO"</formula>
    </cfRule>
    <cfRule type="cellIs" dxfId="5816" priority="3121" operator="equal">
      <formula>"PENDIENTES"</formula>
    </cfRule>
    <cfRule type="cellIs" dxfId="5815" priority="3122" operator="equal">
      <formula>"NINGUNO"</formula>
    </cfRule>
  </conditionalFormatting>
  <conditionalFormatting sqref="P47">
    <cfRule type="expression" dxfId="5814" priority="3108">
      <formula>Q47="NO SUBSANABLE"</formula>
    </cfRule>
    <cfRule type="expression" dxfId="5813" priority="3109">
      <formula>Q47="REQUERIMIENTOS SUBSANADOS"</formula>
    </cfRule>
    <cfRule type="expression" dxfId="5812" priority="3110">
      <formula>Q47="PENDIENTES POR SUBSANAR"</formula>
    </cfRule>
    <cfRule type="expression" dxfId="5811" priority="3111">
      <formula>Q47="SIN OBSERVACIÓN"</formula>
    </cfRule>
    <cfRule type="containsBlanks" dxfId="5810" priority="3112">
      <formula>LEN(TRIM(P47))=0</formula>
    </cfRule>
  </conditionalFormatting>
  <conditionalFormatting sqref="N88">
    <cfRule type="expression" dxfId="5809" priority="2975">
      <formula>N88=" "</formula>
    </cfRule>
    <cfRule type="expression" dxfId="5808" priority="2976">
      <formula>N88="NO PRESENTÓ CERTIFICADO"</formula>
    </cfRule>
    <cfRule type="expression" dxfId="5807" priority="2977">
      <formula>N88="PRESENTÓ CERTIFICADO"</formula>
    </cfRule>
  </conditionalFormatting>
  <conditionalFormatting sqref="Q88">
    <cfRule type="containsBlanks" dxfId="5806" priority="2962">
      <formula>LEN(TRIM(Q88))=0</formula>
    </cfRule>
    <cfRule type="cellIs" dxfId="5805" priority="2968" operator="equal">
      <formula>"REQUERIMIENTOS SUBSANADOS"</formula>
    </cfRule>
    <cfRule type="containsText" dxfId="5804" priority="2972" operator="containsText" text="NO SUBSANABLE">
      <formula>NOT(ISERROR(SEARCH("NO SUBSANABLE",Q88)))</formula>
    </cfRule>
    <cfRule type="containsText" dxfId="5803" priority="2973" operator="containsText" text="PENDIENTES POR SUBSANAR">
      <formula>NOT(ISERROR(SEARCH("PENDIENTES POR SUBSANAR",Q88)))</formula>
    </cfRule>
    <cfRule type="containsText" dxfId="5802" priority="2974" operator="containsText" text="SIN OBSERVACIÓN">
      <formula>NOT(ISERROR(SEARCH("SIN OBSERVACIÓN",Q88)))</formula>
    </cfRule>
  </conditionalFormatting>
  <conditionalFormatting sqref="R88">
    <cfRule type="containsBlanks" dxfId="5801" priority="2961">
      <formula>LEN(TRIM(R88))=0</formula>
    </cfRule>
    <cfRule type="cellIs" dxfId="5800" priority="2963" operator="equal">
      <formula>"NO CUMPLEN CON LO SOLICITADO"</formula>
    </cfRule>
    <cfRule type="cellIs" dxfId="5799" priority="2964" operator="equal">
      <formula>"CUMPLEN CON LO SOLICITADO"</formula>
    </cfRule>
    <cfRule type="cellIs" dxfId="5798" priority="2965" operator="equal">
      <formula>"PENDIENTES"</formula>
    </cfRule>
    <cfRule type="cellIs" dxfId="5797" priority="2966" operator="equal">
      <formula>"NINGUNO"</formula>
    </cfRule>
  </conditionalFormatting>
  <conditionalFormatting sqref="P88">
    <cfRule type="expression" dxfId="5796" priority="2952">
      <formula>Q88="NO SUBSANABLE"</formula>
    </cfRule>
    <cfRule type="expression" dxfId="5795" priority="2953">
      <formula>Q88="REQUERIMIENTOS SUBSANADOS"</formula>
    </cfRule>
    <cfRule type="expression" dxfId="5794" priority="2954">
      <formula>Q88="PENDIENTES POR SUBSANAR"</formula>
    </cfRule>
    <cfRule type="expression" dxfId="5793" priority="2955">
      <formula>Q88="SIN OBSERVACIÓN"</formula>
    </cfRule>
    <cfRule type="containsBlanks" dxfId="5792" priority="2956">
      <formula>LEN(TRIM(P88))=0</formula>
    </cfRule>
  </conditionalFormatting>
  <conditionalFormatting sqref="N91">
    <cfRule type="expression" dxfId="5791" priority="2949">
      <formula>N91=" "</formula>
    </cfRule>
    <cfRule type="expression" dxfId="5790" priority="2950">
      <formula>N91="NO PRESENTÓ CERTIFICADO"</formula>
    </cfRule>
    <cfRule type="expression" dxfId="5789" priority="2951">
      <formula>N91="PRESENTÓ CERTIFICADO"</formula>
    </cfRule>
  </conditionalFormatting>
  <conditionalFormatting sqref="Q91">
    <cfRule type="containsBlanks" dxfId="5788" priority="2936">
      <formula>LEN(TRIM(Q91))=0</formula>
    </cfRule>
    <cfRule type="cellIs" dxfId="5787" priority="2942" operator="equal">
      <formula>"REQUERIMIENTOS SUBSANADOS"</formula>
    </cfRule>
    <cfRule type="containsText" dxfId="5786" priority="2946" operator="containsText" text="NO SUBSANABLE">
      <formula>NOT(ISERROR(SEARCH("NO SUBSANABLE",Q91)))</formula>
    </cfRule>
    <cfRule type="containsText" dxfId="5785" priority="2947" operator="containsText" text="PENDIENTES POR SUBSANAR">
      <formula>NOT(ISERROR(SEARCH("PENDIENTES POR SUBSANAR",Q91)))</formula>
    </cfRule>
    <cfRule type="containsText" dxfId="5784" priority="2948" operator="containsText" text="SIN OBSERVACIÓN">
      <formula>NOT(ISERROR(SEARCH("SIN OBSERVACIÓN",Q91)))</formula>
    </cfRule>
  </conditionalFormatting>
  <conditionalFormatting sqref="R91">
    <cfRule type="containsBlanks" dxfId="5783" priority="2935">
      <formula>LEN(TRIM(R91))=0</formula>
    </cfRule>
    <cfRule type="cellIs" dxfId="5782" priority="2937" operator="equal">
      <formula>"NO CUMPLEN CON LO SOLICITADO"</formula>
    </cfRule>
    <cfRule type="cellIs" dxfId="5781" priority="2938" operator="equal">
      <formula>"CUMPLEN CON LO SOLICITADO"</formula>
    </cfRule>
    <cfRule type="cellIs" dxfId="5780" priority="2939" operator="equal">
      <formula>"PENDIENTES"</formula>
    </cfRule>
    <cfRule type="cellIs" dxfId="5779" priority="2940" operator="equal">
      <formula>"NINGUNO"</formula>
    </cfRule>
  </conditionalFormatting>
  <conditionalFormatting sqref="P91">
    <cfRule type="expression" dxfId="5778" priority="2926">
      <formula>Q91="NO SUBSANABLE"</formula>
    </cfRule>
    <cfRule type="expression" dxfId="5777" priority="2927">
      <formula>Q91="REQUERIMIENTOS SUBSANADOS"</formula>
    </cfRule>
    <cfRule type="expression" dxfId="5776" priority="2928">
      <formula>Q91="PENDIENTES POR SUBSANAR"</formula>
    </cfRule>
    <cfRule type="expression" dxfId="5775" priority="2929">
      <formula>Q91="SIN OBSERVACIÓN"</formula>
    </cfRule>
    <cfRule type="containsBlanks" dxfId="5774" priority="2930">
      <formula>LEN(TRIM(P91))=0</formula>
    </cfRule>
  </conditionalFormatting>
  <conditionalFormatting sqref="P107">
    <cfRule type="expression" dxfId="5773" priority="2848">
      <formula>Q107="NO SUBSANABLE"</formula>
    </cfRule>
    <cfRule type="expression" dxfId="5772" priority="2849">
      <formula>Q107="REQUERIMIENTOS SUBSANADOS"</formula>
    </cfRule>
    <cfRule type="expression" dxfId="5771" priority="2850">
      <formula>Q107="PENDIENTES POR SUBSANAR"</formula>
    </cfRule>
    <cfRule type="expression" dxfId="5770" priority="2851">
      <formula>Q107="SIN OBSERVACIÓN"</formula>
    </cfRule>
    <cfRule type="containsBlanks" dxfId="5769" priority="2852">
      <formula>LEN(TRIM(P107))=0</formula>
    </cfRule>
  </conditionalFormatting>
  <conditionalFormatting sqref="N135">
    <cfRule type="expression" dxfId="5768" priority="2787">
      <formula>N135=" "</formula>
    </cfRule>
    <cfRule type="expression" dxfId="5767" priority="2788">
      <formula>N135="NO PRESENTÓ CERTIFICADO"</formula>
    </cfRule>
    <cfRule type="expression" dxfId="5766" priority="2789">
      <formula>N135="PRESENTÓ CERTIFICADO"</formula>
    </cfRule>
  </conditionalFormatting>
  <conditionalFormatting sqref="O135">
    <cfRule type="cellIs" dxfId="5765" priority="2769" operator="equal">
      <formula>"PENDIENTE POR DESCRIPCIÓN"</formula>
    </cfRule>
    <cfRule type="cellIs" dxfId="5764" priority="2770" operator="equal">
      <formula>"DESCRIPCIÓN INSUFICIENTE"</formula>
    </cfRule>
    <cfRule type="cellIs" dxfId="5763" priority="2771" operator="equal">
      <formula>"NO ESTÁ ACORDE A ITEM 5.2.2 (T.R.)"</formula>
    </cfRule>
    <cfRule type="cellIs" dxfId="5762" priority="2772" operator="equal">
      <formula>"ACORDE A ITEM 5.2.2 (T.R.)"</formula>
    </cfRule>
    <cfRule type="cellIs" dxfId="5761" priority="2779" operator="equal">
      <formula>"PENDIENTE POR DESCRIPCIÓN"</formula>
    </cfRule>
    <cfRule type="cellIs" dxfId="5760" priority="2781" operator="equal">
      <formula>"DESCRIPCIÓN INSUFICIENTE"</formula>
    </cfRule>
    <cfRule type="cellIs" dxfId="5759" priority="2782" operator="equal">
      <formula>"NO ESTÁ ACORDE A ITEM 5.2.1 (T.R.)"</formula>
    </cfRule>
    <cfRule type="cellIs" dxfId="5758" priority="2783" operator="equal">
      <formula>"ACORDE A ITEM 5.2.1 (T.R.)"</formula>
    </cfRule>
  </conditionalFormatting>
  <conditionalFormatting sqref="Q135">
    <cfRule type="containsBlanks" dxfId="5757" priority="2774">
      <formula>LEN(TRIM(Q135))=0</formula>
    </cfRule>
    <cfRule type="cellIs" dxfId="5756" priority="2780" operator="equal">
      <formula>"REQUERIMIENTOS SUBSANADOS"</formula>
    </cfRule>
    <cfRule type="containsText" dxfId="5755" priority="2784" operator="containsText" text="NO SUBSANABLE">
      <formula>NOT(ISERROR(SEARCH("NO SUBSANABLE",Q135)))</formula>
    </cfRule>
    <cfRule type="containsText" dxfId="5754" priority="2785" operator="containsText" text="PENDIENTES POR SUBSANAR">
      <formula>NOT(ISERROR(SEARCH("PENDIENTES POR SUBSANAR",Q135)))</formula>
    </cfRule>
    <cfRule type="containsText" dxfId="5753" priority="2786" operator="containsText" text="SIN OBSERVACIÓN">
      <formula>NOT(ISERROR(SEARCH("SIN OBSERVACIÓN",Q135)))</formula>
    </cfRule>
  </conditionalFormatting>
  <conditionalFormatting sqref="R135">
    <cfRule type="containsBlanks" dxfId="5752" priority="2773">
      <formula>LEN(TRIM(R135))=0</formula>
    </cfRule>
    <cfRule type="cellIs" dxfId="5751" priority="2775" operator="equal">
      <formula>"NO CUMPLEN CON LO SOLICITADO"</formula>
    </cfRule>
    <cfRule type="cellIs" dxfId="5750" priority="2776" operator="equal">
      <formula>"CUMPLEN CON LO SOLICITADO"</formula>
    </cfRule>
    <cfRule type="cellIs" dxfId="5749" priority="2777" operator="equal">
      <formula>"PENDIENTES"</formula>
    </cfRule>
    <cfRule type="cellIs" dxfId="5748" priority="2778" operator="equal">
      <formula>"NINGUNO"</formula>
    </cfRule>
  </conditionalFormatting>
  <conditionalFormatting sqref="P135">
    <cfRule type="expression" dxfId="5747" priority="2764">
      <formula>Q135="NO SUBSANABLE"</formula>
    </cfRule>
    <cfRule type="expression" dxfId="5746" priority="2765">
      <formula>Q135="REQUERIMIENTOS SUBSANADOS"</formula>
    </cfRule>
    <cfRule type="expression" dxfId="5745" priority="2766">
      <formula>Q135="PENDIENTES POR SUBSANAR"</formula>
    </cfRule>
    <cfRule type="expression" dxfId="5744" priority="2767">
      <formula>Q135="SIN OBSERVACIÓN"</formula>
    </cfRule>
    <cfRule type="containsBlanks" dxfId="5743" priority="2768">
      <formula>LEN(TRIM(P135))=0</formula>
    </cfRule>
  </conditionalFormatting>
  <conditionalFormatting sqref="N151">
    <cfRule type="expression" dxfId="5742" priority="2709">
      <formula>N151=" "</formula>
    </cfRule>
    <cfRule type="expression" dxfId="5741" priority="2710">
      <formula>N151="NO PRESENTÓ CERTIFICADO"</formula>
    </cfRule>
    <cfRule type="expression" dxfId="5740" priority="2711">
      <formula>N151="PRESENTÓ CERTIFICADO"</formula>
    </cfRule>
  </conditionalFormatting>
  <conditionalFormatting sqref="O151">
    <cfRule type="cellIs" dxfId="5739" priority="2691" operator="equal">
      <formula>"PENDIENTE POR DESCRIPCIÓN"</formula>
    </cfRule>
    <cfRule type="cellIs" dxfId="5738" priority="2692" operator="equal">
      <formula>"DESCRIPCIÓN INSUFICIENTE"</formula>
    </cfRule>
    <cfRule type="cellIs" dxfId="5737" priority="2693" operator="equal">
      <formula>"NO ESTÁ ACORDE A ITEM 5.2.2 (T.R.)"</formula>
    </cfRule>
    <cfRule type="cellIs" dxfId="5736" priority="2694" operator="equal">
      <formula>"ACORDE A ITEM 5.2.2 (T.R.)"</formula>
    </cfRule>
    <cfRule type="cellIs" dxfId="5735" priority="2701" operator="equal">
      <formula>"PENDIENTE POR DESCRIPCIÓN"</formula>
    </cfRule>
    <cfRule type="cellIs" dxfId="5734" priority="2703" operator="equal">
      <formula>"DESCRIPCIÓN INSUFICIENTE"</formula>
    </cfRule>
    <cfRule type="cellIs" dxfId="5733" priority="2704" operator="equal">
      <formula>"NO ESTÁ ACORDE A ITEM 5.2.1 (T.R.)"</formula>
    </cfRule>
    <cfRule type="cellIs" dxfId="5732" priority="2705" operator="equal">
      <formula>"ACORDE A ITEM 5.2.1 (T.R.)"</formula>
    </cfRule>
  </conditionalFormatting>
  <conditionalFormatting sqref="Q151">
    <cfRule type="containsBlanks" dxfId="5731" priority="2696">
      <formula>LEN(TRIM(Q151))=0</formula>
    </cfRule>
    <cfRule type="cellIs" dxfId="5730" priority="2702" operator="equal">
      <formula>"REQUERIMIENTOS SUBSANADOS"</formula>
    </cfRule>
    <cfRule type="containsText" dxfId="5729" priority="2706" operator="containsText" text="NO SUBSANABLE">
      <formula>NOT(ISERROR(SEARCH("NO SUBSANABLE",Q151)))</formula>
    </cfRule>
    <cfRule type="containsText" dxfId="5728" priority="2707" operator="containsText" text="PENDIENTES POR SUBSANAR">
      <formula>NOT(ISERROR(SEARCH("PENDIENTES POR SUBSANAR",Q151)))</formula>
    </cfRule>
    <cfRule type="containsText" dxfId="5727" priority="2708" operator="containsText" text="SIN OBSERVACIÓN">
      <formula>NOT(ISERROR(SEARCH("SIN OBSERVACIÓN",Q151)))</formula>
    </cfRule>
  </conditionalFormatting>
  <conditionalFormatting sqref="R151">
    <cfRule type="containsBlanks" dxfId="5726" priority="2695">
      <formula>LEN(TRIM(R151))=0</formula>
    </cfRule>
    <cfRule type="cellIs" dxfId="5725" priority="2697" operator="equal">
      <formula>"NO CUMPLEN CON LO SOLICITADO"</formula>
    </cfRule>
    <cfRule type="cellIs" dxfId="5724" priority="2698" operator="equal">
      <formula>"CUMPLEN CON LO SOLICITADO"</formula>
    </cfRule>
    <cfRule type="cellIs" dxfId="5723" priority="2699" operator="equal">
      <formula>"PENDIENTES"</formula>
    </cfRule>
    <cfRule type="cellIs" dxfId="5722" priority="2700" operator="equal">
      <formula>"NINGUNO"</formula>
    </cfRule>
  </conditionalFormatting>
  <conditionalFormatting sqref="P151">
    <cfRule type="expression" dxfId="5721" priority="2686">
      <formula>Q151="NO SUBSANABLE"</formula>
    </cfRule>
    <cfRule type="expression" dxfId="5720" priority="2687">
      <formula>Q151="REQUERIMIENTOS SUBSANADOS"</formula>
    </cfRule>
    <cfRule type="expression" dxfId="5719" priority="2688">
      <formula>Q151="PENDIENTES POR SUBSANAR"</formula>
    </cfRule>
    <cfRule type="expression" dxfId="5718" priority="2689">
      <formula>Q151="SIN OBSERVACIÓN"</formula>
    </cfRule>
    <cfRule type="containsBlanks" dxfId="5717" priority="2690">
      <formula>LEN(TRIM(P151))=0</formula>
    </cfRule>
  </conditionalFormatting>
  <conditionalFormatting sqref="N154">
    <cfRule type="expression" dxfId="5716" priority="2683">
      <formula>N154=" "</formula>
    </cfRule>
    <cfRule type="expression" dxfId="5715" priority="2684">
      <formula>N154="NO PRESENTÓ CERTIFICADO"</formula>
    </cfRule>
    <cfRule type="expression" dxfId="5714" priority="2685">
      <formula>N154="PRESENTÓ CERTIFICADO"</formula>
    </cfRule>
  </conditionalFormatting>
  <conditionalFormatting sqref="O154">
    <cfRule type="cellIs" dxfId="5713" priority="2665" operator="equal">
      <formula>"PENDIENTE POR DESCRIPCIÓN"</formula>
    </cfRule>
    <cfRule type="cellIs" dxfId="5712" priority="2666" operator="equal">
      <formula>"DESCRIPCIÓN INSUFICIENTE"</formula>
    </cfRule>
    <cfRule type="cellIs" dxfId="5711" priority="2667" operator="equal">
      <formula>"NO ESTÁ ACORDE A ITEM 5.2.2 (T.R.)"</formula>
    </cfRule>
    <cfRule type="cellIs" dxfId="5710" priority="2668" operator="equal">
      <formula>"ACORDE A ITEM 5.2.2 (T.R.)"</formula>
    </cfRule>
    <cfRule type="cellIs" dxfId="5709" priority="2675" operator="equal">
      <formula>"PENDIENTE POR DESCRIPCIÓN"</formula>
    </cfRule>
    <cfRule type="cellIs" dxfId="5708" priority="2677" operator="equal">
      <formula>"DESCRIPCIÓN INSUFICIENTE"</formula>
    </cfRule>
    <cfRule type="cellIs" dxfId="5707" priority="2678" operator="equal">
      <formula>"NO ESTÁ ACORDE A ITEM 5.2.1 (T.R.)"</formula>
    </cfRule>
    <cfRule type="cellIs" dxfId="5706" priority="2679" operator="equal">
      <formula>"ACORDE A ITEM 5.2.1 (T.R.)"</formula>
    </cfRule>
  </conditionalFormatting>
  <conditionalFormatting sqref="Q154">
    <cfRule type="containsBlanks" dxfId="5705" priority="2670">
      <formula>LEN(TRIM(Q154))=0</formula>
    </cfRule>
    <cfRule type="cellIs" dxfId="5704" priority="2676" operator="equal">
      <formula>"REQUERIMIENTOS SUBSANADOS"</formula>
    </cfRule>
    <cfRule type="containsText" dxfId="5703" priority="2680" operator="containsText" text="NO SUBSANABLE">
      <formula>NOT(ISERROR(SEARCH("NO SUBSANABLE",Q154)))</formula>
    </cfRule>
    <cfRule type="containsText" dxfId="5702" priority="2681" operator="containsText" text="PENDIENTES POR SUBSANAR">
      <formula>NOT(ISERROR(SEARCH("PENDIENTES POR SUBSANAR",Q154)))</formula>
    </cfRule>
    <cfRule type="containsText" dxfId="5701" priority="2682" operator="containsText" text="SIN OBSERVACIÓN">
      <formula>NOT(ISERROR(SEARCH("SIN OBSERVACIÓN",Q154)))</formula>
    </cfRule>
  </conditionalFormatting>
  <conditionalFormatting sqref="R154">
    <cfRule type="containsBlanks" dxfId="5700" priority="2669">
      <formula>LEN(TRIM(R154))=0</formula>
    </cfRule>
    <cfRule type="cellIs" dxfId="5699" priority="2671" operator="equal">
      <formula>"NO CUMPLEN CON LO SOLICITADO"</formula>
    </cfRule>
    <cfRule type="cellIs" dxfId="5698" priority="2672" operator="equal">
      <formula>"CUMPLEN CON LO SOLICITADO"</formula>
    </cfRule>
    <cfRule type="cellIs" dxfId="5697" priority="2673" operator="equal">
      <formula>"PENDIENTES"</formula>
    </cfRule>
    <cfRule type="cellIs" dxfId="5696" priority="2674" operator="equal">
      <formula>"NINGUNO"</formula>
    </cfRule>
  </conditionalFormatting>
  <conditionalFormatting sqref="P154">
    <cfRule type="expression" dxfId="5695" priority="2660">
      <formula>Q154="NO SUBSANABLE"</formula>
    </cfRule>
    <cfRule type="expression" dxfId="5694" priority="2661">
      <formula>Q154="REQUERIMIENTOS SUBSANADOS"</formula>
    </cfRule>
    <cfRule type="expression" dxfId="5693" priority="2662">
      <formula>Q154="PENDIENTES POR SUBSANAR"</formula>
    </cfRule>
    <cfRule type="expression" dxfId="5692" priority="2663">
      <formula>Q154="SIN OBSERVACIÓN"</formula>
    </cfRule>
    <cfRule type="containsBlanks" dxfId="5691" priority="2664">
      <formula>LEN(TRIM(P154))=0</formula>
    </cfRule>
  </conditionalFormatting>
  <conditionalFormatting sqref="K35">
    <cfRule type="expression" dxfId="5690" priority="2658">
      <formula>J35="NO CUMPLE"</formula>
    </cfRule>
    <cfRule type="expression" dxfId="5689" priority="2659">
      <formula>J35="CUMPLE"</formula>
    </cfRule>
  </conditionalFormatting>
  <conditionalFormatting sqref="K36:K37">
    <cfRule type="expression" dxfId="5688" priority="2656">
      <formula>J36="NO CUMPLE"</formula>
    </cfRule>
    <cfRule type="expression" dxfId="5687" priority="2657">
      <formula>J36="CUMPLE"</formula>
    </cfRule>
  </conditionalFormatting>
  <conditionalFormatting sqref="K57">
    <cfRule type="expression" dxfId="5686" priority="2654">
      <formula>J57="NO CUMPLE"</formula>
    </cfRule>
    <cfRule type="expression" dxfId="5685" priority="2655">
      <formula>J57="CUMPLE"</formula>
    </cfRule>
  </conditionalFormatting>
  <conditionalFormatting sqref="K58:K59">
    <cfRule type="expression" dxfId="5684" priority="2652">
      <formula>J58="NO CUMPLE"</formula>
    </cfRule>
    <cfRule type="expression" dxfId="5683" priority="2653">
      <formula>J58="CUMPLE"</formula>
    </cfRule>
  </conditionalFormatting>
  <conditionalFormatting sqref="K79">
    <cfRule type="expression" dxfId="5682" priority="2650">
      <formula>J79="NO CUMPLE"</formula>
    </cfRule>
    <cfRule type="expression" dxfId="5681" priority="2651">
      <formula>J79="CUMPLE"</formula>
    </cfRule>
  </conditionalFormatting>
  <conditionalFormatting sqref="K80:K81">
    <cfRule type="expression" dxfId="5680" priority="2648">
      <formula>J80="NO CUMPLE"</formula>
    </cfRule>
    <cfRule type="expression" dxfId="5679" priority="2649">
      <formula>J80="CUMPLE"</formula>
    </cfRule>
  </conditionalFormatting>
  <conditionalFormatting sqref="K101">
    <cfRule type="expression" dxfId="5678" priority="2646">
      <formula>J101="NO CUMPLE"</formula>
    </cfRule>
    <cfRule type="expression" dxfId="5677" priority="2647">
      <formula>J101="CUMPLE"</formula>
    </cfRule>
  </conditionalFormatting>
  <conditionalFormatting sqref="K102:K103">
    <cfRule type="expression" dxfId="5676" priority="2644">
      <formula>J102="NO CUMPLE"</formula>
    </cfRule>
    <cfRule type="expression" dxfId="5675" priority="2645">
      <formula>J102="CUMPLE"</formula>
    </cfRule>
  </conditionalFormatting>
  <conditionalFormatting sqref="K123">
    <cfRule type="expression" dxfId="5674" priority="2642">
      <formula>J123="NO CUMPLE"</formula>
    </cfRule>
    <cfRule type="expression" dxfId="5673" priority="2643">
      <formula>J123="CUMPLE"</formula>
    </cfRule>
  </conditionalFormatting>
  <conditionalFormatting sqref="K124:K125">
    <cfRule type="expression" dxfId="5672" priority="2640">
      <formula>J124="NO CUMPLE"</formula>
    </cfRule>
    <cfRule type="expression" dxfId="5671" priority="2641">
      <formula>J124="CUMPLE"</formula>
    </cfRule>
  </conditionalFormatting>
  <conditionalFormatting sqref="K145">
    <cfRule type="expression" dxfId="5670" priority="2638">
      <formula>J145="NO CUMPLE"</formula>
    </cfRule>
    <cfRule type="expression" dxfId="5669" priority="2639">
      <formula>J145="CUMPLE"</formula>
    </cfRule>
  </conditionalFormatting>
  <conditionalFormatting sqref="K146:K147">
    <cfRule type="expression" dxfId="5668" priority="2636">
      <formula>J146="NO CUMPLE"</formula>
    </cfRule>
    <cfRule type="expression" dxfId="5667" priority="2637">
      <formula>J146="CUMPLE"</formula>
    </cfRule>
  </conditionalFormatting>
  <conditionalFormatting sqref="J167">
    <cfRule type="cellIs" dxfId="5666" priority="2634" operator="equal">
      <formula>"NO CUMPLE"</formula>
    </cfRule>
    <cfRule type="cellIs" dxfId="5665" priority="2635" operator="equal">
      <formula>"CUMPLE"</formula>
    </cfRule>
  </conditionalFormatting>
  <conditionalFormatting sqref="K167">
    <cfRule type="expression" dxfId="5664" priority="2630">
      <formula>J167="NO CUMPLE"</formula>
    </cfRule>
    <cfRule type="expression" dxfId="5663" priority="2631">
      <formula>J167="CUMPLE"</formula>
    </cfRule>
  </conditionalFormatting>
  <conditionalFormatting sqref="K168:K169">
    <cfRule type="expression" dxfId="5662" priority="2628">
      <formula>J168="NO CUMPLE"</formula>
    </cfRule>
    <cfRule type="expression" dxfId="5661" priority="2629">
      <formula>J168="CUMPLE"</formula>
    </cfRule>
  </conditionalFormatting>
  <conditionalFormatting sqref="J189">
    <cfRule type="cellIs" dxfId="5660" priority="2626" operator="equal">
      <formula>"NO CUMPLE"</formula>
    </cfRule>
    <cfRule type="cellIs" dxfId="5659" priority="2627" operator="equal">
      <formula>"CUMPLE"</formula>
    </cfRule>
  </conditionalFormatting>
  <conditionalFormatting sqref="J190:J191">
    <cfRule type="cellIs" dxfId="5658" priority="2624" operator="equal">
      <formula>"NO CUMPLE"</formula>
    </cfRule>
    <cfRule type="cellIs" dxfId="5657" priority="2625" operator="equal">
      <formula>"CUMPLE"</formula>
    </cfRule>
  </conditionalFormatting>
  <conditionalFormatting sqref="K189">
    <cfRule type="expression" dxfId="5656" priority="2622">
      <formula>J189="NO CUMPLE"</formula>
    </cfRule>
    <cfRule type="expression" dxfId="5655" priority="2623">
      <formula>J189="CUMPLE"</formula>
    </cfRule>
  </conditionalFormatting>
  <conditionalFormatting sqref="K190:K191">
    <cfRule type="expression" dxfId="5654" priority="2620">
      <formula>J190="NO CUMPLE"</formula>
    </cfRule>
    <cfRule type="expression" dxfId="5653" priority="2621">
      <formula>J190="CUMPLE"</formula>
    </cfRule>
  </conditionalFormatting>
  <conditionalFormatting sqref="S211">
    <cfRule type="cellIs" dxfId="5652" priority="2618" operator="greaterThan">
      <formula>0</formula>
    </cfRule>
    <cfRule type="top10" dxfId="5651" priority="2619" rank="10"/>
  </conditionalFormatting>
  <conditionalFormatting sqref="B226">
    <cfRule type="cellIs" dxfId="5650" priority="2614" operator="equal">
      <formula>"NO CUMPLE CON LA EXPERIENCIA REQUERIDA"</formula>
    </cfRule>
    <cfRule type="cellIs" dxfId="5649" priority="2615" operator="equal">
      <formula>"CUMPLE CON LA EXPERIENCIA REQUERIDA"</formula>
    </cfRule>
  </conditionalFormatting>
  <conditionalFormatting sqref="H211 H214 H217 H220 H223">
    <cfRule type="notContainsBlanks" dxfId="5648" priority="2613">
      <formula>LEN(TRIM(H211))&gt;0</formula>
    </cfRule>
  </conditionalFormatting>
  <conditionalFormatting sqref="G211">
    <cfRule type="notContainsBlanks" dxfId="5647" priority="2612">
      <formula>LEN(TRIM(G211))&gt;0</formula>
    </cfRule>
  </conditionalFormatting>
  <conditionalFormatting sqref="F211">
    <cfRule type="notContainsBlanks" dxfId="5646" priority="2611">
      <formula>LEN(TRIM(F211))&gt;0</formula>
    </cfRule>
  </conditionalFormatting>
  <conditionalFormatting sqref="E211">
    <cfRule type="notContainsBlanks" dxfId="5645" priority="2610">
      <formula>LEN(TRIM(E211))&gt;0</formula>
    </cfRule>
  </conditionalFormatting>
  <conditionalFormatting sqref="D211">
    <cfRule type="notContainsBlanks" dxfId="5644" priority="2609">
      <formula>LEN(TRIM(D211))&gt;0</formula>
    </cfRule>
  </conditionalFormatting>
  <conditionalFormatting sqref="C211">
    <cfRule type="notContainsBlanks" dxfId="5643" priority="2608">
      <formula>LEN(TRIM(C211))&gt;0</formula>
    </cfRule>
  </conditionalFormatting>
  <conditionalFormatting sqref="I211">
    <cfRule type="notContainsBlanks" dxfId="5642" priority="2607">
      <formula>LEN(TRIM(I211))&gt;0</formula>
    </cfRule>
  </conditionalFormatting>
  <conditionalFormatting sqref="S214">
    <cfRule type="cellIs" dxfId="5641" priority="2603" operator="greaterThan">
      <formula>0</formula>
    </cfRule>
    <cfRule type="top10" dxfId="5640" priority="2604" rank="10"/>
  </conditionalFormatting>
  <conditionalFormatting sqref="S217">
    <cfRule type="cellIs" dxfId="5639" priority="2601" operator="greaterThan">
      <formula>0</formula>
    </cfRule>
    <cfRule type="top10" dxfId="5638" priority="2602" rank="10"/>
  </conditionalFormatting>
  <conditionalFormatting sqref="G217">
    <cfRule type="notContainsBlanks" dxfId="5637" priority="2600">
      <formula>LEN(TRIM(G217))&gt;0</formula>
    </cfRule>
  </conditionalFormatting>
  <conditionalFormatting sqref="F217">
    <cfRule type="notContainsBlanks" dxfId="5636" priority="2599">
      <formula>LEN(TRIM(F217))&gt;0</formula>
    </cfRule>
  </conditionalFormatting>
  <conditionalFormatting sqref="E217">
    <cfRule type="notContainsBlanks" dxfId="5635" priority="2598">
      <formula>LEN(TRIM(E217))&gt;0</formula>
    </cfRule>
  </conditionalFormatting>
  <conditionalFormatting sqref="D217">
    <cfRule type="notContainsBlanks" dxfId="5634" priority="2597">
      <formula>LEN(TRIM(D217))&gt;0</formula>
    </cfRule>
  </conditionalFormatting>
  <conditionalFormatting sqref="C217">
    <cfRule type="notContainsBlanks" dxfId="5633" priority="2596">
      <formula>LEN(TRIM(C217))&gt;0</formula>
    </cfRule>
  </conditionalFormatting>
  <conditionalFormatting sqref="I217">
    <cfRule type="notContainsBlanks" dxfId="5632" priority="2595">
      <formula>LEN(TRIM(I217))&gt;0</formula>
    </cfRule>
  </conditionalFormatting>
  <conditionalFormatting sqref="S220">
    <cfRule type="cellIs" dxfId="5631" priority="2593" operator="greaterThan">
      <formula>0</formula>
    </cfRule>
    <cfRule type="top10" dxfId="5630" priority="2594" rank="10"/>
  </conditionalFormatting>
  <conditionalFormatting sqref="S223">
    <cfRule type="cellIs" dxfId="5629" priority="2591" operator="greaterThan">
      <formula>0</formula>
    </cfRule>
    <cfRule type="top10" dxfId="5628" priority="2592" rank="10"/>
  </conditionalFormatting>
  <conditionalFormatting sqref="G223">
    <cfRule type="notContainsBlanks" dxfId="5627" priority="2590">
      <formula>LEN(TRIM(G223))&gt;0</formula>
    </cfRule>
  </conditionalFormatting>
  <conditionalFormatting sqref="F223">
    <cfRule type="notContainsBlanks" dxfId="5626" priority="2589">
      <formula>LEN(TRIM(F223))&gt;0</formula>
    </cfRule>
  </conditionalFormatting>
  <conditionalFormatting sqref="E223">
    <cfRule type="notContainsBlanks" dxfId="5625" priority="2588">
      <formula>LEN(TRIM(E223))&gt;0</formula>
    </cfRule>
  </conditionalFormatting>
  <conditionalFormatting sqref="D223">
    <cfRule type="notContainsBlanks" dxfId="5624" priority="2587">
      <formula>LEN(TRIM(D223))&gt;0</formula>
    </cfRule>
  </conditionalFormatting>
  <conditionalFormatting sqref="C223">
    <cfRule type="notContainsBlanks" dxfId="5623" priority="2586">
      <formula>LEN(TRIM(C223))&gt;0</formula>
    </cfRule>
  </conditionalFormatting>
  <conditionalFormatting sqref="I223">
    <cfRule type="notContainsBlanks" dxfId="5622" priority="2585">
      <formula>LEN(TRIM(I223))&gt;0</formula>
    </cfRule>
  </conditionalFormatting>
  <conditionalFormatting sqref="G214">
    <cfRule type="notContainsBlanks" dxfId="5621" priority="2584">
      <formula>LEN(TRIM(G214))&gt;0</formula>
    </cfRule>
  </conditionalFormatting>
  <conditionalFormatting sqref="F214">
    <cfRule type="notContainsBlanks" dxfId="5620" priority="2583">
      <formula>LEN(TRIM(F214))&gt;0</formula>
    </cfRule>
  </conditionalFormatting>
  <conditionalFormatting sqref="E214">
    <cfRule type="notContainsBlanks" dxfId="5619" priority="2582">
      <formula>LEN(TRIM(E214))&gt;0</formula>
    </cfRule>
  </conditionalFormatting>
  <conditionalFormatting sqref="D214">
    <cfRule type="notContainsBlanks" dxfId="5618" priority="2581">
      <formula>LEN(TRIM(D214))&gt;0</formula>
    </cfRule>
  </conditionalFormatting>
  <conditionalFormatting sqref="C214">
    <cfRule type="notContainsBlanks" dxfId="5617" priority="2580">
      <formula>LEN(TRIM(C214))&gt;0</formula>
    </cfRule>
  </conditionalFormatting>
  <conditionalFormatting sqref="G220">
    <cfRule type="notContainsBlanks" dxfId="5616" priority="2579">
      <formula>LEN(TRIM(G220))&gt;0</formula>
    </cfRule>
  </conditionalFormatting>
  <conditionalFormatting sqref="F220">
    <cfRule type="notContainsBlanks" dxfId="5615" priority="2578">
      <formula>LEN(TRIM(F220))&gt;0</formula>
    </cfRule>
  </conditionalFormatting>
  <conditionalFormatting sqref="E220">
    <cfRule type="notContainsBlanks" dxfId="5614" priority="2577">
      <formula>LEN(TRIM(E220))&gt;0</formula>
    </cfRule>
  </conditionalFormatting>
  <conditionalFormatting sqref="D220">
    <cfRule type="notContainsBlanks" dxfId="5613" priority="2576">
      <formula>LEN(TRIM(D220))&gt;0</formula>
    </cfRule>
  </conditionalFormatting>
  <conditionalFormatting sqref="C220">
    <cfRule type="notContainsBlanks" dxfId="5612" priority="2575">
      <formula>LEN(TRIM(C220))&gt;0</formula>
    </cfRule>
  </conditionalFormatting>
  <conditionalFormatting sqref="I214">
    <cfRule type="notContainsBlanks" dxfId="5611" priority="2574">
      <formula>LEN(TRIM(I214))&gt;0</formula>
    </cfRule>
  </conditionalFormatting>
  <conditionalFormatting sqref="I220">
    <cfRule type="notContainsBlanks" dxfId="5610" priority="2573">
      <formula>LEN(TRIM(I220))&gt;0</formula>
    </cfRule>
  </conditionalFormatting>
  <conditionalFormatting sqref="S226">
    <cfRule type="expression" dxfId="5609" priority="2571">
      <formula>$S$28&gt;0</formula>
    </cfRule>
    <cfRule type="cellIs" dxfId="5608" priority="2572" operator="equal">
      <formula>0</formula>
    </cfRule>
  </conditionalFormatting>
  <conditionalFormatting sqref="S227">
    <cfRule type="expression" dxfId="5607" priority="2569">
      <formula>$S$28&gt;0</formula>
    </cfRule>
    <cfRule type="cellIs" dxfId="5606" priority="2570" operator="equal">
      <formula>0</formula>
    </cfRule>
  </conditionalFormatting>
  <conditionalFormatting sqref="N223">
    <cfRule type="expression" dxfId="5605" priority="2530">
      <formula>N223=" "</formula>
    </cfRule>
    <cfRule type="expression" dxfId="5604" priority="2531">
      <formula>N223="NO PRESENTÓ CERTIFICADO"</formula>
    </cfRule>
    <cfRule type="expression" dxfId="5603" priority="2532">
      <formula>N223="PRESENTÓ CERTIFICADO"</formula>
    </cfRule>
  </conditionalFormatting>
  <conditionalFormatting sqref="O223">
    <cfRule type="cellIs" dxfId="5602" priority="2512" operator="equal">
      <formula>"PENDIENTE POR DESCRIPCIÓN"</formula>
    </cfRule>
    <cfRule type="cellIs" dxfId="5601" priority="2513" operator="equal">
      <formula>"DESCRIPCIÓN INSUFICIENTE"</formula>
    </cfRule>
    <cfRule type="cellIs" dxfId="5600" priority="2514" operator="equal">
      <formula>"NO ESTÁ ACORDE A ITEM 5.2.2 (T.R.)"</formula>
    </cfRule>
    <cfRule type="cellIs" dxfId="5599" priority="2515" operator="equal">
      <formula>"ACORDE A ITEM 5.2.2 (T.R.)"</formula>
    </cfRule>
    <cfRule type="cellIs" dxfId="5598" priority="2522" operator="equal">
      <formula>"PENDIENTE POR DESCRIPCIÓN"</formula>
    </cfRule>
    <cfRule type="cellIs" dxfId="5597" priority="2524" operator="equal">
      <formula>"DESCRIPCIÓN INSUFICIENTE"</formula>
    </cfRule>
    <cfRule type="cellIs" dxfId="5596" priority="2525" operator="equal">
      <formula>"NO ESTÁ ACORDE A ITEM 5.2.1 (T.R.)"</formula>
    </cfRule>
    <cfRule type="cellIs" dxfId="5595" priority="2526" operator="equal">
      <formula>"ACORDE A ITEM 5.2.1 (T.R.)"</formula>
    </cfRule>
  </conditionalFormatting>
  <conditionalFormatting sqref="Q223">
    <cfRule type="containsBlanks" dxfId="5594" priority="2517">
      <formula>LEN(TRIM(Q223))=0</formula>
    </cfRule>
    <cfRule type="cellIs" dxfId="5593" priority="2523" operator="equal">
      <formula>"REQUERIMIENTOS SUBSANADOS"</formula>
    </cfRule>
    <cfRule type="containsText" dxfId="5592" priority="2527" operator="containsText" text="NO SUBSANABLE">
      <formula>NOT(ISERROR(SEARCH("NO SUBSANABLE",Q223)))</formula>
    </cfRule>
    <cfRule type="containsText" dxfId="5591" priority="2528" operator="containsText" text="PENDIENTES POR SUBSANAR">
      <formula>NOT(ISERROR(SEARCH("PENDIENTES POR SUBSANAR",Q223)))</formula>
    </cfRule>
    <cfRule type="containsText" dxfId="5590" priority="2529" operator="containsText" text="SIN OBSERVACIÓN">
      <formula>NOT(ISERROR(SEARCH("SIN OBSERVACIÓN",Q223)))</formula>
    </cfRule>
  </conditionalFormatting>
  <conditionalFormatting sqref="R223">
    <cfRule type="containsBlanks" dxfId="5589" priority="2516">
      <formula>LEN(TRIM(R223))=0</formula>
    </cfRule>
    <cfRule type="cellIs" dxfId="5588" priority="2518" operator="equal">
      <formula>"NO CUMPLEN CON LO SOLICITADO"</formula>
    </cfRule>
    <cfRule type="cellIs" dxfId="5587" priority="2519" operator="equal">
      <formula>"CUMPLEN CON LO SOLICITADO"</formula>
    </cfRule>
    <cfRule type="cellIs" dxfId="5586" priority="2520" operator="equal">
      <formula>"PENDIENTES"</formula>
    </cfRule>
    <cfRule type="cellIs" dxfId="5585" priority="2521" operator="equal">
      <formula>"NINGUNO"</formula>
    </cfRule>
  </conditionalFormatting>
  <conditionalFormatting sqref="P214 P217 P220 P223">
    <cfRule type="expression" dxfId="5584" priority="2507">
      <formula>Q214="NO SUBSANABLE"</formula>
    </cfRule>
    <cfRule type="expression" dxfId="5583" priority="2508">
      <formula>Q214="REQUERIMIENTOS SUBSANADOS"</formula>
    </cfRule>
    <cfRule type="expression" dxfId="5582" priority="2509">
      <formula>Q214="PENDIENTES POR SUBSANAR"</formula>
    </cfRule>
    <cfRule type="expression" dxfId="5581" priority="2510">
      <formula>Q214="SIN OBSERVACIÓN"</formula>
    </cfRule>
    <cfRule type="containsBlanks" dxfId="5580" priority="2511">
      <formula>LEN(TRIM(P214))=0</formula>
    </cfRule>
  </conditionalFormatting>
  <conditionalFormatting sqref="N214">
    <cfRule type="expression" dxfId="5579" priority="2504">
      <formula>N214=" "</formula>
    </cfRule>
    <cfRule type="expression" dxfId="5578" priority="2505">
      <formula>N214="NO PRESENTÓ CERTIFICADO"</formula>
    </cfRule>
    <cfRule type="expression" dxfId="5577" priority="2506">
      <formula>N214="PRESENTÓ CERTIFICADO"</formula>
    </cfRule>
  </conditionalFormatting>
  <conditionalFormatting sqref="N217">
    <cfRule type="expression" dxfId="5576" priority="2501">
      <formula>N217=" "</formula>
    </cfRule>
    <cfRule type="expression" dxfId="5575" priority="2502">
      <formula>N217="NO PRESENTÓ CERTIFICADO"</formula>
    </cfRule>
    <cfRule type="expression" dxfId="5574" priority="2503">
      <formula>N217="PRESENTÓ CERTIFICADO"</formula>
    </cfRule>
  </conditionalFormatting>
  <conditionalFormatting sqref="N220">
    <cfRule type="expression" dxfId="5573" priority="2498">
      <formula>N220=" "</formula>
    </cfRule>
    <cfRule type="expression" dxfId="5572" priority="2499">
      <formula>N220="NO PRESENTÓ CERTIFICADO"</formula>
    </cfRule>
    <cfRule type="expression" dxfId="5571" priority="2500">
      <formula>N220="PRESENTÓ CERTIFICADO"</formula>
    </cfRule>
  </conditionalFormatting>
  <conditionalFormatting sqref="O214">
    <cfRule type="cellIs" dxfId="5570" priority="2490" operator="equal">
      <formula>"PENDIENTE POR DESCRIPCIÓN"</formula>
    </cfRule>
    <cfRule type="cellIs" dxfId="5569" priority="2491" operator="equal">
      <formula>"DESCRIPCIÓN INSUFICIENTE"</formula>
    </cfRule>
    <cfRule type="cellIs" dxfId="5568" priority="2492" operator="equal">
      <formula>"NO ESTÁ ACORDE A ITEM 5.2.2 (T.R.)"</formula>
    </cfRule>
    <cfRule type="cellIs" dxfId="5567" priority="2493" operator="equal">
      <formula>"ACORDE A ITEM 5.2.2 (T.R.)"</formula>
    </cfRule>
    <cfRule type="cellIs" dxfId="5566" priority="2494" operator="equal">
      <formula>"PENDIENTE POR DESCRIPCIÓN"</formula>
    </cfRule>
    <cfRule type="cellIs" dxfId="5565" priority="2495" operator="equal">
      <formula>"DESCRIPCIÓN INSUFICIENTE"</formula>
    </cfRule>
    <cfRule type="cellIs" dxfId="5564" priority="2496" operator="equal">
      <formula>"NO ESTÁ ACORDE A ITEM 5.2.1 (T.R.)"</formula>
    </cfRule>
    <cfRule type="cellIs" dxfId="5563" priority="2497" operator="equal">
      <formula>"ACORDE A ITEM 5.2.1 (T.R.)"</formula>
    </cfRule>
  </conditionalFormatting>
  <conditionalFormatting sqref="O217">
    <cfRule type="cellIs" dxfId="5562" priority="2482" operator="equal">
      <formula>"PENDIENTE POR DESCRIPCIÓN"</formula>
    </cfRule>
    <cfRule type="cellIs" dxfId="5561" priority="2483" operator="equal">
      <formula>"DESCRIPCIÓN INSUFICIENTE"</formula>
    </cfRule>
    <cfRule type="cellIs" dxfId="5560" priority="2484" operator="equal">
      <formula>"NO ESTÁ ACORDE A ITEM 5.2.2 (T.R.)"</formula>
    </cfRule>
    <cfRule type="cellIs" dxfId="5559" priority="2485" operator="equal">
      <formula>"ACORDE A ITEM 5.2.2 (T.R.)"</formula>
    </cfRule>
    <cfRule type="cellIs" dxfId="5558" priority="2486" operator="equal">
      <formula>"PENDIENTE POR DESCRIPCIÓN"</formula>
    </cfRule>
    <cfRule type="cellIs" dxfId="5557" priority="2487" operator="equal">
      <formula>"DESCRIPCIÓN INSUFICIENTE"</formula>
    </cfRule>
    <cfRule type="cellIs" dxfId="5556" priority="2488" operator="equal">
      <formula>"NO ESTÁ ACORDE A ITEM 5.2.1 (T.R.)"</formula>
    </cfRule>
    <cfRule type="cellIs" dxfId="5555" priority="2489" operator="equal">
      <formula>"ACORDE A ITEM 5.2.1 (T.R.)"</formula>
    </cfRule>
  </conditionalFormatting>
  <conditionalFormatting sqref="O220">
    <cfRule type="cellIs" dxfId="5554" priority="2474" operator="equal">
      <formula>"PENDIENTE POR DESCRIPCIÓN"</formula>
    </cfRule>
    <cfRule type="cellIs" dxfId="5553" priority="2475" operator="equal">
      <formula>"DESCRIPCIÓN INSUFICIENTE"</formula>
    </cfRule>
    <cfRule type="cellIs" dxfId="5552" priority="2476" operator="equal">
      <formula>"NO ESTÁ ACORDE A ITEM 5.2.2 (T.R.)"</formula>
    </cfRule>
    <cfRule type="cellIs" dxfId="5551" priority="2477" operator="equal">
      <formula>"ACORDE A ITEM 5.2.2 (T.R.)"</formula>
    </cfRule>
    <cfRule type="cellIs" dxfId="5550" priority="2478" operator="equal">
      <formula>"PENDIENTE POR DESCRIPCIÓN"</formula>
    </cfRule>
    <cfRule type="cellIs" dxfId="5549" priority="2479" operator="equal">
      <formula>"DESCRIPCIÓN INSUFICIENTE"</formula>
    </cfRule>
    <cfRule type="cellIs" dxfId="5548" priority="2480" operator="equal">
      <formula>"NO ESTÁ ACORDE A ITEM 5.2.1 (T.R.)"</formula>
    </cfRule>
    <cfRule type="cellIs" dxfId="5547" priority="2481" operator="equal">
      <formula>"ACORDE A ITEM 5.2.1 (T.R.)"</formula>
    </cfRule>
  </conditionalFormatting>
  <conditionalFormatting sqref="Q214">
    <cfRule type="containsBlanks" dxfId="5546" priority="2465">
      <formula>LEN(TRIM(Q214))=0</formula>
    </cfRule>
    <cfRule type="cellIs" dxfId="5545" priority="2470" operator="equal">
      <formula>"REQUERIMIENTOS SUBSANADOS"</formula>
    </cfRule>
    <cfRule type="containsText" dxfId="5544" priority="2471" operator="containsText" text="NO SUBSANABLE">
      <formula>NOT(ISERROR(SEARCH("NO SUBSANABLE",Q214)))</formula>
    </cfRule>
    <cfRule type="containsText" dxfId="5543" priority="2472" operator="containsText" text="PENDIENTES POR SUBSANAR">
      <formula>NOT(ISERROR(SEARCH("PENDIENTES POR SUBSANAR",Q214)))</formula>
    </cfRule>
    <cfRule type="containsText" dxfId="5542" priority="2473" operator="containsText" text="SIN OBSERVACIÓN">
      <formula>NOT(ISERROR(SEARCH("SIN OBSERVACIÓN",Q214)))</formula>
    </cfRule>
  </conditionalFormatting>
  <conditionalFormatting sqref="R214">
    <cfRule type="containsBlanks" dxfId="5541" priority="2464">
      <formula>LEN(TRIM(R214))=0</formula>
    </cfRule>
    <cfRule type="cellIs" dxfId="5540" priority="2466" operator="equal">
      <formula>"NO CUMPLEN CON LO SOLICITADO"</formula>
    </cfRule>
    <cfRule type="cellIs" dxfId="5539" priority="2467" operator="equal">
      <formula>"CUMPLEN CON LO SOLICITADO"</formula>
    </cfRule>
    <cfRule type="cellIs" dxfId="5538" priority="2468" operator="equal">
      <formula>"PENDIENTES"</formula>
    </cfRule>
    <cfRule type="cellIs" dxfId="5537" priority="2469" operator="equal">
      <formula>"NINGUNO"</formula>
    </cfRule>
  </conditionalFormatting>
  <conditionalFormatting sqref="Q217">
    <cfRule type="containsBlanks" dxfId="5536" priority="2455">
      <formula>LEN(TRIM(Q217))=0</formula>
    </cfRule>
    <cfRule type="cellIs" dxfId="5535" priority="2460" operator="equal">
      <formula>"REQUERIMIENTOS SUBSANADOS"</formula>
    </cfRule>
    <cfRule type="containsText" dxfId="5534" priority="2461" operator="containsText" text="NO SUBSANABLE">
      <formula>NOT(ISERROR(SEARCH("NO SUBSANABLE",Q217)))</formula>
    </cfRule>
    <cfRule type="containsText" dxfId="5533" priority="2462" operator="containsText" text="PENDIENTES POR SUBSANAR">
      <formula>NOT(ISERROR(SEARCH("PENDIENTES POR SUBSANAR",Q217)))</formula>
    </cfRule>
    <cfRule type="containsText" dxfId="5532" priority="2463" operator="containsText" text="SIN OBSERVACIÓN">
      <formula>NOT(ISERROR(SEARCH("SIN OBSERVACIÓN",Q217)))</formula>
    </cfRule>
  </conditionalFormatting>
  <conditionalFormatting sqref="R217">
    <cfRule type="containsBlanks" dxfId="5531" priority="2454">
      <formula>LEN(TRIM(R217))=0</formula>
    </cfRule>
    <cfRule type="cellIs" dxfId="5530" priority="2456" operator="equal">
      <formula>"NO CUMPLEN CON LO SOLICITADO"</formula>
    </cfRule>
    <cfRule type="cellIs" dxfId="5529" priority="2457" operator="equal">
      <formula>"CUMPLEN CON LO SOLICITADO"</formula>
    </cfRule>
    <cfRule type="cellIs" dxfId="5528" priority="2458" operator="equal">
      <formula>"PENDIENTES"</formula>
    </cfRule>
    <cfRule type="cellIs" dxfId="5527" priority="2459" operator="equal">
      <formula>"NINGUNO"</formula>
    </cfRule>
  </conditionalFormatting>
  <conditionalFormatting sqref="Q220">
    <cfRule type="containsBlanks" dxfId="5526" priority="2445">
      <formula>LEN(TRIM(Q220))=0</formula>
    </cfRule>
    <cfRule type="cellIs" dxfId="5525" priority="2450" operator="equal">
      <formula>"REQUERIMIENTOS SUBSANADOS"</formula>
    </cfRule>
    <cfRule type="containsText" dxfId="5524" priority="2451" operator="containsText" text="NO SUBSANABLE">
      <formula>NOT(ISERROR(SEARCH("NO SUBSANABLE",Q220)))</formula>
    </cfRule>
    <cfRule type="containsText" dxfId="5523" priority="2452" operator="containsText" text="PENDIENTES POR SUBSANAR">
      <formula>NOT(ISERROR(SEARCH("PENDIENTES POR SUBSANAR",Q220)))</formula>
    </cfRule>
    <cfRule type="containsText" dxfId="5522" priority="2453" operator="containsText" text="SIN OBSERVACIÓN">
      <formula>NOT(ISERROR(SEARCH("SIN OBSERVACIÓN",Q220)))</formula>
    </cfRule>
  </conditionalFormatting>
  <conditionalFormatting sqref="R220">
    <cfRule type="containsBlanks" dxfId="5521" priority="2444">
      <formula>LEN(TRIM(R220))=0</formula>
    </cfRule>
    <cfRule type="cellIs" dxfId="5520" priority="2446" operator="equal">
      <formula>"NO CUMPLEN CON LO SOLICITADO"</formula>
    </cfRule>
    <cfRule type="cellIs" dxfId="5519" priority="2447" operator="equal">
      <formula>"CUMPLEN CON LO SOLICITADO"</formula>
    </cfRule>
    <cfRule type="cellIs" dxfId="5518" priority="2448" operator="equal">
      <formula>"PENDIENTES"</formula>
    </cfRule>
    <cfRule type="cellIs" dxfId="5517" priority="2449" operator="equal">
      <formula>"NINGUNO"</formula>
    </cfRule>
  </conditionalFormatting>
  <conditionalFormatting sqref="M220">
    <cfRule type="expression" dxfId="5516" priority="2402">
      <formula>L220="NO CUMPLE"</formula>
    </cfRule>
    <cfRule type="expression" dxfId="5515" priority="2403">
      <formula>L220="CUMPLE"</formula>
    </cfRule>
  </conditionalFormatting>
  <conditionalFormatting sqref="L220:L221">
    <cfRule type="cellIs" dxfId="5514" priority="2400" operator="equal">
      <formula>"NO CUMPLE"</formula>
    </cfRule>
    <cfRule type="cellIs" dxfId="5513" priority="2401" operator="equal">
      <formula>"CUMPLE"</formula>
    </cfRule>
  </conditionalFormatting>
  <conditionalFormatting sqref="M221">
    <cfRule type="expression" dxfId="5512" priority="2398">
      <formula>L221="NO CUMPLE"</formula>
    </cfRule>
    <cfRule type="expression" dxfId="5511" priority="2399">
      <formula>L221="CUMPLE"</formula>
    </cfRule>
  </conditionalFormatting>
  <conditionalFormatting sqref="J214:J222">
    <cfRule type="cellIs" dxfId="5510" priority="2442" operator="equal">
      <formula>"NO CUMPLE"</formula>
    </cfRule>
    <cfRule type="cellIs" dxfId="5509" priority="2443" operator="equal">
      <formula>"CUMPLE"</formula>
    </cfRule>
  </conditionalFormatting>
  <conditionalFormatting sqref="K214">
    <cfRule type="expression" dxfId="5508" priority="2440">
      <formula>J214="NO CUMPLE"</formula>
    </cfRule>
    <cfRule type="expression" dxfId="5507" priority="2441">
      <formula>J214="CUMPLE"</formula>
    </cfRule>
  </conditionalFormatting>
  <conditionalFormatting sqref="K215:K216">
    <cfRule type="expression" dxfId="5506" priority="2438">
      <formula>J215="NO CUMPLE"</formula>
    </cfRule>
    <cfRule type="expression" dxfId="5505" priority="2439">
      <formula>J215="CUMPLE"</formula>
    </cfRule>
  </conditionalFormatting>
  <conditionalFormatting sqref="J223">
    <cfRule type="cellIs" dxfId="5504" priority="2436" operator="equal">
      <formula>"NO CUMPLE"</formula>
    </cfRule>
    <cfRule type="cellIs" dxfId="5503" priority="2437" operator="equal">
      <formula>"CUMPLE"</formula>
    </cfRule>
  </conditionalFormatting>
  <conditionalFormatting sqref="J224:J225">
    <cfRule type="cellIs" dxfId="5502" priority="2434" operator="equal">
      <formula>"NO CUMPLE"</formula>
    </cfRule>
    <cfRule type="cellIs" dxfId="5501" priority="2435" operator="equal">
      <formula>"CUMPLE"</formula>
    </cfRule>
  </conditionalFormatting>
  <conditionalFormatting sqref="K217">
    <cfRule type="expression" dxfId="5500" priority="2432">
      <formula>J217="NO CUMPLE"</formula>
    </cfRule>
    <cfRule type="expression" dxfId="5499" priority="2433">
      <formula>J217="CUMPLE"</formula>
    </cfRule>
  </conditionalFormatting>
  <conditionalFormatting sqref="K218:K219">
    <cfRule type="expression" dxfId="5498" priority="2430">
      <formula>J218="NO CUMPLE"</formula>
    </cfRule>
    <cfRule type="expression" dxfId="5497" priority="2431">
      <formula>J218="CUMPLE"</formula>
    </cfRule>
  </conditionalFormatting>
  <conditionalFormatting sqref="K220">
    <cfRule type="expression" dxfId="5496" priority="2428">
      <formula>J220="NO CUMPLE"</formula>
    </cfRule>
    <cfRule type="expression" dxfId="5495" priority="2429">
      <formula>J220="CUMPLE"</formula>
    </cfRule>
  </conditionalFormatting>
  <conditionalFormatting sqref="K221:K222">
    <cfRule type="expression" dxfId="5494" priority="2426">
      <formula>J221="NO CUMPLE"</formula>
    </cfRule>
    <cfRule type="expression" dxfId="5493" priority="2427">
      <formula>J221="CUMPLE"</formula>
    </cfRule>
  </conditionalFormatting>
  <conditionalFormatting sqref="K223">
    <cfRule type="expression" dxfId="5492" priority="2424">
      <formula>J223="NO CUMPLE"</formula>
    </cfRule>
    <cfRule type="expression" dxfId="5491" priority="2425">
      <formula>J223="CUMPLE"</formula>
    </cfRule>
  </conditionalFormatting>
  <conditionalFormatting sqref="K224:K225">
    <cfRule type="expression" dxfId="5490" priority="2422">
      <formula>J224="NO CUMPLE"</formula>
    </cfRule>
    <cfRule type="expression" dxfId="5489" priority="2423">
      <formula>J224="CUMPLE"</formula>
    </cfRule>
  </conditionalFormatting>
  <conditionalFormatting sqref="M215">
    <cfRule type="expression" dxfId="5488" priority="2410">
      <formula>L215="NO CUMPLE"</formula>
    </cfRule>
    <cfRule type="expression" dxfId="5487" priority="2411">
      <formula>L215="CUMPLE"</formula>
    </cfRule>
  </conditionalFormatting>
  <conditionalFormatting sqref="L214:L215">
    <cfRule type="cellIs" dxfId="5486" priority="2412" operator="equal">
      <formula>"NO CUMPLE"</formula>
    </cfRule>
    <cfRule type="cellIs" dxfId="5485" priority="2413" operator="equal">
      <formula>"CUMPLE"</formula>
    </cfRule>
  </conditionalFormatting>
  <conditionalFormatting sqref="M214">
    <cfRule type="expression" dxfId="5484" priority="2414">
      <formula>L214="NO CUMPLE"</formula>
    </cfRule>
    <cfRule type="expression" dxfId="5483" priority="2415">
      <formula>L214="CUMPLE"</formula>
    </cfRule>
  </conditionalFormatting>
  <conditionalFormatting sqref="M212">
    <cfRule type="expression" dxfId="5482" priority="2416">
      <formula>L212="NO CUMPLE"</formula>
    </cfRule>
    <cfRule type="expression" dxfId="5481" priority="2417">
      <formula>L212="CUMPLE"</formula>
    </cfRule>
  </conditionalFormatting>
  <conditionalFormatting sqref="M211">
    <cfRule type="expression" dxfId="5480" priority="2420">
      <formula>L211="NO CUMPLE"</formula>
    </cfRule>
    <cfRule type="expression" dxfId="5479" priority="2421">
      <formula>L211="CUMPLE"</formula>
    </cfRule>
  </conditionalFormatting>
  <conditionalFormatting sqref="L211:L212">
    <cfRule type="cellIs" dxfId="5478" priority="2418" operator="equal">
      <formula>"NO CUMPLE"</formula>
    </cfRule>
    <cfRule type="cellIs" dxfId="5477" priority="2419" operator="equal">
      <formula>"CUMPLE"</formula>
    </cfRule>
  </conditionalFormatting>
  <conditionalFormatting sqref="M218">
    <cfRule type="expression" dxfId="5476" priority="2404">
      <formula>L218="NO CUMPLE"</formula>
    </cfRule>
    <cfRule type="expression" dxfId="5475" priority="2405">
      <formula>L218="CUMPLE"</formula>
    </cfRule>
  </conditionalFormatting>
  <conditionalFormatting sqref="M217">
    <cfRule type="expression" dxfId="5474" priority="2408">
      <formula>L217="NO CUMPLE"</formula>
    </cfRule>
    <cfRule type="expression" dxfId="5473" priority="2409">
      <formula>L217="CUMPLE"</formula>
    </cfRule>
  </conditionalFormatting>
  <conditionalFormatting sqref="L217:L218">
    <cfRule type="cellIs" dxfId="5472" priority="2406" operator="equal">
      <formula>"NO CUMPLE"</formula>
    </cfRule>
    <cfRule type="cellIs" dxfId="5471" priority="2407" operator="equal">
      <formula>"CUMPLE"</formula>
    </cfRule>
  </conditionalFormatting>
  <conditionalFormatting sqref="M224">
    <cfRule type="expression" dxfId="5470" priority="2392">
      <formula>L224="NO CUMPLE"</formula>
    </cfRule>
    <cfRule type="expression" dxfId="5469" priority="2393">
      <formula>L224="CUMPLE"</formula>
    </cfRule>
  </conditionalFormatting>
  <conditionalFormatting sqref="M223">
    <cfRule type="expression" dxfId="5468" priority="2396">
      <formula>L223="NO CUMPLE"</formula>
    </cfRule>
    <cfRule type="expression" dxfId="5467" priority="2397">
      <formula>L223="CUMPLE"</formula>
    </cfRule>
  </conditionalFormatting>
  <conditionalFormatting sqref="L223:L224">
    <cfRule type="cellIs" dxfId="5466" priority="2394" operator="equal">
      <formula>"NO CUMPLE"</formula>
    </cfRule>
    <cfRule type="cellIs" dxfId="5465" priority="2395" operator="equal">
      <formula>"CUMPLE"</formula>
    </cfRule>
  </conditionalFormatting>
  <conditionalFormatting sqref="J211">
    <cfRule type="cellIs" dxfId="5464" priority="2390" operator="equal">
      <formula>"NO CUMPLE"</formula>
    </cfRule>
    <cfRule type="cellIs" dxfId="5463" priority="2391" operator="equal">
      <formula>"CUMPLE"</formula>
    </cfRule>
  </conditionalFormatting>
  <conditionalFormatting sqref="J212:J213">
    <cfRule type="cellIs" dxfId="5462" priority="2388" operator="equal">
      <formula>"NO CUMPLE"</formula>
    </cfRule>
    <cfRule type="cellIs" dxfId="5461" priority="2389" operator="equal">
      <formula>"CUMPLE"</formula>
    </cfRule>
  </conditionalFormatting>
  <conditionalFormatting sqref="K211">
    <cfRule type="expression" dxfId="5460" priority="2386">
      <formula>J211="NO CUMPLE"</formula>
    </cfRule>
    <cfRule type="expression" dxfId="5459" priority="2387">
      <formula>J211="CUMPLE"</formula>
    </cfRule>
  </conditionalFormatting>
  <conditionalFormatting sqref="K212:K213">
    <cfRule type="expression" dxfId="5458" priority="2384">
      <formula>J212="NO CUMPLE"</formula>
    </cfRule>
    <cfRule type="expression" dxfId="5457" priority="2385">
      <formula>J212="CUMPLE"</formula>
    </cfRule>
  </conditionalFormatting>
  <conditionalFormatting sqref="M41">
    <cfRule type="expression" dxfId="5456" priority="2366">
      <formula>L41="NO CUMPLE"</formula>
    </cfRule>
    <cfRule type="expression" dxfId="5455" priority="2367">
      <formula>L41="CUMPLE"</formula>
    </cfRule>
  </conditionalFormatting>
  <conditionalFormatting sqref="M42">
    <cfRule type="expression" dxfId="5454" priority="2364">
      <formula>L42="NO CUMPLE"</formula>
    </cfRule>
    <cfRule type="expression" dxfId="5453" priority="2365">
      <formula>L42="CUMPLE"</formula>
    </cfRule>
  </conditionalFormatting>
  <conditionalFormatting sqref="M17">
    <cfRule type="expression" dxfId="5452" priority="2376">
      <formula>L17="NO CUMPLE"</formula>
    </cfRule>
    <cfRule type="expression" dxfId="5451" priority="2377">
      <formula>L17="CUMPLE"</formula>
    </cfRule>
  </conditionalFormatting>
  <conditionalFormatting sqref="M16">
    <cfRule type="expression" dxfId="5450" priority="2378">
      <formula>L16="NO CUMPLE"</formula>
    </cfRule>
    <cfRule type="expression" dxfId="5449" priority="2379">
      <formula>L16="CUMPLE"</formula>
    </cfRule>
  </conditionalFormatting>
  <conditionalFormatting sqref="M36">
    <cfRule type="expression" dxfId="5448" priority="2372">
      <formula>L36="NO CUMPLE"</formula>
    </cfRule>
    <cfRule type="expression" dxfId="5447" priority="2373">
      <formula>L36="CUMPLE"</formula>
    </cfRule>
  </conditionalFormatting>
  <conditionalFormatting sqref="M35">
    <cfRule type="expression" dxfId="5446" priority="2374">
      <formula>L35="NO CUMPLE"</formula>
    </cfRule>
    <cfRule type="expression" dxfId="5445" priority="2375">
      <formula>L35="CUMPLE"</formula>
    </cfRule>
  </conditionalFormatting>
  <conditionalFormatting sqref="M39">
    <cfRule type="expression" dxfId="5444" priority="2368">
      <formula>L39="NO CUMPLE"</formula>
    </cfRule>
    <cfRule type="expression" dxfId="5443" priority="2369">
      <formula>L39="CUMPLE"</formula>
    </cfRule>
  </conditionalFormatting>
  <conditionalFormatting sqref="M38">
    <cfRule type="expression" dxfId="5442" priority="2370">
      <formula>L38="NO CUMPLE"</formula>
    </cfRule>
    <cfRule type="expression" dxfId="5441" priority="2371">
      <formula>L38="CUMPLE"</formula>
    </cfRule>
  </conditionalFormatting>
  <conditionalFormatting sqref="M45">
    <cfRule type="expression" dxfId="5440" priority="2360">
      <formula>L45="NO CUMPLE"</formula>
    </cfRule>
    <cfRule type="expression" dxfId="5439" priority="2361">
      <formula>L45="CUMPLE"</formula>
    </cfRule>
  </conditionalFormatting>
  <conditionalFormatting sqref="M44">
    <cfRule type="expression" dxfId="5438" priority="2362">
      <formula>L44="NO CUMPLE"</formula>
    </cfRule>
    <cfRule type="expression" dxfId="5437" priority="2363">
      <formula>L44="CUMPLE"</formula>
    </cfRule>
  </conditionalFormatting>
  <conditionalFormatting sqref="M48">
    <cfRule type="expression" dxfId="5436" priority="2356">
      <formula>L48="NO CUMPLE"</formula>
    </cfRule>
    <cfRule type="expression" dxfId="5435" priority="2357">
      <formula>L48="CUMPLE"</formula>
    </cfRule>
  </conditionalFormatting>
  <conditionalFormatting sqref="M47">
    <cfRule type="expression" dxfId="5434" priority="2358">
      <formula>L47="NO CUMPLE"</formula>
    </cfRule>
    <cfRule type="expression" dxfId="5433" priority="2359">
      <formula>L47="CUMPLE"</formula>
    </cfRule>
  </conditionalFormatting>
  <conditionalFormatting sqref="B248">
    <cfRule type="cellIs" dxfId="5432" priority="2350" operator="equal">
      <formula>"NO CUMPLE CON LA EXPERIENCIA REQUERIDA"</formula>
    </cfRule>
    <cfRule type="cellIs" dxfId="5431" priority="2351" operator="equal">
      <formula>"CUMPLE CON LA EXPERIENCIA REQUERIDA"</formula>
    </cfRule>
  </conditionalFormatting>
  <conditionalFormatting sqref="H233 H236 H239 H242 H245">
    <cfRule type="notContainsBlanks" dxfId="5430" priority="2349">
      <formula>LEN(TRIM(H233))&gt;0</formula>
    </cfRule>
  </conditionalFormatting>
  <conditionalFormatting sqref="G233">
    <cfRule type="notContainsBlanks" dxfId="5429" priority="2348">
      <formula>LEN(TRIM(G233))&gt;0</formula>
    </cfRule>
  </conditionalFormatting>
  <conditionalFormatting sqref="F233">
    <cfRule type="notContainsBlanks" dxfId="5428" priority="2347">
      <formula>LEN(TRIM(F233))&gt;0</formula>
    </cfRule>
  </conditionalFormatting>
  <conditionalFormatting sqref="E233">
    <cfRule type="notContainsBlanks" dxfId="5427" priority="2346">
      <formula>LEN(TRIM(E233))&gt;0</formula>
    </cfRule>
  </conditionalFormatting>
  <conditionalFormatting sqref="D233">
    <cfRule type="notContainsBlanks" dxfId="5426" priority="2345">
      <formula>LEN(TRIM(D233))&gt;0</formula>
    </cfRule>
  </conditionalFormatting>
  <conditionalFormatting sqref="C233">
    <cfRule type="notContainsBlanks" dxfId="5425" priority="2344">
      <formula>LEN(TRIM(C233))&gt;0</formula>
    </cfRule>
  </conditionalFormatting>
  <conditionalFormatting sqref="I233">
    <cfRule type="notContainsBlanks" dxfId="5424" priority="2343">
      <formula>LEN(TRIM(I233))&gt;0</formula>
    </cfRule>
  </conditionalFormatting>
  <conditionalFormatting sqref="S236">
    <cfRule type="cellIs" dxfId="5423" priority="2339" operator="greaterThan">
      <formula>0</formula>
    </cfRule>
    <cfRule type="top10" dxfId="5422" priority="2340" rank="10"/>
  </conditionalFormatting>
  <conditionalFormatting sqref="S239">
    <cfRule type="cellIs" dxfId="5421" priority="2337" operator="greaterThan">
      <formula>0</formula>
    </cfRule>
    <cfRule type="top10" dxfId="5420" priority="2338" rank="10"/>
  </conditionalFormatting>
  <conditionalFormatting sqref="G239">
    <cfRule type="notContainsBlanks" dxfId="5419" priority="2336">
      <formula>LEN(TRIM(G239))&gt;0</formula>
    </cfRule>
  </conditionalFormatting>
  <conditionalFormatting sqref="F239">
    <cfRule type="notContainsBlanks" dxfId="5418" priority="2335">
      <formula>LEN(TRIM(F239))&gt;0</formula>
    </cfRule>
  </conditionalFormatting>
  <conditionalFormatting sqref="E239">
    <cfRule type="notContainsBlanks" dxfId="5417" priority="2334">
      <formula>LEN(TRIM(E239))&gt;0</formula>
    </cfRule>
  </conditionalFormatting>
  <conditionalFormatting sqref="D239">
    <cfRule type="notContainsBlanks" dxfId="5416" priority="2333">
      <formula>LEN(TRIM(D239))&gt;0</formula>
    </cfRule>
  </conditionalFormatting>
  <conditionalFormatting sqref="C239">
    <cfRule type="notContainsBlanks" dxfId="5415" priority="2332">
      <formula>LEN(TRIM(C239))&gt;0</formula>
    </cfRule>
  </conditionalFormatting>
  <conditionalFormatting sqref="I239">
    <cfRule type="notContainsBlanks" dxfId="5414" priority="2331">
      <formula>LEN(TRIM(I239))&gt;0</formula>
    </cfRule>
  </conditionalFormatting>
  <conditionalFormatting sqref="S242">
    <cfRule type="cellIs" dxfId="5413" priority="2329" operator="greaterThan">
      <formula>0</formula>
    </cfRule>
    <cfRule type="top10" dxfId="5412" priority="2330" rank="10"/>
  </conditionalFormatting>
  <conditionalFormatting sqref="S245">
    <cfRule type="cellIs" dxfId="5411" priority="2327" operator="greaterThan">
      <formula>0</formula>
    </cfRule>
    <cfRule type="top10" dxfId="5410" priority="2328" rank="10"/>
  </conditionalFormatting>
  <conditionalFormatting sqref="G245">
    <cfRule type="notContainsBlanks" dxfId="5409" priority="2326">
      <formula>LEN(TRIM(G245))&gt;0</formula>
    </cfRule>
  </conditionalFormatting>
  <conditionalFormatting sqref="F245">
    <cfRule type="notContainsBlanks" dxfId="5408" priority="2325">
      <formula>LEN(TRIM(F245))&gt;0</formula>
    </cfRule>
  </conditionalFormatting>
  <conditionalFormatting sqref="E245">
    <cfRule type="notContainsBlanks" dxfId="5407" priority="2324">
      <formula>LEN(TRIM(E245))&gt;0</formula>
    </cfRule>
  </conditionalFormatting>
  <conditionalFormatting sqref="D245">
    <cfRule type="notContainsBlanks" dxfId="5406" priority="2323">
      <formula>LEN(TRIM(D245))&gt;0</formula>
    </cfRule>
  </conditionalFormatting>
  <conditionalFormatting sqref="C245">
    <cfRule type="notContainsBlanks" dxfId="5405" priority="2322">
      <formula>LEN(TRIM(C245))&gt;0</formula>
    </cfRule>
  </conditionalFormatting>
  <conditionalFormatting sqref="I245">
    <cfRule type="notContainsBlanks" dxfId="5404" priority="2321">
      <formula>LEN(TRIM(I245))&gt;0</formula>
    </cfRule>
  </conditionalFormatting>
  <conditionalFormatting sqref="G236">
    <cfRule type="notContainsBlanks" dxfId="5403" priority="2320">
      <formula>LEN(TRIM(G236))&gt;0</formula>
    </cfRule>
  </conditionalFormatting>
  <conditionalFormatting sqref="F236">
    <cfRule type="notContainsBlanks" dxfId="5402" priority="2319">
      <formula>LEN(TRIM(F236))&gt;0</formula>
    </cfRule>
  </conditionalFormatting>
  <conditionalFormatting sqref="E236">
    <cfRule type="notContainsBlanks" dxfId="5401" priority="2318">
      <formula>LEN(TRIM(E236))&gt;0</formula>
    </cfRule>
  </conditionalFormatting>
  <conditionalFormatting sqref="D236">
    <cfRule type="notContainsBlanks" dxfId="5400" priority="2317">
      <formula>LEN(TRIM(D236))&gt;0</formula>
    </cfRule>
  </conditionalFormatting>
  <conditionalFormatting sqref="C236">
    <cfRule type="notContainsBlanks" dxfId="5399" priority="2316">
      <formula>LEN(TRIM(C236))&gt;0</formula>
    </cfRule>
  </conditionalFormatting>
  <conditionalFormatting sqref="G242">
    <cfRule type="notContainsBlanks" dxfId="5398" priority="2315">
      <formula>LEN(TRIM(G242))&gt;0</formula>
    </cfRule>
  </conditionalFormatting>
  <conditionalFormatting sqref="F242">
    <cfRule type="notContainsBlanks" dxfId="5397" priority="2314">
      <formula>LEN(TRIM(F242))&gt;0</formula>
    </cfRule>
  </conditionalFormatting>
  <conditionalFormatting sqref="E242">
    <cfRule type="notContainsBlanks" dxfId="5396" priority="2313">
      <formula>LEN(TRIM(E242))&gt;0</formula>
    </cfRule>
  </conditionalFormatting>
  <conditionalFormatting sqref="D242">
    <cfRule type="notContainsBlanks" dxfId="5395" priority="2312">
      <formula>LEN(TRIM(D242))&gt;0</formula>
    </cfRule>
  </conditionalFormatting>
  <conditionalFormatting sqref="C242">
    <cfRule type="notContainsBlanks" dxfId="5394" priority="2311">
      <formula>LEN(TRIM(C242))&gt;0</formula>
    </cfRule>
  </conditionalFormatting>
  <conditionalFormatting sqref="I242">
    <cfRule type="notContainsBlanks" dxfId="5393" priority="2309">
      <formula>LEN(TRIM(I242))&gt;0</formula>
    </cfRule>
  </conditionalFormatting>
  <conditionalFormatting sqref="S248">
    <cfRule type="expression" dxfId="5392" priority="2307">
      <formula>$S$28&gt;0</formula>
    </cfRule>
    <cfRule type="cellIs" dxfId="5391" priority="2308" operator="equal">
      <formula>0</formula>
    </cfRule>
  </conditionalFormatting>
  <conditionalFormatting sqref="S249">
    <cfRule type="expression" dxfId="5390" priority="2305">
      <formula>$S$28&gt;0</formula>
    </cfRule>
    <cfRule type="cellIs" dxfId="5389" priority="2306" operator="equal">
      <formula>0</formula>
    </cfRule>
  </conditionalFormatting>
  <conditionalFormatting sqref="N245">
    <cfRule type="expression" dxfId="5388" priority="2266">
      <formula>N245=" "</formula>
    </cfRule>
    <cfRule type="expression" dxfId="5387" priority="2267">
      <formula>N245="NO PRESENTÓ CERTIFICADO"</formula>
    </cfRule>
    <cfRule type="expression" dxfId="5386" priority="2268">
      <formula>N245="PRESENTÓ CERTIFICADO"</formula>
    </cfRule>
  </conditionalFormatting>
  <conditionalFormatting sqref="O245">
    <cfRule type="cellIs" dxfId="5385" priority="2248" operator="equal">
      <formula>"PENDIENTE POR DESCRIPCIÓN"</formula>
    </cfRule>
    <cfRule type="cellIs" dxfId="5384" priority="2249" operator="equal">
      <formula>"DESCRIPCIÓN INSUFICIENTE"</formula>
    </cfRule>
    <cfRule type="cellIs" dxfId="5383" priority="2250" operator="equal">
      <formula>"NO ESTÁ ACORDE A ITEM 5.2.2 (T.R.)"</formula>
    </cfRule>
    <cfRule type="cellIs" dxfId="5382" priority="2251" operator="equal">
      <formula>"ACORDE A ITEM 5.2.2 (T.R.)"</formula>
    </cfRule>
    <cfRule type="cellIs" dxfId="5381" priority="2258" operator="equal">
      <formula>"PENDIENTE POR DESCRIPCIÓN"</formula>
    </cfRule>
    <cfRule type="cellIs" dxfId="5380" priority="2260" operator="equal">
      <formula>"DESCRIPCIÓN INSUFICIENTE"</formula>
    </cfRule>
    <cfRule type="cellIs" dxfId="5379" priority="2261" operator="equal">
      <formula>"NO ESTÁ ACORDE A ITEM 5.2.1 (T.R.)"</formula>
    </cfRule>
    <cfRule type="cellIs" dxfId="5378" priority="2262" operator="equal">
      <formula>"ACORDE A ITEM 5.2.1 (T.R.)"</formula>
    </cfRule>
  </conditionalFormatting>
  <conditionalFormatting sqref="Q245">
    <cfRule type="containsBlanks" dxfId="5377" priority="2253">
      <formula>LEN(TRIM(Q245))=0</formula>
    </cfRule>
    <cfRule type="cellIs" dxfId="5376" priority="2259" operator="equal">
      <formula>"REQUERIMIENTOS SUBSANADOS"</formula>
    </cfRule>
    <cfRule type="containsText" dxfId="5375" priority="2263" operator="containsText" text="NO SUBSANABLE">
      <formula>NOT(ISERROR(SEARCH("NO SUBSANABLE",Q245)))</formula>
    </cfRule>
    <cfRule type="containsText" dxfId="5374" priority="2264" operator="containsText" text="PENDIENTES POR SUBSANAR">
      <formula>NOT(ISERROR(SEARCH("PENDIENTES POR SUBSANAR",Q245)))</formula>
    </cfRule>
    <cfRule type="containsText" dxfId="5373" priority="2265" operator="containsText" text="SIN OBSERVACIÓN">
      <formula>NOT(ISERROR(SEARCH("SIN OBSERVACIÓN",Q245)))</formula>
    </cfRule>
  </conditionalFormatting>
  <conditionalFormatting sqref="R245">
    <cfRule type="containsBlanks" dxfId="5372" priority="2252">
      <formula>LEN(TRIM(R245))=0</formula>
    </cfRule>
    <cfRule type="cellIs" dxfId="5371" priority="2254" operator="equal">
      <formula>"NO CUMPLEN CON LO SOLICITADO"</formula>
    </cfRule>
    <cfRule type="cellIs" dxfId="5370" priority="2255" operator="equal">
      <formula>"CUMPLEN CON LO SOLICITADO"</formula>
    </cfRule>
    <cfRule type="cellIs" dxfId="5369" priority="2256" operator="equal">
      <formula>"PENDIENTES"</formula>
    </cfRule>
    <cfRule type="cellIs" dxfId="5368" priority="2257" operator="equal">
      <formula>"NINGUNO"</formula>
    </cfRule>
  </conditionalFormatting>
  <conditionalFormatting sqref="P242 P245">
    <cfRule type="expression" dxfId="5367" priority="2243">
      <formula>Q242="NO SUBSANABLE"</formula>
    </cfRule>
    <cfRule type="expression" dxfId="5366" priority="2244">
      <formula>Q242="REQUERIMIENTOS SUBSANADOS"</formula>
    </cfRule>
    <cfRule type="expression" dxfId="5365" priority="2245">
      <formula>Q242="PENDIENTES POR SUBSANAR"</formula>
    </cfRule>
    <cfRule type="expression" dxfId="5364" priority="2246">
      <formula>Q242="SIN OBSERVACIÓN"</formula>
    </cfRule>
    <cfRule type="containsBlanks" dxfId="5363" priority="2247">
      <formula>LEN(TRIM(P242))=0</formula>
    </cfRule>
  </conditionalFormatting>
  <conditionalFormatting sqref="N242">
    <cfRule type="expression" dxfId="5362" priority="2234">
      <formula>N242=" "</formula>
    </cfRule>
    <cfRule type="expression" dxfId="5361" priority="2235">
      <formula>N242="NO PRESENTÓ CERTIFICADO"</formula>
    </cfRule>
    <cfRule type="expression" dxfId="5360" priority="2236">
      <formula>N242="PRESENTÓ CERTIFICADO"</formula>
    </cfRule>
  </conditionalFormatting>
  <conditionalFormatting sqref="O242">
    <cfRule type="cellIs" dxfId="5359" priority="2210" operator="equal">
      <formula>"PENDIENTE POR DESCRIPCIÓN"</formula>
    </cfRule>
    <cfRule type="cellIs" dxfId="5358" priority="2211" operator="equal">
      <formula>"DESCRIPCIÓN INSUFICIENTE"</formula>
    </cfRule>
    <cfRule type="cellIs" dxfId="5357" priority="2212" operator="equal">
      <formula>"NO ESTÁ ACORDE A ITEM 5.2.2 (T.R.)"</formula>
    </cfRule>
    <cfRule type="cellIs" dxfId="5356" priority="2213" operator="equal">
      <formula>"ACORDE A ITEM 5.2.2 (T.R.)"</formula>
    </cfRule>
    <cfRule type="cellIs" dxfId="5355" priority="2214" operator="equal">
      <formula>"PENDIENTE POR DESCRIPCIÓN"</formula>
    </cfRule>
    <cfRule type="cellIs" dxfId="5354" priority="2215" operator="equal">
      <formula>"DESCRIPCIÓN INSUFICIENTE"</formula>
    </cfRule>
    <cfRule type="cellIs" dxfId="5353" priority="2216" operator="equal">
      <formula>"NO ESTÁ ACORDE A ITEM 5.2.1 (T.R.)"</formula>
    </cfRule>
    <cfRule type="cellIs" dxfId="5352" priority="2217" operator="equal">
      <formula>"ACORDE A ITEM 5.2.1 (T.R.)"</formula>
    </cfRule>
  </conditionalFormatting>
  <conditionalFormatting sqref="Q242">
    <cfRule type="containsBlanks" dxfId="5351" priority="2181">
      <formula>LEN(TRIM(Q242))=0</formula>
    </cfRule>
    <cfRule type="cellIs" dxfId="5350" priority="2186" operator="equal">
      <formula>"REQUERIMIENTOS SUBSANADOS"</formula>
    </cfRule>
    <cfRule type="containsText" dxfId="5349" priority="2187" operator="containsText" text="NO SUBSANABLE">
      <formula>NOT(ISERROR(SEARCH("NO SUBSANABLE",Q242)))</formula>
    </cfRule>
    <cfRule type="containsText" dxfId="5348" priority="2188" operator="containsText" text="PENDIENTES POR SUBSANAR">
      <formula>NOT(ISERROR(SEARCH("PENDIENTES POR SUBSANAR",Q242)))</formula>
    </cfRule>
    <cfRule type="containsText" dxfId="5347" priority="2189" operator="containsText" text="SIN OBSERVACIÓN">
      <formula>NOT(ISERROR(SEARCH("SIN OBSERVACIÓN",Q242)))</formula>
    </cfRule>
  </conditionalFormatting>
  <conditionalFormatting sqref="R242">
    <cfRule type="containsBlanks" dxfId="5346" priority="2180">
      <formula>LEN(TRIM(R242))=0</formula>
    </cfRule>
    <cfRule type="cellIs" dxfId="5345" priority="2182" operator="equal">
      <formula>"NO CUMPLEN CON LO SOLICITADO"</formula>
    </cfRule>
    <cfRule type="cellIs" dxfId="5344" priority="2183" operator="equal">
      <formula>"CUMPLEN CON LO SOLICITADO"</formula>
    </cfRule>
    <cfRule type="cellIs" dxfId="5343" priority="2184" operator="equal">
      <formula>"PENDIENTES"</formula>
    </cfRule>
    <cfRule type="cellIs" dxfId="5342" priority="2185" operator="equal">
      <formula>"NINGUNO"</formula>
    </cfRule>
  </conditionalFormatting>
  <conditionalFormatting sqref="M242">
    <cfRule type="expression" dxfId="5341" priority="2138">
      <formula>L242="NO CUMPLE"</formula>
    </cfRule>
    <cfRule type="expression" dxfId="5340" priority="2139">
      <formula>L242="CUMPLE"</formula>
    </cfRule>
  </conditionalFormatting>
  <conditionalFormatting sqref="L242:L243">
    <cfRule type="cellIs" dxfId="5339" priority="2136" operator="equal">
      <formula>"NO CUMPLE"</formula>
    </cfRule>
    <cfRule type="cellIs" dxfId="5338" priority="2137" operator="equal">
      <formula>"CUMPLE"</formula>
    </cfRule>
  </conditionalFormatting>
  <conditionalFormatting sqref="M243">
    <cfRule type="expression" dxfId="5337" priority="2134">
      <formula>L243="NO CUMPLE"</formula>
    </cfRule>
    <cfRule type="expression" dxfId="5336" priority="2135">
      <formula>L243="CUMPLE"</formula>
    </cfRule>
  </conditionalFormatting>
  <conditionalFormatting sqref="J242:J244">
    <cfRule type="cellIs" dxfId="5335" priority="2178" operator="equal">
      <formula>"NO CUMPLE"</formula>
    </cfRule>
    <cfRule type="cellIs" dxfId="5334" priority="2179" operator="equal">
      <formula>"CUMPLE"</formula>
    </cfRule>
  </conditionalFormatting>
  <conditionalFormatting sqref="K236">
    <cfRule type="expression" dxfId="5333" priority="2176">
      <formula>J236="NO CUMPLE"</formula>
    </cfRule>
    <cfRule type="expression" dxfId="5332" priority="2177">
      <formula>J236="CUMPLE"</formula>
    </cfRule>
  </conditionalFormatting>
  <conditionalFormatting sqref="K237:K238">
    <cfRule type="expression" dxfId="5331" priority="2174">
      <formula>J237="NO CUMPLE"</formula>
    </cfRule>
    <cfRule type="expression" dxfId="5330" priority="2175">
      <formula>J237="CUMPLE"</formula>
    </cfRule>
  </conditionalFormatting>
  <conditionalFormatting sqref="J245">
    <cfRule type="cellIs" dxfId="5329" priority="2172" operator="equal">
      <formula>"NO CUMPLE"</formula>
    </cfRule>
    <cfRule type="cellIs" dxfId="5328" priority="2173" operator="equal">
      <formula>"CUMPLE"</formula>
    </cfRule>
  </conditionalFormatting>
  <conditionalFormatting sqref="J246:J247">
    <cfRule type="cellIs" dxfId="5327" priority="2170" operator="equal">
      <formula>"NO CUMPLE"</formula>
    </cfRule>
    <cfRule type="cellIs" dxfId="5326" priority="2171" operator="equal">
      <formula>"CUMPLE"</formula>
    </cfRule>
  </conditionalFormatting>
  <conditionalFormatting sqref="K239">
    <cfRule type="expression" dxfId="5325" priority="2168">
      <formula>J239="NO CUMPLE"</formula>
    </cfRule>
    <cfRule type="expression" dxfId="5324" priority="2169">
      <formula>J239="CUMPLE"</formula>
    </cfRule>
  </conditionalFormatting>
  <conditionalFormatting sqref="K240:K241">
    <cfRule type="expression" dxfId="5323" priority="2166">
      <formula>J240="NO CUMPLE"</formula>
    </cfRule>
    <cfRule type="expression" dxfId="5322" priority="2167">
      <formula>J240="CUMPLE"</formula>
    </cfRule>
  </conditionalFormatting>
  <conditionalFormatting sqref="K242">
    <cfRule type="expression" dxfId="5321" priority="2164">
      <formula>J242="NO CUMPLE"</formula>
    </cfRule>
    <cfRule type="expression" dxfId="5320" priority="2165">
      <formula>J242="CUMPLE"</formula>
    </cfRule>
  </conditionalFormatting>
  <conditionalFormatting sqref="K243:K244">
    <cfRule type="expression" dxfId="5319" priority="2162">
      <formula>J243="NO CUMPLE"</formula>
    </cfRule>
    <cfRule type="expression" dxfId="5318" priority="2163">
      <formula>J243="CUMPLE"</formula>
    </cfRule>
  </conditionalFormatting>
  <conditionalFormatting sqref="K245">
    <cfRule type="expression" dxfId="5317" priority="2160">
      <formula>J245="NO CUMPLE"</formula>
    </cfRule>
    <cfRule type="expression" dxfId="5316" priority="2161">
      <formula>J245="CUMPLE"</formula>
    </cfRule>
  </conditionalFormatting>
  <conditionalFormatting sqref="K246:K247">
    <cfRule type="expression" dxfId="5315" priority="2158">
      <formula>J246="NO CUMPLE"</formula>
    </cfRule>
    <cfRule type="expression" dxfId="5314" priority="2159">
      <formula>J246="CUMPLE"</formula>
    </cfRule>
  </conditionalFormatting>
  <conditionalFormatting sqref="M237">
    <cfRule type="expression" dxfId="5313" priority="2146">
      <formula>L237="NO CUMPLE"</formula>
    </cfRule>
    <cfRule type="expression" dxfId="5312" priority="2147">
      <formula>L237="CUMPLE"</formula>
    </cfRule>
  </conditionalFormatting>
  <conditionalFormatting sqref="L236:L237">
    <cfRule type="cellIs" dxfId="5311" priority="2148" operator="equal">
      <formula>"NO CUMPLE"</formula>
    </cfRule>
    <cfRule type="cellIs" dxfId="5310" priority="2149" operator="equal">
      <formula>"CUMPLE"</formula>
    </cfRule>
  </conditionalFormatting>
  <conditionalFormatting sqref="M236">
    <cfRule type="expression" dxfId="5309" priority="2150">
      <formula>L236="NO CUMPLE"</formula>
    </cfRule>
    <cfRule type="expression" dxfId="5308" priority="2151">
      <formula>L236="CUMPLE"</formula>
    </cfRule>
  </conditionalFormatting>
  <conditionalFormatting sqref="M234">
    <cfRule type="expression" dxfId="5307" priority="2152">
      <formula>L234="NO CUMPLE"</formula>
    </cfRule>
    <cfRule type="expression" dxfId="5306" priority="2153">
      <formula>L234="CUMPLE"</formula>
    </cfRule>
  </conditionalFormatting>
  <conditionalFormatting sqref="M233">
    <cfRule type="expression" dxfId="5305" priority="2156">
      <formula>L233="NO CUMPLE"</formula>
    </cfRule>
    <cfRule type="expression" dxfId="5304" priority="2157">
      <formula>L233="CUMPLE"</formula>
    </cfRule>
  </conditionalFormatting>
  <conditionalFormatting sqref="L233:L234">
    <cfRule type="cellIs" dxfId="5303" priority="2154" operator="equal">
      <formula>"NO CUMPLE"</formula>
    </cfRule>
    <cfRule type="cellIs" dxfId="5302" priority="2155" operator="equal">
      <formula>"CUMPLE"</formula>
    </cfRule>
  </conditionalFormatting>
  <conditionalFormatting sqref="M240">
    <cfRule type="expression" dxfId="5301" priority="2140">
      <formula>L240="NO CUMPLE"</formula>
    </cfRule>
    <cfRule type="expression" dxfId="5300" priority="2141">
      <formula>L240="CUMPLE"</formula>
    </cfRule>
  </conditionalFormatting>
  <conditionalFormatting sqref="M239">
    <cfRule type="expression" dxfId="5299" priority="2144">
      <formula>L239="NO CUMPLE"</formula>
    </cfRule>
    <cfRule type="expression" dxfId="5298" priority="2145">
      <formula>L239="CUMPLE"</formula>
    </cfRule>
  </conditionalFormatting>
  <conditionalFormatting sqref="L239:L240">
    <cfRule type="cellIs" dxfId="5297" priority="2142" operator="equal">
      <formula>"NO CUMPLE"</formula>
    </cfRule>
    <cfRule type="cellIs" dxfId="5296" priority="2143" operator="equal">
      <formula>"CUMPLE"</formula>
    </cfRule>
  </conditionalFormatting>
  <conditionalFormatting sqref="M246">
    <cfRule type="expression" dxfId="5295" priority="2128">
      <formula>L246="NO CUMPLE"</formula>
    </cfRule>
    <cfRule type="expression" dxfId="5294" priority="2129">
      <formula>L246="CUMPLE"</formula>
    </cfRule>
  </conditionalFormatting>
  <conditionalFormatting sqref="M245">
    <cfRule type="expression" dxfId="5293" priority="2132">
      <formula>L245="NO CUMPLE"</formula>
    </cfRule>
    <cfRule type="expression" dxfId="5292" priority="2133">
      <formula>L245="CUMPLE"</formula>
    </cfRule>
  </conditionalFormatting>
  <conditionalFormatting sqref="L245:L246">
    <cfRule type="cellIs" dxfId="5291" priority="2130" operator="equal">
      <formula>"NO CUMPLE"</formula>
    </cfRule>
    <cfRule type="cellIs" dxfId="5290" priority="2131" operator="equal">
      <formula>"CUMPLE"</formula>
    </cfRule>
  </conditionalFormatting>
  <conditionalFormatting sqref="J233">
    <cfRule type="cellIs" dxfId="5289" priority="2126" operator="equal">
      <formula>"NO CUMPLE"</formula>
    </cfRule>
    <cfRule type="cellIs" dxfId="5288" priority="2127" operator="equal">
      <formula>"CUMPLE"</formula>
    </cfRule>
  </conditionalFormatting>
  <conditionalFormatting sqref="J234:J235">
    <cfRule type="cellIs" dxfId="5287" priority="2124" operator="equal">
      <formula>"NO CUMPLE"</formula>
    </cfRule>
    <cfRule type="cellIs" dxfId="5286" priority="2125" operator="equal">
      <formula>"CUMPLE"</formula>
    </cfRule>
  </conditionalFormatting>
  <conditionalFormatting sqref="K233">
    <cfRule type="expression" dxfId="5285" priority="2122">
      <formula>J233="NO CUMPLE"</formula>
    </cfRule>
    <cfRule type="expression" dxfId="5284" priority="2123">
      <formula>J233="CUMPLE"</formula>
    </cfRule>
  </conditionalFormatting>
  <conditionalFormatting sqref="K234:K235">
    <cfRule type="expression" dxfId="5283" priority="2120">
      <formula>J234="NO CUMPLE"</formula>
    </cfRule>
    <cfRule type="expression" dxfId="5282" priority="2121">
      <formula>J234="CUMPLE"</formula>
    </cfRule>
  </conditionalFormatting>
  <conditionalFormatting sqref="S255">
    <cfRule type="cellIs" dxfId="5281" priority="2118" operator="greaterThan">
      <formula>0</formula>
    </cfRule>
    <cfRule type="top10" dxfId="5280" priority="2119" rank="10"/>
  </conditionalFormatting>
  <conditionalFormatting sqref="B270">
    <cfRule type="cellIs" dxfId="5279" priority="2114" operator="equal">
      <formula>"NO CUMPLE CON LA EXPERIENCIA REQUERIDA"</formula>
    </cfRule>
    <cfRule type="cellIs" dxfId="5278" priority="2115" operator="equal">
      <formula>"CUMPLE CON LA EXPERIENCIA REQUERIDA"</formula>
    </cfRule>
  </conditionalFormatting>
  <conditionalFormatting sqref="H255">
    <cfRule type="notContainsBlanks" dxfId="5277" priority="2113">
      <formula>LEN(TRIM(H255))&gt;0</formula>
    </cfRule>
  </conditionalFormatting>
  <conditionalFormatting sqref="G255">
    <cfRule type="notContainsBlanks" dxfId="5276" priority="2112">
      <formula>LEN(TRIM(G255))&gt;0</formula>
    </cfRule>
  </conditionalFormatting>
  <conditionalFormatting sqref="F255">
    <cfRule type="notContainsBlanks" dxfId="5275" priority="2111">
      <formula>LEN(TRIM(F255))&gt;0</formula>
    </cfRule>
  </conditionalFormatting>
  <conditionalFormatting sqref="E255">
    <cfRule type="notContainsBlanks" dxfId="5274" priority="2110">
      <formula>LEN(TRIM(E255))&gt;0</formula>
    </cfRule>
  </conditionalFormatting>
  <conditionalFormatting sqref="D255">
    <cfRule type="notContainsBlanks" dxfId="5273" priority="2109">
      <formula>LEN(TRIM(D255))&gt;0</formula>
    </cfRule>
  </conditionalFormatting>
  <conditionalFormatting sqref="C255">
    <cfRule type="notContainsBlanks" dxfId="5272" priority="2108">
      <formula>LEN(TRIM(C255))&gt;0</formula>
    </cfRule>
  </conditionalFormatting>
  <conditionalFormatting sqref="I255">
    <cfRule type="notContainsBlanks" dxfId="5271" priority="2107">
      <formula>LEN(TRIM(I255))&gt;0</formula>
    </cfRule>
  </conditionalFormatting>
  <conditionalFormatting sqref="S258">
    <cfRule type="cellIs" dxfId="5270" priority="2103" operator="greaterThan">
      <formula>0</formula>
    </cfRule>
    <cfRule type="top10" dxfId="5269" priority="2104" rank="10"/>
  </conditionalFormatting>
  <conditionalFormatting sqref="S261">
    <cfRule type="cellIs" dxfId="5268" priority="2101" operator="greaterThan">
      <formula>0</formula>
    </cfRule>
    <cfRule type="top10" dxfId="5267" priority="2102" rank="10"/>
  </conditionalFormatting>
  <conditionalFormatting sqref="G261">
    <cfRule type="notContainsBlanks" dxfId="5266" priority="2100">
      <formula>LEN(TRIM(G261))&gt;0</formula>
    </cfRule>
  </conditionalFormatting>
  <conditionalFormatting sqref="F261">
    <cfRule type="notContainsBlanks" dxfId="5265" priority="2099">
      <formula>LEN(TRIM(F261))&gt;0</formula>
    </cfRule>
  </conditionalFormatting>
  <conditionalFormatting sqref="E261">
    <cfRule type="notContainsBlanks" dxfId="5264" priority="2098">
      <formula>LEN(TRIM(E261))&gt;0</formula>
    </cfRule>
  </conditionalFormatting>
  <conditionalFormatting sqref="D261">
    <cfRule type="notContainsBlanks" dxfId="5263" priority="2097">
      <formula>LEN(TRIM(D261))&gt;0</formula>
    </cfRule>
  </conditionalFormatting>
  <conditionalFormatting sqref="C261">
    <cfRule type="notContainsBlanks" dxfId="5262" priority="2096">
      <formula>LEN(TRIM(C261))&gt;0</formula>
    </cfRule>
  </conditionalFormatting>
  <conditionalFormatting sqref="S264">
    <cfRule type="cellIs" dxfId="5261" priority="2093" operator="greaterThan">
      <formula>0</formula>
    </cfRule>
    <cfRule type="top10" dxfId="5260" priority="2094" rank="10"/>
  </conditionalFormatting>
  <conditionalFormatting sqref="S267">
    <cfRule type="cellIs" dxfId="5259" priority="2091" operator="greaterThan">
      <formula>0</formula>
    </cfRule>
    <cfRule type="top10" dxfId="5258" priority="2092" rank="10"/>
  </conditionalFormatting>
  <conditionalFormatting sqref="G267">
    <cfRule type="notContainsBlanks" dxfId="5257" priority="2090">
      <formula>LEN(TRIM(G267))&gt;0</formula>
    </cfRule>
  </conditionalFormatting>
  <conditionalFormatting sqref="F267">
    <cfRule type="notContainsBlanks" dxfId="5256" priority="2089">
      <formula>LEN(TRIM(F267))&gt;0</formula>
    </cfRule>
  </conditionalFormatting>
  <conditionalFormatting sqref="E267">
    <cfRule type="notContainsBlanks" dxfId="5255" priority="2088">
      <formula>LEN(TRIM(E267))&gt;0</formula>
    </cfRule>
  </conditionalFormatting>
  <conditionalFormatting sqref="D267">
    <cfRule type="notContainsBlanks" dxfId="5254" priority="2087">
      <formula>LEN(TRIM(D267))&gt;0</formula>
    </cfRule>
  </conditionalFormatting>
  <conditionalFormatting sqref="C267">
    <cfRule type="notContainsBlanks" dxfId="5253" priority="2086">
      <formula>LEN(TRIM(C267))&gt;0</formula>
    </cfRule>
  </conditionalFormatting>
  <conditionalFormatting sqref="G258">
    <cfRule type="notContainsBlanks" dxfId="5252" priority="2084">
      <formula>LEN(TRIM(G258))&gt;0</formula>
    </cfRule>
  </conditionalFormatting>
  <conditionalFormatting sqref="F258">
    <cfRule type="notContainsBlanks" dxfId="5251" priority="2083">
      <formula>LEN(TRIM(F258))&gt;0</formula>
    </cfRule>
  </conditionalFormatting>
  <conditionalFormatting sqref="E258">
    <cfRule type="notContainsBlanks" dxfId="5250" priority="2082">
      <formula>LEN(TRIM(E258))&gt;0</formula>
    </cfRule>
  </conditionalFormatting>
  <conditionalFormatting sqref="D258">
    <cfRule type="notContainsBlanks" dxfId="5249" priority="2081">
      <formula>LEN(TRIM(D258))&gt;0</formula>
    </cfRule>
  </conditionalFormatting>
  <conditionalFormatting sqref="C258">
    <cfRule type="notContainsBlanks" dxfId="5248" priority="2080">
      <formula>LEN(TRIM(C258))&gt;0</formula>
    </cfRule>
  </conditionalFormatting>
  <conditionalFormatting sqref="G264">
    <cfRule type="notContainsBlanks" dxfId="5247" priority="2079">
      <formula>LEN(TRIM(G264))&gt;0</formula>
    </cfRule>
  </conditionalFormatting>
  <conditionalFormatting sqref="F264">
    <cfRule type="notContainsBlanks" dxfId="5246" priority="2078">
      <formula>LEN(TRIM(F264))&gt;0</formula>
    </cfRule>
  </conditionalFormatting>
  <conditionalFormatting sqref="E264">
    <cfRule type="notContainsBlanks" dxfId="5245" priority="2077">
      <formula>LEN(TRIM(E264))&gt;0</formula>
    </cfRule>
  </conditionalFormatting>
  <conditionalFormatting sqref="D264">
    <cfRule type="notContainsBlanks" dxfId="5244" priority="2076">
      <formula>LEN(TRIM(D264))&gt;0</formula>
    </cfRule>
  </conditionalFormatting>
  <conditionalFormatting sqref="C264">
    <cfRule type="notContainsBlanks" dxfId="5243" priority="2075">
      <formula>LEN(TRIM(C264))&gt;0</formula>
    </cfRule>
  </conditionalFormatting>
  <conditionalFormatting sqref="S270">
    <cfRule type="expression" dxfId="5242" priority="2071">
      <formula>$S$28&gt;0</formula>
    </cfRule>
    <cfRule type="cellIs" dxfId="5241" priority="2072" operator="equal">
      <formula>0</formula>
    </cfRule>
  </conditionalFormatting>
  <conditionalFormatting sqref="S271">
    <cfRule type="expression" dxfId="5240" priority="2069">
      <formula>$S$28&gt;0</formula>
    </cfRule>
    <cfRule type="cellIs" dxfId="5239" priority="2070" operator="equal">
      <formula>0</formula>
    </cfRule>
  </conditionalFormatting>
  <conditionalFormatting sqref="N255">
    <cfRule type="expression" dxfId="5238" priority="2056">
      <formula>N255=" "</formula>
    </cfRule>
    <cfRule type="expression" dxfId="5237" priority="2057">
      <formula>N255="NO PRESENTÓ CERTIFICADO"</formula>
    </cfRule>
    <cfRule type="expression" dxfId="5236" priority="2058">
      <formula>N255="PRESENTÓ CERTIFICADO"</formula>
    </cfRule>
  </conditionalFormatting>
  <conditionalFormatting sqref="O255">
    <cfRule type="cellIs" dxfId="5235" priority="2038" operator="equal">
      <formula>"PENDIENTE POR DESCRIPCIÓN"</formula>
    </cfRule>
    <cfRule type="cellIs" dxfId="5234" priority="2039" operator="equal">
      <formula>"DESCRIPCIÓN INSUFICIENTE"</formula>
    </cfRule>
    <cfRule type="cellIs" dxfId="5233" priority="2040" operator="equal">
      <formula>"NO ESTÁ ACORDE A ITEM 5.2.2 (T.R.)"</formula>
    </cfRule>
    <cfRule type="cellIs" dxfId="5232" priority="2041" operator="equal">
      <formula>"ACORDE A ITEM 5.2.2 (T.R.)"</formula>
    </cfRule>
    <cfRule type="cellIs" dxfId="5231" priority="2048" operator="equal">
      <formula>"PENDIENTE POR DESCRIPCIÓN"</formula>
    </cfRule>
    <cfRule type="cellIs" dxfId="5230" priority="2050" operator="equal">
      <formula>"DESCRIPCIÓN INSUFICIENTE"</formula>
    </cfRule>
    <cfRule type="cellIs" dxfId="5229" priority="2051" operator="equal">
      <formula>"NO ESTÁ ACORDE A ITEM 5.2.1 (T.R.)"</formula>
    </cfRule>
    <cfRule type="cellIs" dxfId="5228" priority="2052" operator="equal">
      <formula>"ACORDE A ITEM 5.2.1 (T.R.)"</formula>
    </cfRule>
  </conditionalFormatting>
  <conditionalFormatting sqref="Q255">
    <cfRule type="containsBlanks" dxfId="5227" priority="2043">
      <formula>LEN(TRIM(Q255))=0</formula>
    </cfRule>
    <cfRule type="cellIs" dxfId="5226" priority="2049" operator="equal">
      <formula>"REQUERIMIENTOS SUBSANADOS"</formula>
    </cfRule>
    <cfRule type="containsText" dxfId="5225" priority="2053" operator="containsText" text="NO SUBSANABLE">
      <formula>NOT(ISERROR(SEARCH("NO SUBSANABLE",Q255)))</formula>
    </cfRule>
    <cfRule type="containsText" dxfId="5224" priority="2054" operator="containsText" text="PENDIENTES POR SUBSANAR">
      <formula>NOT(ISERROR(SEARCH("PENDIENTES POR SUBSANAR",Q255)))</formula>
    </cfRule>
    <cfRule type="containsText" dxfId="5223" priority="2055" operator="containsText" text="SIN OBSERVACIÓN">
      <formula>NOT(ISERROR(SEARCH("SIN OBSERVACIÓN",Q255)))</formula>
    </cfRule>
  </conditionalFormatting>
  <conditionalFormatting sqref="R255">
    <cfRule type="containsBlanks" dxfId="5222" priority="2042">
      <formula>LEN(TRIM(R255))=0</formula>
    </cfRule>
    <cfRule type="cellIs" dxfId="5221" priority="2044" operator="equal">
      <formula>"NO CUMPLEN CON LO SOLICITADO"</formula>
    </cfRule>
    <cfRule type="cellIs" dxfId="5220" priority="2045" operator="equal">
      <formula>"CUMPLEN CON LO SOLICITADO"</formula>
    </cfRule>
    <cfRule type="cellIs" dxfId="5219" priority="2046" operator="equal">
      <formula>"PENDIENTES"</formula>
    </cfRule>
    <cfRule type="cellIs" dxfId="5218" priority="2047" operator="equal">
      <formula>"NINGUNO"</formula>
    </cfRule>
  </conditionalFormatting>
  <conditionalFormatting sqref="P255">
    <cfRule type="expression" dxfId="5217" priority="2033">
      <formula>Q255="NO SUBSANABLE"</formula>
    </cfRule>
    <cfRule type="expression" dxfId="5216" priority="2034">
      <formula>Q255="REQUERIMIENTOS SUBSANADOS"</formula>
    </cfRule>
    <cfRule type="expression" dxfId="5215" priority="2035">
      <formula>Q255="PENDIENTES POR SUBSANAR"</formula>
    </cfRule>
    <cfRule type="expression" dxfId="5214" priority="2036">
      <formula>Q255="SIN OBSERVACIÓN"</formula>
    </cfRule>
    <cfRule type="containsBlanks" dxfId="5213" priority="2037">
      <formula>LEN(TRIM(P255))=0</formula>
    </cfRule>
  </conditionalFormatting>
  <conditionalFormatting sqref="M264">
    <cfRule type="expression" dxfId="5212" priority="1902">
      <formula>L264="NO CUMPLE"</formula>
    </cfRule>
    <cfRule type="expression" dxfId="5211" priority="1903">
      <formula>L264="CUMPLE"</formula>
    </cfRule>
  </conditionalFormatting>
  <conditionalFormatting sqref="L264:L265">
    <cfRule type="cellIs" dxfId="5210" priority="1900" operator="equal">
      <formula>"NO CUMPLE"</formula>
    </cfRule>
    <cfRule type="cellIs" dxfId="5209" priority="1901" operator="equal">
      <formula>"CUMPLE"</formula>
    </cfRule>
  </conditionalFormatting>
  <conditionalFormatting sqref="M265">
    <cfRule type="expression" dxfId="5208" priority="1898">
      <formula>L265="NO CUMPLE"</formula>
    </cfRule>
    <cfRule type="expression" dxfId="5207" priority="1899">
      <formula>L265="CUMPLE"</formula>
    </cfRule>
  </conditionalFormatting>
  <conditionalFormatting sqref="J258:J266">
    <cfRule type="cellIs" dxfId="5206" priority="1942" operator="equal">
      <formula>"NO CUMPLE"</formula>
    </cfRule>
    <cfRule type="cellIs" dxfId="5205" priority="1943" operator="equal">
      <formula>"CUMPLE"</formula>
    </cfRule>
  </conditionalFormatting>
  <conditionalFormatting sqref="K258">
    <cfRule type="expression" dxfId="5204" priority="1940">
      <formula>J258="NO CUMPLE"</formula>
    </cfRule>
    <cfRule type="expression" dxfId="5203" priority="1941">
      <formula>J258="CUMPLE"</formula>
    </cfRule>
  </conditionalFormatting>
  <conditionalFormatting sqref="K259:K260">
    <cfRule type="expression" dxfId="5202" priority="1938">
      <formula>J259="NO CUMPLE"</formula>
    </cfRule>
    <cfRule type="expression" dxfId="5201" priority="1939">
      <formula>J259="CUMPLE"</formula>
    </cfRule>
  </conditionalFormatting>
  <conditionalFormatting sqref="J268:J269">
    <cfRule type="cellIs" dxfId="5200" priority="1934" operator="equal">
      <formula>"NO CUMPLE"</formula>
    </cfRule>
    <cfRule type="cellIs" dxfId="5199" priority="1935" operator="equal">
      <formula>"CUMPLE"</formula>
    </cfRule>
  </conditionalFormatting>
  <conditionalFormatting sqref="K261">
    <cfRule type="expression" dxfId="5198" priority="1932">
      <formula>J261="NO CUMPLE"</formula>
    </cfRule>
    <cfRule type="expression" dxfId="5197" priority="1933">
      <formula>J261="CUMPLE"</formula>
    </cfRule>
  </conditionalFormatting>
  <conditionalFormatting sqref="K262:K263">
    <cfRule type="expression" dxfId="5196" priority="1930">
      <formula>J262="NO CUMPLE"</formula>
    </cfRule>
    <cfRule type="expression" dxfId="5195" priority="1931">
      <formula>J262="CUMPLE"</formula>
    </cfRule>
  </conditionalFormatting>
  <conditionalFormatting sqref="K264">
    <cfRule type="expression" dxfId="5194" priority="1928">
      <formula>J264="NO CUMPLE"</formula>
    </cfRule>
    <cfRule type="expression" dxfId="5193" priority="1929">
      <formula>J264="CUMPLE"</formula>
    </cfRule>
  </conditionalFormatting>
  <conditionalFormatting sqref="K265:K266">
    <cfRule type="expression" dxfId="5192" priority="1926">
      <formula>J265="NO CUMPLE"</formula>
    </cfRule>
    <cfRule type="expression" dxfId="5191" priority="1927">
      <formula>J265="CUMPLE"</formula>
    </cfRule>
  </conditionalFormatting>
  <conditionalFormatting sqref="K267">
    <cfRule type="expression" dxfId="5190" priority="1924">
      <formula>J267="NO CUMPLE"</formula>
    </cfRule>
    <cfRule type="expression" dxfId="5189" priority="1925">
      <formula>J267="CUMPLE"</formula>
    </cfRule>
  </conditionalFormatting>
  <conditionalFormatting sqref="K268:K269">
    <cfRule type="expression" dxfId="5188" priority="1922">
      <formula>J268="NO CUMPLE"</formula>
    </cfRule>
    <cfRule type="expression" dxfId="5187" priority="1923">
      <formula>J268="CUMPLE"</formula>
    </cfRule>
  </conditionalFormatting>
  <conditionalFormatting sqref="M259">
    <cfRule type="expression" dxfId="5186" priority="1910">
      <formula>L259="NO CUMPLE"</formula>
    </cfRule>
    <cfRule type="expression" dxfId="5185" priority="1911">
      <formula>L259="CUMPLE"</formula>
    </cfRule>
  </conditionalFormatting>
  <conditionalFormatting sqref="L258:L259">
    <cfRule type="cellIs" dxfId="5184" priority="1912" operator="equal">
      <formula>"NO CUMPLE"</formula>
    </cfRule>
    <cfRule type="cellIs" dxfId="5183" priority="1913" operator="equal">
      <formula>"CUMPLE"</formula>
    </cfRule>
  </conditionalFormatting>
  <conditionalFormatting sqref="M258">
    <cfRule type="expression" dxfId="5182" priority="1914">
      <formula>L258="NO CUMPLE"</formula>
    </cfRule>
    <cfRule type="expression" dxfId="5181" priority="1915">
      <formula>L258="CUMPLE"</formula>
    </cfRule>
  </conditionalFormatting>
  <conditionalFormatting sqref="M256">
    <cfRule type="expression" dxfId="5180" priority="1916">
      <formula>L256="NO CUMPLE"</formula>
    </cfRule>
    <cfRule type="expression" dxfId="5179" priority="1917">
      <formula>L256="CUMPLE"</formula>
    </cfRule>
  </conditionalFormatting>
  <conditionalFormatting sqref="M255">
    <cfRule type="expression" dxfId="5178" priority="1920">
      <formula>L255="NO CUMPLE"</formula>
    </cfRule>
    <cfRule type="expression" dxfId="5177" priority="1921">
      <formula>L255="CUMPLE"</formula>
    </cfRule>
  </conditionalFormatting>
  <conditionalFormatting sqref="L255:L256">
    <cfRule type="cellIs" dxfId="5176" priority="1918" operator="equal">
      <formula>"NO CUMPLE"</formula>
    </cfRule>
    <cfRule type="cellIs" dxfId="5175" priority="1919" operator="equal">
      <formula>"CUMPLE"</formula>
    </cfRule>
  </conditionalFormatting>
  <conditionalFormatting sqref="M262">
    <cfRule type="expression" dxfId="5174" priority="1904">
      <formula>L262="NO CUMPLE"</formula>
    </cfRule>
    <cfRule type="expression" dxfId="5173" priority="1905">
      <formula>L262="CUMPLE"</formula>
    </cfRule>
  </conditionalFormatting>
  <conditionalFormatting sqref="M261">
    <cfRule type="expression" dxfId="5172" priority="1908">
      <formula>L261="NO CUMPLE"</formula>
    </cfRule>
    <cfRule type="expression" dxfId="5171" priority="1909">
      <formula>L261="CUMPLE"</formula>
    </cfRule>
  </conditionalFormatting>
  <conditionalFormatting sqref="L261:L262">
    <cfRule type="cellIs" dxfId="5170" priority="1906" operator="equal">
      <formula>"NO CUMPLE"</formula>
    </cfRule>
    <cfRule type="cellIs" dxfId="5169" priority="1907" operator="equal">
      <formula>"CUMPLE"</formula>
    </cfRule>
  </conditionalFormatting>
  <conditionalFormatting sqref="M268">
    <cfRule type="expression" dxfId="5168" priority="1892">
      <formula>L268="NO CUMPLE"</formula>
    </cfRule>
    <cfRule type="expression" dxfId="5167" priority="1893">
      <formula>L268="CUMPLE"</formula>
    </cfRule>
  </conditionalFormatting>
  <conditionalFormatting sqref="M267">
    <cfRule type="expression" dxfId="5166" priority="1896">
      <formula>L267="NO CUMPLE"</formula>
    </cfRule>
    <cfRule type="expression" dxfId="5165" priority="1897">
      <formula>L267="CUMPLE"</formula>
    </cfRule>
  </conditionalFormatting>
  <conditionalFormatting sqref="L267:L268">
    <cfRule type="cellIs" dxfId="5164" priority="1894" operator="equal">
      <formula>"NO CUMPLE"</formula>
    </cfRule>
    <cfRule type="cellIs" dxfId="5163" priority="1895" operator="equal">
      <formula>"CUMPLE"</formula>
    </cfRule>
  </conditionalFormatting>
  <conditionalFormatting sqref="K255">
    <cfRule type="expression" dxfId="5162" priority="1886">
      <formula>J255="NO CUMPLE"</formula>
    </cfRule>
    <cfRule type="expression" dxfId="5161" priority="1887">
      <formula>J255="CUMPLE"</formula>
    </cfRule>
  </conditionalFormatting>
  <conditionalFormatting sqref="K256:K257">
    <cfRule type="expression" dxfId="5160" priority="1884">
      <formula>J256="NO CUMPLE"</formula>
    </cfRule>
    <cfRule type="expression" dxfId="5159" priority="1885">
      <formula>J256="CUMPLE"</formula>
    </cfRule>
  </conditionalFormatting>
  <conditionalFormatting sqref="S277">
    <cfRule type="cellIs" dxfId="5158" priority="1882" operator="greaterThan">
      <formula>0</formula>
    </cfRule>
    <cfRule type="top10" dxfId="5157" priority="1883" rank="10"/>
  </conditionalFormatting>
  <conditionalFormatting sqref="B292">
    <cfRule type="cellIs" dxfId="5156" priority="1878" operator="equal">
      <formula>"NO CUMPLE CON LA EXPERIENCIA REQUERIDA"</formula>
    </cfRule>
    <cfRule type="cellIs" dxfId="5155" priority="1879" operator="equal">
      <formula>"CUMPLE CON LA EXPERIENCIA REQUERIDA"</formula>
    </cfRule>
  </conditionalFormatting>
  <conditionalFormatting sqref="H277 H280 H283 H286 H289">
    <cfRule type="notContainsBlanks" dxfId="5154" priority="1877">
      <formula>LEN(TRIM(H277))&gt;0</formula>
    </cfRule>
  </conditionalFormatting>
  <conditionalFormatting sqref="G277">
    <cfRule type="notContainsBlanks" dxfId="5153" priority="1876">
      <formula>LEN(TRIM(G277))&gt;0</formula>
    </cfRule>
  </conditionalFormatting>
  <conditionalFormatting sqref="F277">
    <cfRule type="notContainsBlanks" dxfId="5152" priority="1875">
      <formula>LEN(TRIM(F277))&gt;0</formula>
    </cfRule>
  </conditionalFormatting>
  <conditionalFormatting sqref="E277">
    <cfRule type="notContainsBlanks" dxfId="5151" priority="1874">
      <formula>LEN(TRIM(E277))&gt;0</formula>
    </cfRule>
  </conditionalFormatting>
  <conditionalFormatting sqref="D277">
    <cfRule type="notContainsBlanks" dxfId="5150" priority="1873">
      <formula>LEN(TRIM(D277))&gt;0</formula>
    </cfRule>
  </conditionalFormatting>
  <conditionalFormatting sqref="C277">
    <cfRule type="notContainsBlanks" dxfId="5149" priority="1872">
      <formula>LEN(TRIM(C277))&gt;0</formula>
    </cfRule>
  </conditionalFormatting>
  <conditionalFormatting sqref="I277">
    <cfRule type="notContainsBlanks" dxfId="5148" priority="1871">
      <formula>LEN(TRIM(I277))&gt;0</formula>
    </cfRule>
  </conditionalFormatting>
  <conditionalFormatting sqref="S280">
    <cfRule type="cellIs" dxfId="5147" priority="1867" operator="greaterThan">
      <formula>0</formula>
    </cfRule>
    <cfRule type="top10" dxfId="5146" priority="1868" rank="10"/>
  </conditionalFormatting>
  <conditionalFormatting sqref="S283">
    <cfRule type="cellIs" dxfId="5145" priority="1865" operator="greaterThan">
      <formula>0</formula>
    </cfRule>
    <cfRule type="top10" dxfId="5144" priority="1866" rank="10"/>
  </conditionalFormatting>
  <conditionalFormatting sqref="G283">
    <cfRule type="notContainsBlanks" dxfId="5143" priority="1864">
      <formula>LEN(TRIM(G283))&gt;0</formula>
    </cfRule>
  </conditionalFormatting>
  <conditionalFormatting sqref="F283">
    <cfRule type="notContainsBlanks" dxfId="5142" priority="1863">
      <formula>LEN(TRIM(F283))&gt;0</formula>
    </cfRule>
  </conditionalFormatting>
  <conditionalFormatting sqref="E283">
    <cfRule type="notContainsBlanks" dxfId="5141" priority="1862">
      <formula>LEN(TRIM(E283))&gt;0</formula>
    </cfRule>
  </conditionalFormatting>
  <conditionalFormatting sqref="D283">
    <cfRule type="notContainsBlanks" dxfId="5140" priority="1861">
      <formula>LEN(TRIM(D283))&gt;0</formula>
    </cfRule>
  </conditionalFormatting>
  <conditionalFormatting sqref="C283">
    <cfRule type="notContainsBlanks" dxfId="5139" priority="1860">
      <formula>LEN(TRIM(C283))&gt;0</formula>
    </cfRule>
  </conditionalFormatting>
  <conditionalFormatting sqref="I283">
    <cfRule type="notContainsBlanks" dxfId="5138" priority="1859">
      <formula>LEN(TRIM(I283))&gt;0</formula>
    </cfRule>
  </conditionalFormatting>
  <conditionalFormatting sqref="S286">
    <cfRule type="cellIs" dxfId="5137" priority="1857" operator="greaterThan">
      <formula>0</formula>
    </cfRule>
    <cfRule type="top10" dxfId="5136" priority="1858" rank="10"/>
  </conditionalFormatting>
  <conditionalFormatting sqref="S289">
    <cfRule type="cellIs" dxfId="5135" priority="1855" operator="greaterThan">
      <formula>0</formula>
    </cfRule>
    <cfRule type="top10" dxfId="5134" priority="1856" rank="10"/>
  </conditionalFormatting>
  <conditionalFormatting sqref="G289">
    <cfRule type="notContainsBlanks" dxfId="5133" priority="1854">
      <formula>LEN(TRIM(G289))&gt;0</formula>
    </cfRule>
  </conditionalFormatting>
  <conditionalFormatting sqref="F289">
    <cfRule type="notContainsBlanks" dxfId="5132" priority="1853">
      <formula>LEN(TRIM(F289))&gt;0</formula>
    </cfRule>
  </conditionalFormatting>
  <conditionalFormatting sqref="E289">
    <cfRule type="notContainsBlanks" dxfId="5131" priority="1852">
      <formula>LEN(TRIM(E289))&gt;0</formula>
    </cfRule>
  </conditionalFormatting>
  <conditionalFormatting sqref="D289">
    <cfRule type="notContainsBlanks" dxfId="5130" priority="1851">
      <formula>LEN(TRIM(D289))&gt;0</formula>
    </cfRule>
  </conditionalFormatting>
  <conditionalFormatting sqref="C289">
    <cfRule type="notContainsBlanks" dxfId="5129" priority="1850">
      <formula>LEN(TRIM(C289))&gt;0</formula>
    </cfRule>
  </conditionalFormatting>
  <conditionalFormatting sqref="I289">
    <cfRule type="notContainsBlanks" dxfId="5128" priority="1849">
      <formula>LEN(TRIM(I289))&gt;0</formula>
    </cfRule>
  </conditionalFormatting>
  <conditionalFormatting sqref="G280">
    <cfRule type="notContainsBlanks" dxfId="5127" priority="1848">
      <formula>LEN(TRIM(G280))&gt;0</formula>
    </cfRule>
  </conditionalFormatting>
  <conditionalFormatting sqref="F280">
    <cfRule type="notContainsBlanks" dxfId="5126" priority="1847">
      <formula>LEN(TRIM(F280))&gt;0</formula>
    </cfRule>
  </conditionalFormatting>
  <conditionalFormatting sqref="E280">
    <cfRule type="notContainsBlanks" dxfId="5125" priority="1846">
      <formula>LEN(TRIM(E280))&gt;0</formula>
    </cfRule>
  </conditionalFormatting>
  <conditionalFormatting sqref="D280">
    <cfRule type="notContainsBlanks" dxfId="5124" priority="1845">
      <formula>LEN(TRIM(D280))&gt;0</formula>
    </cfRule>
  </conditionalFormatting>
  <conditionalFormatting sqref="C280">
    <cfRule type="notContainsBlanks" dxfId="5123" priority="1844">
      <formula>LEN(TRIM(C280))&gt;0</formula>
    </cfRule>
  </conditionalFormatting>
  <conditionalFormatting sqref="G286">
    <cfRule type="notContainsBlanks" dxfId="5122" priority="1843">
      <formula>LEN(TRIM(G286))&gt;0</formula>
    </cfRule>
  </conditionalFormatting>
  <conditionalFormatting sqref="F286">
    <cfRule type="notContainsBlanks" dxfId="5121" priority="1842">
      <formula>LEN(TRIM(F286))&gt;0</formula>
    </cfRule>
  </conditionalFormatting>
  <conditionalFormatting sqref="E286">
    <cfRule type="notContainsBlanks" dxfId="5120" priority="1841">
      <formula>LEN(TRIM(E286))&gt;0</formula>
    </cfRule>
  </conditionalFormatting>
  <conditionalFormatting sqref="D286">
    <cfRule type="notContainsBlanks" dxfId="5119" priority="1840">
      <formula>LEN(TRIM(D286))&gt;0</formula>
    </cfRule>
  </conditionalFormatting>
  <conditionalFormatting sqref="C286">
    <cfRule type="notContainsBlanks" dxfId="5118" priority="1839">
      <formula>LEN(TRIM(C286))&gt;0</formula>
    </cfRule>
  </conditionalFormatting>
  <conditionalFormatting sqref="I280">
    <cfRule type="notContainsBlanks" dxfId="5117" priority="1838">
      <formula>LEN(TRIM(I280))&gt;0</formula>
    </cfRule>
  </conditionalFormatting>
  <conditionalFormatting sqref="I286">
    <cfRule type="notContainsBlanks" dxfId="5116" priority="1837">
      <formula>LEN(TRIM(I286))&gt;0</formula>
    </cfRule>
  </conditionalFormatting>
  <conditionalFormatting sqref="S292">
    <cfRule type="expression" dxfId="5115" priority="1835">
      <formula>$S$28&gt;0</formula>
    </cfRule>
    <cfRule type="cellIs" dxfId="5114" priority="1836" operator="equal">
      <formula>0</formula>
    </cfRule>
  </conditionalFormatting>
  <conditionalFormatting sqref="S293">
    <cfRule type="expression" dxfId="5113" priority="1833">
      <formula>$S$28&gt;0</formula>
    </cfRule>
    <cfRule type="cellIs" dxfId="5112" priority="1834" operator="equal">
      <formula>0</formula>
    </cfRule>
  </conditionalFormatting>
  <conditionalFormatting sqref="N277">
    <cfRule type="expression" dxfId="5111" priority="1820">
      <formula>N277=" "</formula>
    </cfRule>
    <cfRule type="expression" dxfId="5110" priority="1821">
      <formula>N277="NO PRESENTÓ CERTIFICADO"</formula>
    </cfRule>
    <cfRule type="expression" dxfId="5109" priority="1822">
      <formula>N277="PRESENTÓ CERTIFICADO"</formula>
    </cfRule>
  </conditionalFormatting>
  <conditionalFormatting sqref="O277">
    <cfRule type="cellIs" dxfId="5108" priority="1802" operator="equal">
      <formula>"PENDIENTE POR DESCRIPCIÓN"</formula>
    </cfRule>
    <cfRule type="cellIs" dxfId="5107" priority="1803" operator="equal">
      <formula>"DESCRIPCIÓN INSUFICIENTE"</formula>
    </cfRule>
    <cfRule type="cellIs" dxfId="5106" priority="1804" operator="equal">
      <formula>"NO ESTÁ ACORDE A ITEM 5.2.2 (T.R.)"</formula>
    </cfRule>
    <cfRule type="cellIs" dxfId="5105" priority="1805" operator="equal">
      <formula>"ACORDE A ITEM 5.2.2 (T.R.)"</formula>
    </cfRule>
    <cfRule type="cellIs" dxfId="5104" priority="1812" operator="equal">
      <formula>"PENDIENTE POR DESCRIPCIÓN"</formula>
    </cfRule>
    <cfRule type="cellIs" dxfId="5103" priority="1814" operator="equal">
      <formula>"DESCRIPCIÓN INSUFICIENTE"</formula>
    </cfRule>
    <cfRule type="cellIs" dxfId="5102" priority="1815" operator="equal">
      <formula>"NO ESTÁ ACORDE A ITEM 5.2.1 (T.R.)"</formula>
    </cfRule>
    <cfRule type="cellIs" dxfId="5101" priority="1816" operator="equal">
      <formula>"ACORDE A ITEM 5.2.1 (T.R.)"</formula>
    </cfRule>
  </conditionalFormatting>
  <conditionalFormatting sqref="P277">
    <cfRule type="expression" dxfId="5100" priority="1797">
      <formula>Q277="NO SUBSANABLE"</formula>
    </cfRule>
    <cfRule type="expression" dxfId="5099" priority="1798">
      <formula>Q277="REQUERIMIENTOS SUBSANADOS"</formula>
    </cfRule>
    <cfRule type="expression" dxfId="5098" priority="1799">
      <formula>Q277="PENDIENTES POR SUBSANAR"</formula>
    </cfRule>
    <cfRule type="expression" dxfId="5097" priority="1800">
      <formula>Q277="SIN OBSERVACIÓN"</formula>
    </cfRule>
    <cfRule type="containsBlanks" dxfId="5096" priority="1801">
      <formula>LEN(TRIM(P277))=0</formula>
    </cfRule>
  </conditionalFormatting>
  <conditionalFormatting sqref="N289">
    <cfRule type="expression" dxfId="5095" priority="1794">
      <formula>N289=" "</formula>
    </cfRule>
    <cfRule type="expression" dxfId="5094" priority="1795">
      <formula>N289="NO PRESENTÓ CERTIFICADO"</formula>
    </cfRule>
    <cfRule type="expression" dxfId="5093" priority="1796">
      <formula>N289="PRESENTÓ CERTIFICADO"</formula>
    </cfRule>
  </conditionalFormatting>
  <conditionalFormatting sqref="O289">
    <cfRule type="cellIs" dxfId="5092" priority="1776" operator="equal">
      <formula>"PENDIENTE POR DESCRIPCIÓN"</formula>
    </cfRule>
    <cfRule type="cellIs" dxfId="5091" priority="1777" operator="equal">
      <formula>"DESCRIPCIÓN INSUFICIENTE"</formula>
    </cfRule>
    <cfRule type="cellIs" dxfId="5090" priority="1778" operator="equal">
      <formula>"NO ESTÁ ACORDE A ITEM 5.2.2 (T.R.)"</formula>
    </cfRule>
    <cfRule type="cellIs" dxfId="5089" priority="1779" operator="equal">
      <formula>"ACORDE A ITEM 5.2.2 (T.R.)"</formula>
    </cfRule>
    <cfRule type="cellIs" dxfId="5088" priority="1786" operator="equal">
      <formula>"PENDIENTE POR DESCRIPCIÓN"</formula>
    </cfRule>
    <cfRule type="cellIs" dxfId="5087" priority="1788" operator="equal">
      <formula>"DESCRIPCIÓN INSUFICIENTE"</formula>
    </cfRule>
    <cfRule type="cellIs" dxfId="5086" priority="1789" operator="equal">
      <formula>"NO ESTÁ ACORDE A ITEM 5.2.1 (T.R.)"</formula>
    </cfRule>
    <cfRule type="cellIs" dxfId="5085" priority="1790" operator="equal">
      <formula>"ACORDE A ITEM 5.2.1 (T.R.)"</formula>
    </cfRule>
  </conditionalFormatting>
  <conditionalFormatting sqref="Q289">
    <cfRule type="containsBlanks" dxfId="5084" priority="1781">
      <formula>LEN(TRIM(Q289))=0</formula>
    </cfRule>
    <cfRule type="cellIs" dxfId="5083" priority="1787" operator="equal">
      <formula>"REQUERIMIENTOS SUBSANADOS"</formula>
    </cfRule>
    <cfRule type="containsText" dxfId="5082" priority="1791" operator="containsText" text="NO SUBSANABLE">
      <formula>NOT(ISERROR(SEARCH("NO SUBSANABLE",Q289)))</formula>
    </cfRule>
    <cfRule type="containsText" dxfId="5081" priority="1792" operator="containsText" text="PENDIENTES POR SUBSANAR">
      <formula>NOT(ISERROR(SEARCH("PENDIENTES POR SUBSANAR",Q289)))</formula>
    </cfRule>
    <cfRule type="containsText" dxfId="5080" priority="1793" operator="containsText" text="SIN OBSERVACIÓN">
      <formula>NOT(ISERROR(SEARCH("SIN OBSERVACIÓN",Q289)))</formula>
    </cfRule>
  </conditionalFormatting>
  <conditionalFormatting sqref="R289">
    <cfRule type="containsBlanks" dxfId="5079" priority="1780">
      <formula>LEN(TRIM(R289))=0</formula>
    </cfRule>
    <cfRule type="cellIs" dxfId="5078" priority="1782" operator="equal">
      <formula>"NO CUMPLEN CON LO SOLICITADO"</formula>
    </cfRule>
    <cfRule type="cellIs" dxfId="5077" priority="1783" operator="equal">
      <formula>"CUMPLEN CON LO SOLICITADO"</formula>
    </cfRule>
    <cfRule type="cellIs" dxfId="5076" priority="1784" operator="equal">
      <formula>"PENDIENTES"</formula>
    </cfRule>
    <cfRule type="cellIs" dxfId="5075" priority="1785" operator="equal">
      <formula>"NINGUNO"</formula>
    </cfRule>
  </conditionalFormatting>
  <conditionalFormatting sqref="P280 P283 P286 P289">
    <cfRule type="expression" dxfId="5074" priority="1771">
      <formula>Q280="NO SUBSANABLE"</formula>
    </cfRule>
    <cfRule type="expression" dxfId="5073" priority="1772">
      <formula>Q280="REQUERIMIENTOS SUBSANADOS"</formula>
    </cfRule>
    <cfRule type="expression" dxfId="5072" priority="1773">
      <formula>Q280="PENDIENTES POR SUBSANAR"</formula>
    </cfRule>
    <cfRule type="expression" dxfId="5071" priority="1774">
      <formula>Q280="SIN OBSERVACIÓN"</formula>
    </cfRule>
    <cfRule type="containsBlanks" dxfId="5070" priority="1775">
      <formula>LEN(TRIM(P280))=0</formula>
    </cfRule>
  </conditionalFormatting>
  <conditionalFormatting sqref="N286">
    <cfRule type="expression" dxfId="5069" priority="1762">
      <formula>N286=" "</formula>
    </cfRule>
    <cfRule type="expression" dxfId="5068" priority="1763">
      <formula>N286="NO PRESENTÓ CERTIFICADO"</formula>
    </cfRule>
    <cfRule type="expression" dxfId="5067" priority="1764">
      <formula>N286="PRESENTÓ CERTIFICADO"</formula>
    </cfRule>
  </conditionalFormatting>
  <conditionalFormatting sqref="O286">
    <cfRule type="cellIs" dxfId="5066" priority="1738" operator="equal">
      <formula>"PENDIENTE POR DESCRIPCIÓN"</formula>
    </cfRule>
    <cfRule type="cellIs" dxfId="5065" priority="1739" operator="equal">
      <formula>"DESCRIPCIÓN INSUFICIENTE"</formula>
    </cfRule>
    <cfRule type="cellIs" dxfId="5064" priority="1740" operator="equal">
      <formula>"NO ESTÁ ACORDE A ITEM 5.2.2 (T.R.)"</formula>
    </cfRule>
    <cfRule type="cellIs" dxfId="5063" priority="1741" operator="equal">
      <formula>"ACORDE A ITEM 5.2.2 (T.R.)"</formula>
    </cfRule>
    <cfRule type="cellIs" dxfId="5062" priority="1742" operator="equal">
      <formula>"PENDIENTE POR DESCRIPCIÓN"</formula>
    </cfRule>
    <cfRule type="cellIs" dxfId="5061" priority="1743" operator="equal">
      <formula>"DESCRIPCIÓN INSUFICIENTE"</formula>
    </cfRule>
    <cfRule type="cellIs" dxfId="5060" priority="1744" operator="equal">
      <formula>"NO ESTÁ ACORDE A ITEM 5.2.1 (T.R.)"</formula>
    </cfRule>
    <cfRule type="cellIs" dxfId="5059" priority="1745" operator="equal">
      <formula>"ACORDE A ITEM 5.2.1 (T.R.)"</formula>
    </cfRule>
  </conditionalFormatting>
  <conditionalFormatting sqref="Q283">
    <cfRule type="containsBlanks" dxfId="5058" priority="1719">
      <formula>LEN(TRIM(Q283))=0</formula>
    </cfRule>
    <cfRule type="cellIs" dxfId="5057" priority="1724" operator="equal">
      <formula>"REQUERIMIENTOS SUBSANADOS"</formula>
    </cfRule>
    <cfRule type="containsText" dxfId="5056" priority="1725" operator="containsText" text="NO SUBSANABLE">
      <formula>NOT(ISERROR(SEARCH("NO SUBSANABLE",Q283)))</formula>
    </cfRule>
    <cfRule type="containsText" dxfId="5055" priority="1726" operator="containsText" text="PENDIENTES POR SUBSANAR">
      <formula>NOT(ISERROR(SEARCH("PENDIENTES POR SUBSANAR",Q283)))</formula>
    </cfRule>
    <cfRule type="containsText" dxfId="5054" priority="1727" operator="containsText" text="SIN OBSERVACIÓN">
      <formula>NOT(ISERROR(SEARCH("SIN OBSERVACIÓN",Q283)))</formula>
    </cfRule>
  </conditionalFormatting>
  <conditionalFormatting sqref="R283">
    <cfRule type="containsBlanks" dxfId="5053" priority="1718">
      <formula>LEN(TRIM(R283))=0</formula>
    </cfRule>
    <cfRule type="cellIs" dxfId="5052" priority="1720" operator="equal">
      <formula>"NO CUMPLEN CON LO SOLICITADO"</formula>
    </cfRule>
    <cfRule type="cellIs" dxfId="5051" priority="1721" operator="equal">
      <formula>"CUMPLEN CON LO SOLICITADO"</formula>
    </cfRule>
    <cfRule type="cellIs" dxfId="5050" priority="1722" operator="equal">
      <formula>"PENDIENTES"</formula>
    </cfRule>
    <cfRule type="cellIs" dxfId="5049" priority="1723" operator="equal">
      <formula>"NINGUNO"</formula>
    </cfRule>
  </conditionalFormatting>
  <conditionalFormatting sqref="Q286">
    <cfRule type="containsBlanks" dxfId="5048" priority="1709">
      <formula>LEN(TRIM(Q286))=0</formula>
    </cfRule>
    <cfRule type="cellIs" dxfId="5047" priority="1714" operator="equal">
      <formula>"REQUERIMIENTOS SUBSANADOS"</formula>
    </cfRule>
    <cfRule type="containsText" dxfId="5046" priority="1715" operator="containsText" text="NO SUBSANABLE">
      <formula>NOT(ISERROR(SEARCH("NO SUBSANABLE",Q286)))</formula>
    </cfRule>
    <cfRule type="containsText" dxfId="5045" priority="1716" operator="containsText" text="PENDIENTES POR SUBSANAR">
      <formula>NOT(ISERROR(SEARCH("PENDIENTES POR SUBSANAR",Q286)))</formula>
    </cfRule>
    <cfRule type="containsText" dxfId="5044" priority="1717" operator="containsText" text="SIN OBSERVACIÓN">
      <formula>NOT(ISERROR(SEARCH("SIN OBSERVACIÓN",Q286)))</formula>
    </cfRule>
  </conditionalFormatting>
  <conditionalFormatting sqref="R286">
    <cfRule type="containsBlanks" dxfId="5043" priority="1708">
      <formula>LEN(TRIM(R286))=0</formula>
    </cfRule>
    <cfRule type="cellIs" dxfId="5042" priority="1710" operator="equal">
      <formula>"NO CUMPLEN CON LO SOLICITADO"</formula>
    </cfRule>
    <cfRule type="cellIs" dxfId="5041" priority="1711" operator="equal">
      <formula>"CUMPLEN CON LO SOLICITADO"</formula>
    </cfRule>
    <cfRule type="cellIs" dxfId="5040" priority="1712" operator="equal">
      <formula>"PENDIENTES"</formula>
    </cfRule>
    <cfRule type="cellIs" dxfId="5039" priority="1713" operator="equal">
      <formula>"NINGUNO"</formula>
    </cfRule>
  </conditionalFormatting>
  <conditionalFormatting sqref="M286">
    <cfRule type="expression" dxfId="5038" priority="1666">
      <formula>L286="NO CUMPLE"</formula>
    </cfRule>
    <cfRule type="expression" dxfId="5037" priority="1667">
      <formula>L286="CUMPLE"</formula>
    </cfRule>
  </conditionalFormatting>
  <conditionalFormatting sqref="L286:L287">
    <cfRule type="cellIs" dxfId="5036" priority="1664" operator="equal">
      <formula>"NO CUMPLE"</formula>
    </cfRule>
    <cfRule type="cellIs" dxfId="5035" priority="1665" operator="equal">
      <formula>"CUMPLE"</formula>
    </cfRule>
  </conditionalFormatting>
  <conditionalFormatting sqref="M287">
    <cfRule type="expression" dxfId="5034" priority="1662">
      <formula>L287="NO CUMPLE"</formula>
    </cfRule>
    <cfRule type="expression" dxfId="5033" priority="1663">
      <formula>L287="CUMPLE"</formula>
    </cfRule>
  </conditionalFormatting>
  <conditionalFormatting sqref="J280:J288">
    <cfRule type="cellIs" dxfId="5032" priority="1706" operator="equal">
      <formula>"NO CUMPLE"</formula>
    </cfRule>
    <cfRule type="cellIs" dxfId="5031" priority="1707" operator="equal">
      <formula>"CUMPLE"</formula>
    </cfRule>
  </conditionalFormatting>
  <conditionalFormatting sqref="K280">
    <cfRule type="expression" dxfId="5030" priority="1704">
      <formula>J280="NO CUMPLE"</formula>
    </cfRule>
    <cfRule type="expression" dxfId="5029" priority="1705">
      <formula>J280="CUMPLE"</formula>
    </cfRule>
  </conditionalFormatting>
  <conditionalFormatting sqref="K281:K282">
    <cfRule type="expression" dxfId="5028" priority="1702">
      <formula>J281="NO CUMPLE"</formula>
    </cfRule>
    <cfRule type="expression" dxfId="5027" priority="1703">
      <formula>J281="CUMPLE"</formula>
    </cfRule>
  </conditionalFormatting>
  <conditionalFormatting sqref="J289">
    <cfRule type="cellIs" dxfId="5026" priority="1700" operator="equal">
      <formula>"NO CUMPLE"</formula>
    </cfRule>
    <cfRule type="cellIs" dxfId="5025" priority="1701" operator="equal">
      <formula>"CUMPLE"</formula>
    </cfRule>
  </conditionalFormatting>
  <conditionalFormatting sqref="J290:J291">
    <cfRule type="cellIs" dxfId="5024" priority="1698" operator="equal">
      <formula>"NO CUMPLE"</formula>
    </cfRule>
    <cfRule type="cellIs" dxfId="5023" priority="1699" operator="equal">
      <formula>"CUMPLE"</formula>
    </cfRule>
  </conditionalFormatting>
  <conditionalFormatting sqref="K283">
    <cfRule type="expression" dxfId="5022" priority="1696">
      <formula>J283="NO CUMPLE"</formula>
    </cfRule>
    <cfRule type="expression" dxfId="5021" priority="1697">
      <formula>J283="CUMPLE"</formula>
    </cfRule>
  </conditionalFormatting>
  <conditionalFormatting sqref="K284:K285">
    <cfRule type="expression" dxfId="5020" priority="1694">
      <formula>J284="NO CUMPLE"</formula>
    </cfRule>
    <cfRule type="expression" dxfId="5019" priority="1695">
      <formula>J284="CUMPLE"</formula>
    </cfRule>
  </conditionalFormatting>
  <conditionalFormatting sqref="K286">
    <cfRule type="expression" dxfId="5018" priority="1692">
      <formula>J286="NO CUMPLE"</formula>
    </cfRule>
    <cfRule type="expression" dxfId="5017" priority="1693">
      <formula>J286="CUMPLE"</formula>
    </cfRule>
  </conditionalFormatting>
  <conditionalFormatting sqref="K287:K288">
    <cfRule type="expression" dxfId="5016" priority="1690">
      <formula>J287="NO CUMPLE"</formula>
    </cfRule>
    <cfRule type="expression" dxfId="5015" priority="1691">
      <formula>J287="CUMPLE"</formula>
    </cfRule>
  </conditionalFormatting>
  <conditionalFormatting sqref="K289">
    <cfRule type="expression" dxfId="5014" priority="1688">
      <formula>J289="NO CUMPLE"</formula>
    </cfRule>
    <cfRule type="expression" dxfId="5013" priority="1689">
      <formula>J289="CUMPLE"</formula>
    </cfRule>
  </conditionalFormatting>
  <conditionalFormatting sqref="K290:K291">
    <cfRule type="expression" dxfId="5012" priority="1686">
      <formula>J290="NO CUMPLE"</formula>
    </cfRule>
    <cfRule type="expression" dxfId="5011" priority="1687">
      <formula>J290="CUMPLE"</formula>
    </cfRule>
  </conditionalFormatting>
  <conditionalFormatting sqref="M281">
    <cfRule type="expression" dxfId="5010" priority="1674">
      <formula>L281="NO CUMPLE"</formula>
    </cfRule>
    <cfRule type="expression" dxfId="5009" priority="1675">
      <formula>L281="CUMPLE"</formula>
    </cfRule>
  </conditionalFormatting>
  <conditionalFormatting sqref="L280:L281">
    <cfRule type="cellIs" dxfId="5008" priority="1676" operator="equal">
      <formula>"NO CUMPLE"</formula>
    </cfRule>
    <cfRule type="cellIs" dxfId="5007" priority="1677" operator="equal">
      <formula>"CUMPLE"</formula>
    </cfRule>
  </conditionalFormatting>
  <conditionalFormatting sqref="M280">
    <cfRule type="expression" dxfId="5006" priority="1678">
      <formula>L280="NO CUMPLE"</formula>
    </cfRule>
    <cfRule type="expression" dxfId="5005" priority="1679">
      <formula>L280="CUMPLE"</formula>
    </cfRule>
  </conditionalFormatting>
  <conditionalFormatting sqref="M278">
    <cfRule type="expression" dxfId="5004" priority="1680">
      <formula>L278="NO CUMPLE"</formula>
    </cfRule>
    <cfRule type="expression" dxfId="5003" priority="1681">
      <formula>L278="CUMPLE"</formula>
    </cfRule>
  </conditionalFormatting>
  <conditionalFormatting sqref="M277">
    <cfRule type="expression" dxfId="5002" priority="1684">
      <formula>L277="NO CUMPLE"</formula>
    </cfRule>
    <cfRule type="expression" dxfId="5001" priority="1685">
      <formula>L277="CUMPLE"</formula>
    </cfRule>
  </conditionalFormatting>
  <conditionalFormatting sqref="L277:L278">
    <cfRule type="cellIs" dxfId="5000" priority="1682" operator="equal">
      <formula>"NO CUMPLE"</formula>
    </cfRule>
    <cfRule type="cellIs" dxfId="4999" priority="1683" operator="equal">
      <formula>"CUMPLE"</formula>
    </cfRule>
  </conditionalFormatting>
  <conditionalFormatting sqref="M284">
    <cfRule type="expression" dxfId="4998" priority="1668">
      <formula>L284="NO CUMPLE"</formula>
    </cfRule>
    <cfRule type="expression" dxfId="4997" priority="1669">
      <formula>L284="CUMPLE"</formula>
    </cfRule>
  </conditionalFormatting>
  <conditionalFormatting sqref="M283">
    <cfRule type="expression" dxfId="4996" priority="1672">
      <formula>L283="NO CUMPLE"</formula>
    </cfRule>
    <cfRule type="expression" dxfId="4995" priority="1673">
      <formula>L283="CUMPLE"</formula>
    </cfRule>
  </conditionalFormatting>
  <conditionalFormatting sqref="L283:L284">
    <cfRule type="cellIs" dxfId="4994" priority="1670" operator="equal">
      <formula>"NO CUMPLE"</formula>
    </cfRule>
    <cfRule type="cellIs" dxfId="4993" priority="1671" operator="equal">
      <formula>"CUMPLE"</formula>
    </cfRule>
  </conditionalFormatting>
  <conditionalFormatting sqref="M290">
    <cfRule type="expression" dxfId="4992" priority="1656">
      <formula>L290="NO CUMPLE"</formula>
    </cfRule>
    <cfRule type="expression" dxfId="4991" priority="1657">
      <formula>L290="CUMPLE"</formula>
    </cfRule>
  </conditionalFormatting>
  <conditionalFormatting sqref="M289">
    <cfRule type="expression" dxfId="4990" priority="1660">
      <formula>L289="NO CUMPLE"</formula>
    </cfRule>
    <cfRule type="expression" dxfId="4989" priority="1661">
      <formula>L289="CUMPLE"</formula>
    </cfRule>
  </conditionalFormatting>
  <conditionalFormatting sqref="L289:L290">
    <cfRule type="cellIs" dxfId="4988" priority="1658" operator="equal">
      <formula>"NO CUMPLE"</formula>
    </cfRule>
    <cfRule type="cellIs" dxfId="4987" priority="1659" operator="equal">
      <formula>"CUMPLE"</formula>
    </cfRule>
  </conditionalFormatting>
  <conditionalFormatting sqref="J277">
    <cfRule type="cellIs" dxfId="4986" priority="1654" operator="equal">
      <formula>"NO CUMPLE"</formula>
    </cfRule>
    <cfRule type="cellIs" dxfId="4985" priority="1655" operator="equal">
      <formula>"CUMPLE"</formula>
    </cfRule>
  </conditionalFormatting>
  <conditionalFormatting sqref="J278:J279">
    <cfRule type="cellIs" dxfId="4984" priority="1652" operator="equal">
      <formula>"NO CUMPLE"</formula>
    </cfRule>
    <cfRule type="cellIs" dxfId="4983" priority="1653" operator="equal">
      <formula>"CUMPLE"</formula>
    </cfRule>
  </conditionalFormatting>
  <conditionalFormatting sqref="K277">
    <cfRule type="expression" dxfId="4982" priority="1650">
      <formula>J277="NO CUMPLE"</formula>
    </cfRule>
    <cfRule type="expression" dxfId="4981" priority="1651">
      <formula>J277="CUMPLE"</formula>
    </cfRule>
  </conditionalFormatting>
  <conditionalFormatting sqref="K278:K279">
    <cfRule type="expression" dxfId="4980" priority="1648">
      <formula>J278="NO CUMPLE"</formula>
    </cfRule>
    <cfRule type="expression" dxfId="4979" priority="1649">
      <formula>J278="CUMPLE"</formula>
    </cfRule>
  </conditionalFormatting>
  <conditionalFormatting sqref="S299">
    <cfRule type="cellIs" dxfId="4978" priority="1646" operator="greaterThan">
      <formula>0</formula>
    </cfRule>
    <cfRule type="top10" dxfId="4977" priority="1647" rank="10"/>
  </conditionalFormatting>
  <conditionalFormatting sqref="B314">
    <cfRule type="cellIs" dxfId="4976" priority="1642" operator="equal">
      <formula>"NO CUMPLE CON LA EXPERIENCIA REQUERIDA"</formula>
    </cfRule>
    <cfRule type="cellIs" dxfId="4975" priority="1643" operator="equal">
      <formula>"CUMPLE CON LA EXPERIENCIA REQUERIDA"</formula>
    </cfRule>
  </conditionalFormatting>
  <conditionalFormatting sqref="H299 H302 H305 H308 H311">
    <cfRule type="notContainsBlanks" dxfId="4974" priority="1641">
      <formula>LEN(TRIM(H299))&gt;0</formula>
    </cfRule>
  </conditionalFormatting>
  <conditionalFormatting sqref="G299">
    <cfRule type="notContainsBlanks" dxfId="4973" priority="1640">
      <formula>LEN(TRIM(G299))&gt;0</formula>
    </cfRule>
  </conditionalFormatting>
  <conditionalFormatting sqref="F299">
    <cfRule type="notContainsBlanks" dxfId="4972" priority="1639">
      <formula>LEN(TRIM(F299))&gt;0</formula>
    </cfRule>
  </conditionalFormatting>
  <conditionalFormatting sqref="E299">
    <cfRule type="notContainsBlanks" dxfId="4971" priority="1638">
      <formula>LEN(TRIM(E299))&gt;0</formula>
    </cfRule>
  </conditionalFormatting>
  <conditionalFormatting sqref="D299">
    <cfRule type="notContainsBlanks" dxfId="4970" priority="1637">
      <formula>LEN(TRIM(D299))&gt;0</formula>
    </cfRule>
  </conditionalFormatting>
  <conditionalFormatting sqref="C299">
    <cfRule type="notContainsBlanks" dxfId="4969" priority="1636">
      <formula>LEN(TRIM(C299))&gt;0</formula>
    </cfRule>
  </conditionalFormatting>
  <conditionalFormatting sqref="I299">
    <cfRule type="notContainsBlanks" dxfId="4968" priority="1635">
      <formula>LEN(TRIM(I299))&gt;0</formula>
    </cfRule>
  </conditionalFormatting>
  <conditionalFormatting sqref="S302">
    <cfRule type="cellIs" dxfId="4967" priority="1631" operator="greaterThan">
      <formula>0</formula>
    </cfRule>
    <cfRule type="top10" dxfId="4966" priority="1632" rank="10"/>
  </conditionalFormatting>
  <conditionalFormatting sqref="S305">
    <cfRule type="cellIs" dxfId="4965" priority="1629" operator="greaterThan">
      <formula>0</formula>
    </cfRule>
    <cfRule type="top10" dxfId="4964" priority="1630" rank="10"/>
  </conditionalFormatting>
  <conditionalFormatting sqref="G305">
    <cfRule type="notContainsBlanks" dxfId="4963" priority="1628">
      <formula>LEN(TRIM(G305))&gt;0</formula>
    </cfRule>
  </conditionalFormatting>
  <conditionalFormatting sqref="F305">
    <cfRule type="notContainsBlanks" dxfId="4962" priority="1627">
      <formula>LEN(TRIM(F305))&gt;0</formula>
    </cfRule>
  </conditionalFormatting>
  <conditionalFormatting sqref="E305">
    <cfRule type="notContainsBlanks" dxfId="4961" priority="1626">
      <formula>LEN(TRIM(E305))&gt;0</formula>
    </cfRule>
  </conditionalFormatting>
  <conditionalFormatting sqref="D305">
    <cfRule type="notContainsBlanks" dxfId="4960" priority="1625">
      <formula>LEN(TRIM(D305))&gt;0</formula>
    </cfRule>
  </conditionalFormatting>
  <conditionalFormatting sqref="C305">
    <cfRule type="notContainsBlanks" dxfId="4959" priority="1624">
      <formula>LEN(TRIM(C305))&gt;0</formula>
    </cfRule>
  </conditionalFormatting>
  <conditionalFormatting sqref="I305">
    <cfRule type="notContainsBlanks" dxfId="4958" priority="1623">
      <formula>LEN(TRIM(I305))&gt;0</formula>
    </cfRule>
  </conditionalFormatting>
  <conditionalFormatting sqref="S308">
    <cfRule type="cellIs" dxfId="4957" priority="1621" operator="greaterThan">
      <formula>0</formula>
    </cfRule>
    <cfRule type="top10" dxfId="4956" priority="1622" rank="10"/>
  </conditionalFormatting>
  <conditionalFormatting sqref="S311">
    <cfRule type="cellIs" dxfId="4955" priority="1619" operator="greaterThan">
      <formula>0</formula>
    </cfRule>
    <cfRule type="top10" dxfId="4954" priority="1620" rank="10"/>
  </conditionalFormatting>
  <conditionalFormatting sqref="G311">
    <cfRule type="notContainsBlanks" dxfId="4953" priority="1618">
      <formula>LEN(TRIM(G311))&gt;0</formula>
    </cfRule>
  </conditionalFormatting>
  <conditionalFormatting sqref="F311">
    <cfRule type="notContainsBlanks" dxfId="4952" priority="1617">
      <formula>LEN(TRIM(F311))&gt;0</formula>
    </cfRule>
  </conditionalFormatting>
  <conditionalFormatting sqref="E311">
    <cfRule type="notContainsBlanks" dxfId="4951" priority="1616">
      <formula>LEN(TRIM(E311))&gt;0</formula>
    </cfRule>
  </conditionalFormatting>
  <conditionalFormatting sqref="D311">
    <cfRule type="notContainsBlanks" dxfId="4950" priority="1615">
      <formula>LEN(TRIM(D311))&gt;0</formula>
    </cfRule>
  </conditionalFormatting>
  <conditionalFormatting sqref="C311">
    <cfRule type="notContainsBlanks" dxfId="4949" priority="1614">
      <formula>LEN(TRIM(C311))&gt;0</formula>
    </cfRule>
  </conditionalFormatting>
  <conditionalFormatting sqref="I311">
    <cfRule type="notContainsBlanks" dxfId="4948" priority="1613">
      <formula>LEN(TRIM(I311))&gt;0</formula>
    </cfRule>
  </conditionalFormatting>
  <conditionalFormatting sqref="G302">
    <cfRule type="notContainsBlanks" dxfId="4947" priority="1612">
      <formula>LEN(TRIM(G302))&gt;0</formula>
    </cfRule>
  </conditionalFormatting>
  <conditionalFormatting sqref="F302">
    <cfRule type="notContainsBlanks" dxfId="4946" priority="1611">
      <formula>LEN(TRIM(F302))&gt;0</formula>
    </cfRule>
  </conditionalFormatting>
  <conditionalFormatting sqref="E302">
    <cfRule type="notContainsBlanks" dxfId="4945" priority="1610">
      <formula>LEN(TRIM(E302))&gt;0</formula>
    </cfRule>
  </conditionalFormatting>
  <conditionalFormatting sqref="D302">
    <cfRule type="notContainsBlanks" dxfId="4944" priority="1609">
      <formula>LEN(TRIM(D302))&gt;0</formula>
    </cfRule>
  </conditionalFormatting>
  <conditionalFormatting sqref="C302">
    <cfRule type="notContainsBlanks" dxfId="4943" priority="1608">
      <formula>LEN(TRIM(C302))&gt;0</formula>
    </cfRule>
  </conditionalFormatting>
  <conditionalFormatting sqref="G308">
    <cfRule type="notContainsBlanks" dxfId="4942" priority="1607">
      <formula>LEN(TRIM(G308))&gt;0</formula>
    </cfRule>
  </conditionalFormatting>
  <conditionalFormatting sqref="F308">
    <cfRule type="notContainsBlanks" dxfId="4941" priority="1606">
      <formula>LEN(TRIM(F308))&gt;0</formula>
    </cfRule>
  </conditionalFormatting>
  <conditionalFormatting sqref="E308">
    <cfRule type="notContainsBlanks" dxfId="4940" priority="1605">
      <formula>LEN(TRIM(E308))&gt;0</formula>
    </cfRule>
  </conditionalFormatting>
  <conditionalFormatting sqref="D308">
    <cfRule type="notContainsBlanks" dxfId="4939" priority="1604">
      <formula>LEN(TRIM(D308))&gt;0</formula>
    </cfRule>
  </conditionalFormatting>
  <conditionalFormatting sqref="C308">
    <cfRule type="notContainsBlanks" dxfId="4938" priority="1603">
      <formula>LEN(TRIM(C308))&gt;0</formula>
    </cfRule>
  </conditionalFormatting>
  <conditionalFormatting sqref="I302">
    <cfRule type="notContainsBlanks" dxfId="4937" priority="1602">
      <formula>LEN(TRIM(I302))&gt;0</formula>
    </cfRule>
  </conditionalFormatting>
  <conditionalFormatting sqref="I308">
    <cfRule type="notContainsBlanks" dxfId="4936" priority="1601">
      <formula>LEN(TRIM(I308))&gt;0</formula>
    </cfRule>
  </conditionalFormatting>
  <conditionalFormatting sqref="S314">
    <cfRule type="expression" dxfId="4935" priority="1599">
      <formula>$S$28&gt;0</formula>
    </cfRule>
    <cfRule type="cellIs" dxfId="4934" priority="1600" operator="equal">
      <formula>0</formula>
    </cfRule>
  </conditionalFormatting>
  <conditionalFormatting sqref="S315">
    <cfRule type="expression" dxfId="4933" priority="1597">
      <formula>$S$28&gt;0</formula>
    </cfRule>
    <cfRule type="cellIs" dxfId="4932" priority="1598" operator="equal">
      <formula>0</formula>
    </cfRule>
  </conditionalFormatting>
  <conditionalFormatting sqref="N299">
    <cfRule type="expression" dxfId="4931" priority="1584">
      <formula>N299=" "</formula>
    </cfRule>
    <cfRule type="expression" dxfId="4930" priority="1585">
      <formula>N299="NO PRESENTÓ CERTIFICADO"</formula>
    </cfRule>
    <cfRule type="expression" dxfId="4929" priority="1586">
      <formula>N299="PRESENTÓ CERTIFICADO"</formula>
    </cfRule>
  </conditionalFormatting>
  <conditionalFormatting sqref="O299">
    <cfRule type="cellIs" dxfId="4928" priority="1566" operator="equal">
      <formula>"PENDIENTE POR DESCRIPCIÓN"</formula>
    </cfRule>
    <cfRule type="cellIs" dxfId="4927" priority="1567" operator="equal">
      <formula>"DESCRIPCIÓN INSUFICIENTE"</formula>
    </cfRule>
    <cfRule type="cellIs" dxfId="4926" priority="1568" operator="equal">
      <formula>"NO ESTÁ ACORDE A ITEM 5.2.2 (T.R.)"</formula>
    </cfRule>
    <cfRule type="cellIs" dxfId="4925" priority="1569" operator="equal">
      <formula>"ACORDE A ITEM 5.2.2 (T.R.)"</formula>
    </cfRule>
    <cfRule type="cellIs" dxfId="4924" priority="1576" operator="equal">
      <formula>"PENDIENTE POR DESCRIPCIÓN"</formula>
    </cfRule>
    <cfRule type="cellIs" dxfId="4923" priority="1578" operator="equal">
      <formula>"DESCRIPCIÓN INSUFICIENTE"</formula>
    </cfRule>
    <cfRule type="cellIs" dxfId="4922" priority="1579" operator="equal">
      <formula>"NO ESTÁ ACORDE A ITEM 5.2.1 (T.R.)"</formula>
    </cfRule>
    <cfRule type="cellIs" dxfId="4921" priority="1580" operator="equal">
      <formula>"ACORDE A ITEM 5.2.1 (T.R.)"</formula>
    </cfRule>
  </conditionalFormatting>
  <conditionalFormatting sqref="Q299">
    <cfRule type="containsBlanks" dxfId="4920" priority="1571">
      <formula>LEN(TRIM(Q299))=0</formula>
    </cfRule>
    <cfRule type="cellIs" dxfId="4919" priority="1577" operator="equal">
      <formula>"REQUERIMIENTOS SUBSANADOS"</formula>
    </cfRule>
    <cfRule type="containsText" dxfId="4918" priority="1581" operator="containsText" text="NO SUBSANABLE">
      <formula>NOT(ISERROR(SEARCH("NO SUBSANABLE",Q299)))</formula>
    </cfRule>
    <cfRule type="containsText" dxfId="4917" priority="1582" operator="containsText" text="PENDIENTES POR SUBSANAR">
      <formula>NOT(ISERROR(SEARCH("PENDIENTES POR SUBSANAR",Q299)))</formula>
    </cfRule>
    <cfRule type="containsText" dxfId="4916" priority="1583" operator="containsText" text="SIN OBSERVACIÓN">
      <formula>NOT(ISERROR(SEARCH("SIN OBSERVACIÓN",Q299)))</formula>
    </cfRule>
  </conditionalFormatting>
  <conditionalFormatting sqref="R299">
    <cfRule type="containsBlanks" dxfId="4915" priority="1570">
      <formula>LEN(TRIM(R299))=0</formula>
    </cfRule>
    <cfRule type="cellIs" dxfId="4914" priority="1572" operator="equal">
      <formula>"NO CUMPLEN CON LO SOLICITADO"</formula>
    </cfRule>
    <cfRule type="cellIs" dxfId="4913" priority="1573" operator="equal">
      <formula>"CUMPLEN CON LO SOLICITADO"</formula>
    </cfRule>
    <cfRule type="cellIs" dxfId="4912" priority="1574" operator="equal">
      <formula>"PENDIENTES"</formula>
    </cfRule>
    <cfRule type="cellIs" dxfId="4911" priority="1575" operator="equal">
      <formula>"NINGUNO"</formula>
    </cfRule>
  </conditionalFormatting>
  <conditionalFormatting sqref="P299">
    <cfRule type="expression" dxfId="4910" priority="1561">
      <formula>Q299="NO SUBSANABLE"</formula>
    </cfRule>
    <cfRule type="expression" dxfId="4909" priority="1562">
      <formula>Q299="REQUERIMIENTOS SUBSANADOS"</formula>
    </cfRule>
    <cfRule type="expression" dxfId="4908" priority="1563">
      <formula>Q299="PENDIENTES POR SUBSANAR"</formula>
    </cfRule>
    <cfRule type="expression" dxfId="4907" priority="1564">
      <formula>Q299="SIN OBSERVACIÓN"</formula>
    </cfRule>
    <cfRule type="containsBlanks" dxfId="4906" priority="1565">
      <formula>LEN(TRIM(P299))=0</formula>
    </cfRule>
  </conditionalFormatting>
  <conditionalFormatting sqref="N311">
    <cfRule type="expression" dxfId="4905" priority="1558">
      <formula>N311=" "</formula>
    </cfRule>
    <cfRule type="expression" dxfId="4904" priority="1559">
      <formula>N311="NO PRESENTÓ CERTIFICADO"</formula>
    </cfRule>
    <cfRule type="expression" dxfId="4903" priority="1560">
      <formula>N311="PRESENTÓ CERTIFICADO"</formula>
    </cfRule>
  </conditionalFormatting>
  <conditionalFormatting sqref="O311">
    <cfRule type="cellIs" dxfId="4902" priority="1540" operator="equal">
      <formula>"PENDIENTE POR DESCRIPCIÓN"</formula>
    </cfRule>
    <cfRule type="cellIs" dxfId="4901" priority="1541" operator="equal">
      <formula>"DESCRIPCIÓN INSUFICIENTE"</formula>
    </cfRule>
    <cfRule type="cellIs" dxfId="4900" priority="1542" operator="equal">
      <formula>"NO ESTÁ ACORDE A ITEM 5.2.2 (T.R.)"</formula>
    </cfRule>
    <cfRule type="cellIs" dxfId="4899" priority="1543" operator="equal">
      <formula>"ACORDE A ITEM 5.2.2 (T.R.)"</formula>
    </cfRule>
    <cfRule type="cellIs" dxfId="4898" priority="1550" operator="equal">
      <formula>"PENDIENTE POR DESCRIPCIÓN"</formula>
    </cfRule>
    <cfRule type="cellIs" dxfId="4897" priority="1552" operator="equal">
      <formula>"DESCRIPCIÓN INSUFICIENTE"</formula>
    </cfRule>
    <cfRule type="cellIs" dxfId="4896" priority="1553" operator="equal">
      <formula>"NO ESTÁ ACORDE A ITEM 5.2.1 (T.R.)"</formula>
    </cfRule>
    <cfRule type="cellIs" dxfId="4895" priority="1554" operator="equal">
      <formula>"ACORDE A ITEM 5.2.1 (T.R.)"</formula>
    </cfRule>
  </conditionalFormatting>
  <conditionalFormatting sqref="Q311">
    <cfRule type="containsBlanks" dxfId="4894" priority="1545">
      <formula>LEN(TRIM(Q311))=0</formula>
    </cfRule>
    <cfRule type="cellIs" dxfId="4893" priority="1551" operator="equal">
      <formula>"REQUERIMIENTOS SUBSANADOS"</formula>
    </cfRule>
    <cfRule type="containsText" dxfId="4892" priority="1555" operator="containsText" text="NO SUBSANABLE">
      <formula>NOT(ISERROR(SEARCH("NO SUBSANABLE",Q311)))</formula>
    </cfRule>
    <cfRule type="containsText" dxfId="4891" priority="1556" operator="containsText" text="PENDIENTES POR SUBSANAR">
      <formula>NOT(ISERROR(SEARCH("PENDIENTES POR SUBSANAR",Q311)))</formula>
    </cfRule>
    <cfRule type="containsText" dxfId="4890" priority="1557" operator="containsText" text="SIN OBSERVACIÓN">
      <formula>NOT(ISERROR(SEARCH("SIN OBSERVACIÓN",Q311)))</formula>
    </cfRule>
  </conditionalFormatting>
  <conditionalFormatting sqref="R311">
    <cfRule type="containsBlanks" dxfId="4889" priority="1544">
      <formula>LEN(TRIM(R311))=0</formula>
    </cfRule>
    <cfRule type="cellIs" dxfId="4888" priority="1546" operator="equal">
      <formula>"NO CUMPLEN CON LO SOLICITADO"</formula>
    </cfRule>
    <cfRule type="cellIs" dxfId="4887" priority="1547" operator="equal">
      <formula>"CUMPLEN CON LO SOLICITADO"</formula>
    </cfRule>
    <cfRule type="cellIs" dxfId="4886" priority="1548" operator="equal">
      <formula>"PENDIENTES"</formula>
    </cfRule>
    <cfRule type="cellIs" dxfId="4885" priority="1549" operator="equal">
      <formula>"NINGUNO"</formula>
    </cfRule>
  </conditionalFormatting>
  <conditionalFormatting sqref="P302 P305 P308 P311">
    <cfRule type="expression" dxfId="4884" priority="1535">
      <formula>Q302="NO SUBSANABLE"</formula>
    </cfRule>
    <cfRule type="expression" dxfId="4883" priority="1536">
      <formula>Q302="REQUERIMIENTOS SUBSANADOS"</formula>
    </cfRule>
    <cfRule type="expression" dxfId="4882" priority="1537">
      <formula>Q302="PENDIENTES POR SUBSANAR"</formula>
    </cfRule>
    <cfRule type="expression" dxfId="4881" priority="1538">
      <formula>Q302="SIN OBSERVACIÓN"</formula>
    </cfRule>
    <cfRule type="containsBlanks" dxfId="4880" priority="1539">
      <formula>LEN(TRIM(P302))=0</formula>
    </cfRule>
  </conditionalFormatting>
  <conditionalFormatting sqref="N302">
    <cfRule type="expression" dxfId="4879" priority="1532">
      <formula>N302=" "</formula>
    </cfRule>
    <cfRule type="expression" dxfId="4878" priority="1533">
      <formula>N302="NO PRESENTÓ CERTIFICADO"</formula>
    </cfRule>
    <cfRule type="expression" dxfId="4877" priority="1534">
      <formula>N302="PRESENTÓ CERTIFICADO"</formula>
    </cfRule>
  </conditionalFormatting>
  <conditionalFormatting sqref="N305">
    <cfRule type="expression" dxfId="4876" priority="1529">
      <formula>N305=" "</formula>
    </cfRule>
    <cfRule type="expression" dxfId="4875" priority="1530">
      <formula>N305="NO PRESENTÓ CERTIFICADO"</formula>
    </cfRule>
    <cfRule type="expression" dxfId="4874" priority="1531">
      <formula>N305="PRESENTÓ CERTIFICADO"</formula>
    </cfRule>
  </conditionalFormatting>
  <conditionalFormatting sqref="N308">
    <cfRule type="expression" dxfId="4873" priority="1526">
      <formula>N308=" "</formula>
    </cfRule>
    <cfRule type="expression" dxfId="4872" priority="1527">
      <formula>N308="NO PRESENTÓ CERTIFICADO"</formula>
    </cfRule>
    <cfRule type="expression" dxfId="4871" priority="1528">
      <formula>N308="PRESENTÓ CERTIFICADO"</formula>
    </cfRule>
  </conditionalFormatting>
  <conditionalFormatting sqref="O302">
    <cfRule type="cellIs" dxfId="4870" priority="1518" operator="equal">
      <formula>"PENDIENTE POR DESCRIPCIÓN"</formula>
    </cfRule>
    <cfRule type="cellIs" dxfId="4869" priority="1519" operator="equal">
      <formula>"DESCRIPCIÓN INSUFICIENTE"</formula>
    </cfRule>
    <cfRule type="cellIs" dxfId="4868" priority="1520" operator="equal">
      <formula>"NO ESTÁ ACORDE A ITEM 5.2.2 (T.R.)"</formula>
    </cfRule>
    <cfRule type="cellIs" dxfId="4867" priority="1521" operator="equal">
      <formula>"ACORDE A ITEM 5.2.2 (T.R.)"</formula>
    </cfRule>
    <cfRule type="cellIs" dxfId="4866" priority="1522" operator="equal">
      <formula>"PENDIENTE POR DESCRIPCIÓN"</formula>
    </cfRule>
    <cfRule type="cellIs" dxfId="4865" priority="1523" operator="equal">
      <formula>"DESCRIPCIÓN INSUFICIENTE"</formula>
    </cfRule>
    <cfRule type="cellIs" dxfId="4864" priority="1524" operator="equal">
      <formula>"NO ESTÁ ACORDE A ITEM 5.2.1 (T.R.)"</formula>
    </cfRule>
    <cfRule type="cellIs" dxfId="4863" priority="1525" operator="equal">
      <formula>"ACORDE A ITEM 5.2.1 (T.R.)"</formula>
    </cfRule>
  </conditionalFormatting>
  <conditionalFormatting sqref="O305">
    <cfRule type="cellIs" dxfId="4862" priority="1510" operator="equal">
      <formula>"PENDIENTE POR DESCRIPCIÓN"</formula>
    </cfRule>
    <cfRule type="cellIs" dxfId="4861" priority="1511" operator="equal">
      <formula>"DESCRIPCIÓN INSUFICIENTE"</formula>
    </cfRule>
    <cfRule type="cellIs" dxfId="4860" priority="1512" operator="equal">
      <formula>"NO ESTÁ ACORDE A ITEM 5.2.2 (T.R.)"</formula>
    </cfRule>
    <cfRule type="cellIs" dxfId="4859" priority="1513" operator="equal">
      <formula>"ACORDE A ITEM 5.2.2 (T.R.)"</formula>
    </cfRule>
    <cfRule type="cellIs" dxfId="4858" priority="1514" operator="equal">
      <formula>"PENDIENTE POR DESCRIPCIÓN"</formula>
    </cfRule>
    <cfRule type="cellIs" dxfId="4857" priority="1515" operator="equal">
      <formula>"DESCRIPCIÓN INSUFICIENTE"</formula>
    </cfRule>
    <cfRule type="cellIs" dxfId="4856" priority="1516" operator="equal">
      <formula>"NO ESTÁ ACORDE A ITEM 5.2.1 (T.R.)"</formula>
    </cfRule>
    <cfRule type="cellIs" dxfId="4855" priority="1517" operator="equal">
      <formula>"ACORDE A ITEM 5.2.1 (T.R.)"</formula>
    </cfRule>
  </conditionalFormatting>
  <conditionalFormatting sqref="O308">
    <cfRule type="cellIs" dxfId="4854" priority="1502" operator="equal">
      <formula>"PENDIENTE POR DESCRIPCIÓN"</formula>
    </cfRule>
    <cfRule type="cellIs" dxfId="4853" priority="1503" operator="equal">
      <formula>"DESCRIPCIÓN INSUFICIENTE"</formula>
    </cfRule>
    <cfRule type="cellIs" dxfId="4852" priority="1504" operator="equal">
      <formula>"NO ESTÁ ACORDE A ITEM 5.2.2 (T.R.)"</formula>
    </cfRule>
    <cfRule type="cellIs" dxfId="4851" priority="1505" operator="equal">
      <formula>"ACORDE A ITEM 5.2.2 (T.R.)"</formula>
    </cfRule>
    <cfRule type="cellIs" dxfId="4850" priority="1506" operator="equal">
      <formula>"PENDIENTE POR DESCRIPCIÓN"</formula>
    </cfRule>
    <cfRule type="cellIs" dxfId="4849" priority="1507" operator="equal">
      <formula>"DESCRIPCIÓN INSUFICIENTE"</formula>
    </cfRule>
    <cfRule type="cellIs" dxfId="4848" priority="1508" operator="equal">
      <formula>"NO ESTÁ ACORDE A ITEM 5.2.1 (T.R.)"</formula>
    </cfRule>
    <cfRule type="cellIs" dxfId="4847" priority="1509" operator="equal">
      <formula>"ACORDE A ITEM 5.2.1 (T.R.)"</formula>
    </cfRule>
  </conditionalFormatting>
  <conditionalFormatting sqref="Q302">
    <cfRule type="containsBlanks" dxfId="4846" priority="1493">
      <formula>LEN(TRIM(Q302))=0</formula>
    </cfRule>
    <cfRule type="cellIs" dxfId="4845" priority="1498" operator="equal">
      <formula>"REQUERIMIENTOS SUBSANADOS"</formula>
    </cfRule>
    <cfRule type="containsText" dxfId="4844" priority="1499" operator="containsText" text="NO SUBSANABLE">
      <formula>NOT(ISERROR(SEARCH("NO SUBSANABLE",Q302)))</formula>
    </cfRule>
    <cfRule type="containsText" dxfId="4843" priority="1500" operator="containsText" text="PENDIENTES POR SUBSANAR">
      <formula>NOT(ISERROR(SEARCH("PENDIENTES POR SUBSANAR",Q302)))</formula>
    </cfRule>
    <cfRule type="containsText" dxfId="4842" priority="1501" operator="containsText" text="SIN OBSERVACIÓN">
      <formula>NOT(ISERROR(SEARCH("SIN OBSERVACIÓN",Q302)))</formula>
    </cfRule>
  </conditionalFormatting>
  <conditionalFormatting sqref="R302">
    <cfRule type="containsBlanks" dxfId="4841" priority="1492">
      <formula>LEN(TRIM(R302))=0</formula>
    </cfRule>
    <cfRule type="cellIs" dxfId="4840" priority="1494" operator="equal">
      <formula>"NO CUMPLEN CON LO SOLICITADO"</formula>
    </cfRule>
    <cfRule type="cellIs" dxfId="4839" priority="1495" operator="equal">
      <formula>"CUMPLEN CON LO SOLICITADO"</formula>
    </cfRule>
    <cfRule type="cellIs" dxfId="4838" priority="1496" operator="equal">
      <formula>"PENDIENTES"</formula>
    </cfRule>
    <cfRule type="cellIs" dxfId="4837" priority="1497" operator="equal">
      <formula>"NINGUNO"</formula>
    </cfRule>
  </conditionalFormatting>
  <conditionalFormatting sqref="Q305">
    <cfRule type="containsBlanks" dxfId="4836" priority="1483">
      <formula>LEN(TRIM(Q305))=0</formula>
    </cfRule>
    <cfRule type="cellIs" dxfId="4835" priority="1488" operator="equal">
      <formula>"REQUERIMIENTOS SUBSANADOS"</formula>
    </cfRule>
    <cfRule type="containsText" dxfId="4834" priority="1489" operator="containsText" text="NO SUBSANABLE">
      <formula>NOT(ISERROR(SEARCH("NO SUBSANABLE",Q305)))</formula>
    </cfRule>
    <cfRule type="containsText" dxfId="4833" priority="1490" operator="containsText" text="PENDIENTES POR SUBSANAR">
      <formula>NOT(ISERROR(SEARCH("PENDIENTES POR SUBSANAR",Q305)))</formula>
    </cfRule>
    <cfRule type="containsText" dxfId="4832" priority="1491" operator="containsText" text="SIN OBSERVACIÓN">
      <formula>NOT(ISERROR(SEARCH("SIN OBSERVACIÓN",Q305)))</formula>
    </cfRule>
  </conditionalFormatting>
  <conditionalFormatting sqref="R305">
    <cfRule type="containsBlanks" dxfId="4831" priority="1482">
      <formula>LEN(TRIM(R305))=0</formula>
    </cfRule>
    <cfRule type="cellIs" dxfId="4830" priority="1484" operator="equal">
      <formula>"NO CUMPLEN CON LO SOLICITADO"</formula>
    </cfRule>
    <cfRule type="cellIs" dxfId="4829" priority="1485" operator="equal">
      <formula>"CUMPLEN CON LO SOLICITADO"</formula>
    </cfRule>
    <cfRule type="cellIs" dxfId="4828" priority="1486" operator="equal">
      <formula>"PENDIENTES"</formula>
    </cfRule>
    <cfRule type="cellIs" dxfId="4827" priority="1487" operator="equal">
      <formula>"NINGUNO"</formula>
    </cfRule>
  </conditionalFormatting>
  <conditionalFormatting sqref="Q308">
    <cfRule type="containsBlanks" dxfId="4826" priority="1473">
      <formula>LEN(TRIM(Q308))=0</formula>
    </cfRule>
    <cfRule type="cellIs" dxfId="4825" priority="1478" operator="equal">
      <formula>"REQUERIMIENTOS SUBSANADOS"</formula>
    </cfRule>
    <cfRule type="containsText" dxfId="4824" priority="1479" operator="containsText" text="NO SUBSANABLE">
      <formula>NOT(ISERROR(SEARCH("NO SUBSANABLE",Q308)))</formula>
    </cfRule>
    <cfRule type="containsText" dxfId="4823" priority="1480" operator="containsText" text="PENDIENTES POR SUBSANAR">
      <formula>NOT(ISERROR(SEARCH("PENDIENTES POR SUBSANAR",Q308)))</formula>
    </cfRule>
    <cfRule type="containsText" dxfId="4822" priority="1481" operator="containsText" text="SIN OBSERVACIÓN">
      <formula>NOT(ISERROR(SEARCH("SIN OBSERVACIÓN",Q308)))</formula>
    </cfRule>
  </conditionalFormatting>
  <conditionalFormatting sqref="R308">
    <cfRule type="containsBlanks" dxfId="4821" priority="1472">
      <formula>LEN(TRIM(R308))=0</formula>
    </cfRule>
    <cfRule type="cellIs" dxfId="4820" priority="1474" operator="equal">
      <formula>"NO CUMPLEN CON LO SOLICITADO"</formula>
    </cfRule>
    <cfRule type="cellIs" dxfId="4819" priority="1475" operator="equal">
      <formula>"CUMPLEN CON LO SOLICITADO"</formula>
    </cfRule>
    <cfRule type="cellIs" dxfId="4818" priority="1476" operator="equal">
      <formula>"PENDIENTES"</formula>
    </cfRule>
    <cfRule type="cellIs" dxfId="4817" priority="1477" operator="equal">
      <formula>"NINGUNO"</formula>
    </cfRule>
  </conditionalFormatting>
  <conditionalFormatting sqref="M308">
    <cfRule type="expression" dxfId="4816" priority="1430">
      <formula>L308="NO CUMPLE"</formula>
    </cfRule>
    <cfRule type="expression" dxfId="4815" priority="1431">
      <formula>L308="CUMPLE"</formula>
    </cfRule>
  </conditionalFormatting>
  <conditionalFormatting sqref="L308:L309">
    <cfRule type="cellIs" dxfId="4814" priority="1428" operator="equal">
      <formula>"NO CUMPLE"</formula>
    </cfRule>
    <cfRule type="cellIs" dxfId="4813" priority="1429" operator="equal">
      <formula>"CUMPLE"</formula>
    </cfRule>
  </conditionalFormatting>
  <conditionalFormatting sqref="M309">
    <cfRule type="expression" dxfId="4812" priority="1426">
      <formula>L309="NO CUMPLE"</formula>
    </cfRule>
    <cfRule type="expression" dxfId="4811" priority="1427">
      <formula>L309="CUMPLE"</formula>
    </cfRule>
  </conditionalFormatting>
  <conditionalFormatting sqref="J302:J310">
    <cfRule type="cellIs" dxfId="4810" priority="1470" operator="equal">
      <formula>"NO CUMPLE"</formula>
    </cfRule>
    <cfRule type="cellIs" dxfId="4809" priority="1471" operator="equal">
      <formula>"CUMPLE"</formula>
    </cfRule>
  </conditionalFormatting>
  <conditionalFormatting sqref="K302">
    <cfRule type="expression" dxfId="4808" priority="1468">
      <formula>J302="NO CUMPLE"</formula>
    </cfRule>
    <cfRule type="expression" dxfId="4807" priority="1469">
      <formula>J302="CUMPLE"</formula>
    </cfRule>
  </conditionalFormatting>
  <conditionalFormatting sqref="K303:K304">
    <cfRule type="expression" dxfId="4806" priority="1466">
      <formula>J303="NO CUMPLE"</formula>
    </cfRule>
    <cfRule type="expression" dxfId="4805" priority="1467">
      <formula>J303="CUMPLE"</formula>
    </cfRule>
  </conditionalFormatting>
  <conditionalFormatting sqref="J311">
    <cfRule type="cellIs" dxfId="4804" priority="1464" operator="equal">
      <formula>"NO CUMPLE"</formula>
    </cfRule>
    <cfRule type="cellIs" dxfId="4803" priority="1465" operator="equal">
      <formula>"CUMPLE"</formula>
    </cfRule>
  </conditionalFormatting>
  <conditionalFormatting sqref="J312:J313">
    <cfRule type="cellIs" dxfId="4802" priority="1462" operator="equal">
      <formula>"NO CUMPLE"</formula>
    </cfRule>
    <cfRule type="cellIs" dxfId="4801" priority="1463" operator="equal">
      <formula>"CUMPLE"</formula>
    </cfRule>
  </conditionalFormatting>
  <conditionalFormatting sqref="K305">
    <cfRule type="expression" dxfId="4800" priority="1460">
      <formula>J305="NO CUMPLE"</formula>
    </cfRule>
    <cfRule type="expression" dxfId="4799" priority="1461">
      <formula>J305="CUMPLE"</formula>
    </cfRule>
  </conditionalFormatting>
  <conditionalFormatting sqref="K306:K307">
    <cfRule type="expression" dxfId="4798" priority="1458">
      <formula>J306="NO CUMPLE"</formula>
    </cfRule>
    <cfRule type="expression" dxfId="4797" priority="1459">
      <formula>J306="CUMPLE"</formula>
    </cfRule>
  </conditionalFormatting>
  <conditionalFormatting sqref="K308">
    <cfRule type="expression" dxfId="4796" priority="1456">
      <formula>J308="NO CUMPLE"</formula>
    </cfRule>
    <cfRule type="expression" dxfId="4795" priority="1457">
      <formula>J308="CUMPLE"</formula>
    </cfRule>
  </conditionalFormatting>
  <conditionalFormatting sqref="K309:K310">
    <cfRule type="expression" dxfId="4794" priority="1454">
      <formula>J309="NO CUMPLE"</formula>
    </cfRule>
    <cfRule type="expression" dxfId="4793" priority="1455">
      <formula>J309="CUMPLE"</formula>
    </cfRule>
  </conditionalFormatting>
  <conditionalFormatting sqref="K311">
    <cfRule type="expression" dxfId="4792" priority="1452">
      <formula>J311="NO CUMPLE"</formula>
    </cfRule>
    <cfRule type="expression" dxfId="4791" priority="1453">
      <formula>J311="CUMPLE"</formula>
    </cfRule>
  </conditionalFormatting>
  <conditionalFormatting sqref="K312:K313">
    <cfRule type="expression" dxfId="4790" priority="1450">
      <formula>J312="NO CUMPLE"</formula>
    </cfRule>
    <cfRule type="expression" dxfId="4789" priority="1451">
      <formula>J312="CUMPLE"</formula>
    </cfRule>
  </conditionalFormatting>
  <conditionalFormatting sqref="M303">
    <cfRule type="expression" dxfId="4788" priority="1438">
      <formula>L303="NO CUMPLE"</formula>
    </cfRule>
    <cfRule type="expression" dxfId="4787" priority="1439">
      <formula>L303="CUMPLE"</formula>
    </cfRule>
  </conditionalFormatting>
  <conditionalFormatting sqref="L302:L303">
    <cfRule type="cellIs" dxfId="4786" priority="1440" operator="equal">
      <formula>"NO CUMPLE"</formula>
    </cfRule>
    <cfRule type="cellIs" dxfId="4785" priority="1441" operator="equal">
      <formula>"CUMPLE"</formula>
    </cfRule>
  </conditionalFormatting>
  <conditionalFormatting sqref="M302">
    <cfRule type="expression" dxfId="4784" priority="1442">
      <formula>L302="NO CUMPLE"</formula>
    </cfRule>
    <cfRule type="expression" dxfId="4783" priority="1443">
      <formula>L302="CUMPLE"</formula>
    </cfRule>
  </conditionalFormatting>
  <conditionalFormatting sqref="M300">
    <cfRule type="expression" dxfId="4782" priority="1444">
      <formula>L300="NO CUMPLE"</formula>
    </cfRule>
    <cfRule type="expression" dxfId="4781" priority="1445">
      <formula>L300="CUMPLE"</formula>
    </cfRule>
  </conditionalFormatting>
  <conditionalFormatting sqref="M299">
    <cfRule type="expression" dxfId="4780" priority="1448">
      <formula>L299="NO CUMPLE"</formula>
    </cfRule>
    <cfRule type="expression" dxfId="4779" priority="1449">
      <formula>L299="CUMPLE"</formula>
    </cfRule>
  </conditionalFormatting>
  <conditionalFormatting sqref="L299:L300">
    <cfRule type="cellIs" dxfId="4778" priority="1446" operator="equal">
      <formula>"NO CUMPLE"</formula>
    </cfRule>
    <cfRule type="cellIs" dxfId="4777" priority="1447" operator="equal">
      <formula>"CUMPLE"</formula>
    </cfRule>
  </conditionalFormatting>
  <conditionalFormatting sqref="M306">
    <cfRule type="expression" dxfId="4776" priority="1432">
      <formula>L306="NO CUMPLE"</formula>
    </cfRule>
    <cfRule type="expression" dxfId="4775" priority="1433">
      <formula>L306="CUMPLE"</formula>
    </cfRule>
  </conditionalFormatting>
  <conditionalFormatting sqref="M305">
    <cfRule type="expression" dxfId="4774" priority="1436">
      <formula>L305="NO CUMPLE"</formula>
    </cfRule>
    <cfRule type="expression" dxfId="4773" priority="1437">
      <formula>L305="CUMPLE"</formula>
    </cfRule>
  </conditionalFormatting>
  <conditionalFormatting sqref="L305:L306">
    <cfRule type="cellIs" dxfId="4772" priority="1434" operator="equal">
      <formula>"NO CUMPLE"</formula>
    </cfRule>
    <cfRule type="cellIs" dxfId="4771" priority="1435" operator="equal">
      <formula>"CUMPLE"</formula>
    </cfRule>
  </conditionalFormatting>
  <conditionalFormatting sqref="M312">
    <cfRule type="expression" dxfId="4770" priority="1420">
      <formula>L312="NO CUMPLE"</formula>
    </cfRule>
    <cfRule type="expression" dxfId="4769" priority="1421">
      <formula>L312="CUMPLE"</formula>
    </cfRule>
  </conditionalFormatting>
  <conditionalFormatting sqref="M311">
    <cfRule type="expression" dxfId="4768" priority="1424">
      <formula>L311="NO CUMPLE"</formula>
    </cfRule>
    <cfRule type="expression" dxfId="4767" priority="1425">
      <formula>L311="CUMPLE"</formula>
    </cfRule>
  </conditionalFormatting>
  <conditionalFormatting sqref="L311:L312">
    <cfRule type="cellIs" dxfId="4766" priority="1422" operator="equal">
      <formula>"NO CUMPLE"</formula>
    </cfRule>
    <cfRule type="cellIs" dxfId="4765" priority="1423" operator="equal">
      <formula>"CUMPLE"</formula>
    </cfRule>
  </conditionalFormatting>
  <conditionalFormatting sqref="J299">
    <cfRule type="cellIs" dxfId="4764" priority="1418" operator="equal">
      <formula>"NO CUMPLE"</formula>
    </cfRule>
    <cfRule type="cellIs" dxfId="4763" priority="1419" operator="equal">
      <formula>"CUMPLE"</formula>
    </cfRule>
  </conditionalFormatting>
  <conditionalFormatting sqref="J300:J301">
    <cfRule type="cellIs" dxfId="4762" priority="1416" operator="equal">
      <formula>"NO CUMPLE"</formula>
    </cfRule>
    <cfRule type="cellIs" dxfId="4761" priority="1417" operator="equal">
      <formula>"CUMPLE"</formula>
    </cfRule>
  </conditionalFormatting>
  <conditionalFormatting sqref="K299">
    <cfRule type="expression" dxfId="4760" priority="1414">
      <formula>J299="NO CUMPLE"</formula>
    </cfRule>
    <cfRule type="expression" dxfId="4759" priority="1415">
      <formula>J299="CUMPLE"</formula>
    </cfRule>
  </conditionalFormatting>
  <conditionalFormatting sqref="K300:K301">
    <cfRule type="expression" dxfId="4758" priority="1412">
      <formula>J300="NO CUMPLE"</formula>
    </cfRule>
    <cfRule type="expression" dxfId="4757" priority="1413">
      <formula>J300="CUMPLE"</formula>
    </cfRule>
  </conditionalFormatting>
  <conditionalFormatting sqref="T116">
    <cfRule type="cellIs" dxfId="4756" priority="1398" operator="equal">
      <formula>"NO CUMPLE"</formula>
    </cfRule>
    <cfRule type="cellIs" dxfId="4755" priority="1399" operator="equal">
      <formula>"CUMPLE"</formula>
    </cfRule>
  </conditionalFormatting>
  <conditionalFormatting sqref="T101">
    <cfRule type="cellIs" dxfId="4754" priority="1396" operator="equal">
      <formula>"NO"</formula>
    </cfRule>
    <cfRule type="cellIs" dxfId="4753" priority="1397" operator="equal">
      <formula>"SI"</formula>
    </cfRule>
  </conditionalFormatting>
  <conditionalFormatting sqref="T138">
    <cfRule type="cellIs" dxfId="4752" priority="1382" operator="equal">
      <formula>"NO CUMPLE"</formula>
    </cfRule>
    <cfRule type="cellIs" dxfId="4751" priority="1383" operator="equal">
      <formula>"CUMPLE"</formula>
    </cfRule>
  </conditionalFormatting>
  <conditionalFormatting sqref="T123">
    <cfRule type="cellIs" dxfId="4750" priority="1380" operator="equal">
      <formula>"NO"</formula>
    </cfRule>
    <cfRule type="cellIs" dxfId="4749" priority="1381" operator="equal">
      <formula>"SI"</formula>
    </cfRule>
  </conditionalFormatting>
  <conditionalFormatting sqref="T160">
    <cfRule type="cellIs" dxfId="4748" priority="1366" operator="equal">
      <formula>"NO CUMPLE"</formula>
    </cfRule>
    <cfRule type="cellIs" dxfId="4747" priority="1367" operator="equal">
      <formula>"CUMPLE"</formula>
    </cfRule>
  </conditionalFormatting>
  <conditionalFormatting sqref="T145">
    <cfRule type="cellIs" dxfId="4746" priority="1364" operator="equal">
      <formula>"NO"</formula>
    </cfRule>
    <cfRule type="cellIs" dxfId="4745" priority="1365" operator="equal">
      <formula>"SI"</formula>
    </cfRule>
  </conditionalFormatting>
  <conditionalFormatting sqref="U151:U153">
    <cfRule type="cellIs" dxfId="4744" priority="1358" operator="equal">
      <formula>0</formula>
    </cfRule>
    <cfRule type="cellIs" dxfId="4743" priority="1359" operator="equal">
      <formula>1</formula>
    </cfRule>
  </conditionalFormatting>
  <conditionalFormatting sqref="U154:U156">
    <cfRule type="cellIs" dxfId="4742" priority="1356" operator="equal">
      <formula>0</formula>
    </cfRule>
    <cfRule type="cellIs" dxfId="4741" priority="1357" operator="equal">
      <formula>1</formula>
    </cfRule>
  </conditionalFormatting>
  <conditionalFormatting sqref="U157:U159">
    <cfRule type="cellIs" dxfId="4740" priority="1354" operator="equal">
      <formula>0</formula>
    </cfRule>
    <cfRule type="cellIs" dxfId="4739" priority="1355" operator="equal">
      <formula>1</formula>
    </cfRule>
  </conditionalFormatting>
  <conditionalFormatting sqref="T182">
    <cfRule type="cellIs" dxfId="4738" priority="1350" operator="equal">
      <formula>"NO CUMPLE"</formula>
    </cfRule>
    <cfRule type="cellIs" dxfId="4737" priority="1351" operator="equal">
      <formula>"CUMPLE"</formula>
    </cfRule>
  </conditionalFormatting>
  <conditionalFormatting sqref="T167">
    <cfRule type="cellIs" dxfId="4736" priority="1348" operator="equal">
      <formula>"NO"</formula>
    </cfRule>
    <cfRule type="cellIs" dxfId="4735" priority="1349" operator="equal">
      <formula>"SI"</formula>
    </cfRule>
  </conditionalFormatting>
  <conditionalFormatting sqref="T204">
    <cfRule type="cellIs" dxfId="4734" priority="1334" operator="equal">
      <formula>"NO CUMPLE"</formula>
    </cfRule>
    <cfRule type="cellIs" dxfId="4733" priority="1335" operator="equal">
      <formula>"CUMPLE"</formula>
    </cfRule>
  </conditionalFormatting>
  <conditionalFormatting sqref="T189">
    <cfRule type="cellIs" dxfId="4732" priority="1332" operator="equal">
      <formula>"NO"</formula>
    </cfRule>
    <cfRule type="cellIs" dxfId="4731" priority="1333" operator="equal">
      <formula>"SI"</formula>
    </cfRule>
  </conditionalFormatting>
  <conditionalFormatting sqref="U192:U194">
    <cfRule type="cellIs" dxfId="4730" priority="1328" operator="equal">
      <formula>0</formula>
    </cfRule>
    <cfRule type="cellIs" dxfId="4729" priority="1329" operator="equal">
      <formula>1</formula>
    </cfRule>
  </conditionalFormatting>
  <conditionalFormatting sqref="U195:U197">
    <cfRule type="cellIs" dxfId="4728" priority="1326" operator="equal">
      <formula>0</formula>
    </cfRule>
    <cfRule type="cellIs" dxfId="4727" priority="1327" operator="equal">
      <formula>1</formula>
    </cfRule>
  </conditionalFormatting>
  <conditionalFormatting sqref="U198:U200">
    <cfRule type="cellIs" dxfId="4726" priority="1324" operator="equal">
      <formula>0</formula>
    </cfRule>
    <cfRule type="cellIs" dxfId="4725" priority="1325" operator="equal">
      <formula>1</formula>
    </cfRule>
  </conditionalFormatting>
  <conditionalFormatting sqref="U201:U203">
    <cfRule type="cellIs" dxfId="4724" priority="1322" operator="equal">
      <formula>0</formula>
    </cfRule>
    <cfRule type="cellIs" dxfId="4723" priority="1323" operator="equal">
      <formula>1</formula>
    </cfRule>
  </conditionalFormatting>
  <conditionalFormatting sqref="T226">
    <cfRule type="cellIs" dxfId="4722" priority="1318" operator="equal">
      <formula>"NO CUMPLE"</formula>
    </cfRule>
    <cfRule type="cellIs" dxfId="4721" priority="1319" operator="equal">
      <formula>"CUMPLE"</formula>
    </cfRule>
  </conditionalFormatting>
  <conditionalFormatting sqref="T211">
    <cfRule type="cellIs" dxfId="4720" priority="1316" operator="equal">
      <formula>"NO"</formula>
    </cfRule>
    <cfRule type="cellIs" dxfId="4719" priority="1317" operator="equal">
      <formula>"SI"</formula>
    </cfRule>
  </conditionalFormatting>
  <conditionalFormatting sqref="U214:U216">
    <cfRule type="cellIs" dxfId="4718" priority="1312" operator="equal">
      <formula>0</formula>
    </cfRule>
    <cfRule type="cellIs" dxfId="4717" priority="1313" operator="equal">
      <formula>1</formula>
    </cfRule>
  </conditionalFormatting>
  <conditionalFormatting sqref="U217:U219">
    <cfRule type="cellIs" dxfId="4716" priority="1310" operator="equal">
      <formula>0</formula>
    </cfRule>
    <cfRule type="cellIs" dxfId="4715" priority="1311" operator="equal">
      <formula>1</formula>
    </cfRule>
  </conditionalFormatting>
  <conditionalFormatting sqref="U220:U222">
    <cfRule type="cellIs" dxfId="4714" priority="1308" operator="equal">
      <formula>0</formula>
    </cfRule>
    <cfRule type="cellIs" dxfId="4713" priority="1309" operator="equal">
      <formula>1</formula>
    </cfRule>
  </conditionalFormatting>
  <conditionalFormatting sqref="U223:U225">
    <cfRule type="cellIs" dxfId="4712" priority="1306" operator="equal">
      <formula>0</formula>
    </cfRule>
    <cfRule type="cellIs" dxfId="4711" priority="1307" operator="equal">
      <formula>1</formula>
    </cfRule>
  </conditionalFormatting>
  <conditionalFormatting sqref="T248">
    <cfRule type="cellIs" dxfId="4710" priority="1302" operator="equal">
      <formula>"NO CUMPLE"</formula>
    </cfRule>
    <cfRule type="cellIs" dxfId="4709" priority="1303" operator="equal">
      <formula>"CUMPLE"</formula>
    </cfRule>
  </conditionalFormatting>
  <conditionalFormatting sqref="T233">
    <cfRule type="cellIs" dxfId="4708" priority="1300" operator="equal">
      <formula>"NO"</formula>
    </cfRule>
    <cfRule type="cellIs" dxfId="4707" priority="1301" operator="equal">
      <formula>"SI"</formula>
    </cfRule>
  </conditionalFormatting>
  <conditionalFormatting sqref="U242:U244">
    <cfRule type="cellIs" dxfId="4706" priority="1292" operator="equal">
      <formula>0</formula>
    </cfRule>
    <cfRule type="cellIs" dxfId="4705" priority="1293" operator="equal">
      <formula>1</formula>
    </cfRule>
  </conditionalFormatting>
  <conditionalFormatting sqref="U245:U247">
    <cfRule type="cellIs" dxfId="4704" priority="1290" operator="equal">
      <formula>0</formula>
    </cfRule>
    <cfRule type="cellIs" dxfId="4703" priority="1291" operator="equal">
      <formula>1</formula>
    </cfRule>
  </conditionalFormatting>
  <conditionalFormatting sqref="T270">
    <cfRule type="cellIs" dxfId="4702" priority="1286" operator="equal">
      <formula>"NO CUMPLE"</formula>
    </cfRule>
    <cfRule type="cellIs" dxfId="4701" priority="1287" operator="equal">
      <formula>"CUMPLE"</formula>
    </cfRule>
  </conditionalFormatting>
  <conditionalFormatting sqref="T255">
    <cfRule type="cellIs" dxfId="4700" priority="1284" operator="equal">
      <formula>"NO"</formula>
    </cfRule>
    <cfRule type="cellIs" dxfId="4699" priority="1285" operator="equal">
      <formula>"SI"</formula>
    </cfRule>
  </conditionalFormatting>
  <conditionalFormatting sqref="U255:U257">
    <cfRule type="cellIs" dxfId="4698" priority="1282" operator="equal">
      <formula>0</formula>
    </cfRule>
    <cfRule type="cellIs" dxfId="4697" priority="1283" operator="equal">
      <formula>1</formula>
    </cfRule>
  </conditionalFormatting>
  <conditionalFormatting sqref="T292">
    <cfRule type="cellIs" dxfId="4696" priority="1270" operator="equal">
      <formula>"NO CUMPLE"</formula>
    </cfRule>
    <cfRule type="cellIs" dxfId="4695" priority="1271" operator="equal">
      <formula>"CUMPLE"</formula>
    </cfRule>
  </conditionalFormatting>
  <conditionalFormatting sqref="T277">
    <cfRule type="cellIs" dxfId="4694" priority="1268" operator="equal">
      <formula>"NO"</formula>
    </cfRule>
    <cfRule type="cellIs" dxfId="4693" priority="1269" operator="equal">
      <formula>"SI"</formula>
    </cfRule>
  </conditionalFormatting>
  <conditionalFormatting sqref="U277:U279">
    <cfRule type="cellIs" dxfId="4692" priority="1266" operator="equal">
      <formula>0</formula>
    </cfRule>
    <cfRule type="cellIs" dxfId="4691" priority="1267" operator="equal">
      <formula>1</formula>
    </cfRule>
  </conditionalFormatting>
  <conditionalFormatting sqref="U286:U288">
    <cfRule type="cellIs" dxfId="4690" priority="1260" operator="equal">
      <formula>0</formula>
    </cfRule>
    <cfRule type="cellIs" dxfId="4689" priority="1261" operator="equal">
      <formula>1</formula>
    </cfRule>
  </conditionalFormatting>
  <conditionalFormatting sqref="U289:U291">
    <cfRule type="cellIs" dxfId="4688" priority="1258" operator="equal">
      <formula>0</formula>
    </cfRule>
    <cfRule type="cellIs" dxfId="4687" priority="1259" operator="equal">
      <formula>1</formula>
    </cfRule>
  </conditionalFormatting>
  <conditionalFormatting sqref="T314">
    <cfRule type="cellIs" dxfId="4686" priority="1254" operator="equal">
      <formula>"NO CUMPLE"</formula>
    </cfRule>
    <cfRule type="cellIs" dxfId="4685" priority="1255" operator="equal">
      <formula>"CUMPLE"</formula>
    </cfRule>
  </conditionalFormatting>
  <conditionalFormatting sqref="T299">
    <cfRule type="cellIs" dxfId="4684" priority="1252" operator="equal">
      <formula>"NO"</formula>
    </cfRule>
    <cfRule type="cellIs" dxfId="4683" priority="1253" operator="equal">
      <formula>"SI"</formula>
    </cfRule>
  </conditionalFormatting>
  <conditionalFormatting sqref="U299:U301">
    <cfRule type="cellIs" dxfId="4682" priority="1250" operator="equal">
      <formula>0</formula>
    </cfRule>
    <cfRule type="cellIs" dxfId="4681" priority="1251" operator="equal">
      <formula>1</formula>
    </cfRule>
  </conditionalFormatting>
  <conditionalFormatting sqref="U302:U304">
    <cfRule type="cellIs" dxfId="4680" priority="1248" operator="equal">
      <formula>0</formula>
    </cfRule>
    <cfRule type="cellIs" dxfId="4679" priority="1249" operator="equal">
      <formula>1</formula>
    </cfRule>
  </conditionalFormatting>
  <conditionalFormatting sqref="U305:U307">
    <cfRule type="cellIs" dxfId="4678" priority="1246" operator="equal">
      <formula>0</formula>
    </cfRule>
    <cfRule type="cellIs" dxfId="4677" priority="1247" operator="equal">
      <formula>1</formula>
    </cfRule>
  </conditionalFormatting>
  <conditionalFormatting sqref="U308:U310">
    <cfRule type="cellIs" dxfId="4676" priority="1244" operator="equal">
      <formula>0</formula>
    </cfRule>
    <cfRule type="cellIs" dxfId="4675" priority="1245" operator="equal">
      <formula>1</formula>
    </cfRule>
  </conditionalFormatting>
  <conditionalFormatting sqref="U311:U313">
    <cfRule type="cellIs" dxfId="4674" priority="1242" operator="equal">
      <formula>0</formula>
    </cfRule>
    <cfRule type="cellIs" dxfId="4673" priority="1243" operator="equal">
      <formula>1</formula>
    </cfRule>
  </conditionalFormatting>
  <conditionalFormatting sqref="K16">
    <cfRule type="expression" dxfId="4672" priority="1238">
      <formula>J16="NO CUMPLE"</formula>
    </cfRule>
    <cfRule type="expression" dxfId="4671" priority="1239">
      <formula>J16="CUMPLE"</formula>
    </cfRule>
  </conditionalFormatting>
  <conditionalFormatting sqref="K17:K18">
    <cfRule type="expression" dxfId="4670" priority="1236">
      <formula>J17="NO CUMPLE"</formula>
    </cfRule>
    <cfRule type="expression" dxfId="4669" priority="1237">
      <formula>J17="CUMPLE"</formula>
    </cfRule>
  </conditionalFormatting>
  <conditionalFormatting sqref="K19">
    <cfRule type="expression" dxfId="4668" priority="1234">
      <formula>J19="NO CUMPLE"</formula>
    </cfRule>
    <cfRule type="expression" dxfId="4667" priority="1235">
      <formula>J19="CUMPLE"</formula>
    </cfRule>
  </conditionalFormatting>
  <conditionalFormatting sqref="K20:K21">
    <cfRule type="expression" dxfId="4666" priority="1232">
      <formula>J20="NO CUMPLE"</formula>
    </cfRule>
    <cfRule type="expression" dxfId="4665" priority="1233">
      <formula>J20="CUMPLE"</formula>
    </cfRule>
  </conditionalFormatting>
  <conditionalFormatting sqref="K22">
    <cfRule type="expression" dxfId="4664" priority="1230">
      <formula>J22="NO CUMPLE"</formula>
    </cfRule>
    <cfRule type="expression" dxfId="4663" priority="1231">
      <formula>J22="CUMPLE"</formula>
    </cfRule>
  </conditionalFormatting>
  <conditionalFormatting sqref="K23:K24">
    <cfRule type="expression" dxfId="4662" priority="1228">
      <formula>J23="NO CUMPLE"</formula>
    </cfRule>
    <cfRule type="expression" dxfId="4661" priority="1229">
      <formula>J23="CUMPLE"</formula>
    </cfRule>
  </conditionalFormatting>
  <conditionalFormatting sqref="K25">
    <cfRule type="expression" dxfId="4660" priority="1226">
      <formula>J25="NO CUMPLE"</formula>
    </cfRule>
    <cfRule type="expression" dxfId="4659" priority="1227">
      <formula>J25="CUMPLE"</formula>
    </cfRule>
  </conditionalFormatting>
  <conditionalFormatting sqref="K26:K27">
    <cfRule type="expression" dxfId="4658" priority="1224">
      <formula>J26="NO CUMPLE"</formula>
    </cfRule>
    <cfRule type="expression" dxfId="4657" priority="1225">
      <formula>J26="CUMPLE"</formula>
    </cfRule>
  </conditionalFormatting>
  <conditionalFormatting sqref="N280">
    <cfRule type="expression" dxfId="4656" priority="1221">
      <formula>N280=" "</formula>
    </cfRule>
    <cfRule type="expression" dxfId="4655" priority="1222">
      <formula>N280="NO PRESENTÓ CERTIFICADO"</formula>
    </cfRule>
    <cfRule type="expression" dxfId="4654" priority="1223">
      <formula>N280="PRESENTÓ CERTIFICADO"</formula>
    </cfRule>
  </conditionalFormatting>
  <conditionalFormatting sqref="O280">
    <cfRule type="cellIs" dxfId="4653" priority="1213" operator="equal">
      <formula>"PENDIENTE POR DESCRIPCIÓN"</formula>
    </cfRule>
    <cfRule type="cellIs" dxfId="4652" priority="1214" operator="equal">
      <formula>"DESCRIPCIÓN INSUFICIENTE"</formula>
    </cfRule>
    <cfRule type="cellIs" dxfId="4651" priority="1215" operator="equal">
      <formula>"NO ESTÁ ACORDE A ITEM 5.2.2 (T.R.)"</formula>
    </cfRule>
    <cfRule type="cellIs" dxfId="4650" priority="1216" operator="equal">
      <formula>"ACORDE A ITEM 5.2.2 (T.R.)"</formula>
    </cfRule>
    <cfRule type="cellIs" dxfId="4649" priority="1217" operator="equal">
      <formula>"PENDIENTE POR DESCRIPCIÓN"</formula>
    </cfRule>
    <cfRule type="cellIs" dxfId="4648" priority="1218" operator="equal">
      <formula>"DESCRIPCIÓN INSUFICIENTE"</formula>
    </cfRule>
    <cfRule type="cellIs" dxfId="4647" priority="1219" operator="equal">
      <formula>"NO ESTÁ ACORDE A ITEM 5.2.1 (T.R.)"</formula>
    </cfRule>
    <cfRule type="cellIs" dxfId="4646" priority="1220" operator="equal">
      <formula>"ACORDE A ITEM 5.2.1 (T.R.)"</formula>
    </cfRule>
  </conditionalFormatting>
  <conditionalFormatting sqref="N283">
    <cfRule type="expression" dxfId="4645" priority="1205">
      <formula>N283=" "</formula>
    </cfRule>
    <cfRule type="expression" dxfId="4644" priority="1206">
      <formula>N283="NO PRESENTÓ CERTIFICADO"</formula>
    </cfRule>
    <cfRule type="expression" dxfId="4643" priority="1207">
      <formula>N283="PRESENTÓ CERTIFICADO"</formula>
    </cfRule>
  </conditionalFormatting>
  <conditionalFormatting sqref="O283">
    <cfRule type="cellIs" dxfId="4642" priority="1197" operator="equal">
      <formula>"PENDIENTE POR DESCRIPCIÓN"</formula>
    </cfRule>
    <cfRule type="cellIs" dxfId="4641" priority="1198" operator="equal">
      <formula>"DESCRIPCIÓN INSUFICIENTE"</formula>
    </cfRule>
    <cfRule type="cellIs" dxfId="4640" priority="1199" operator="equal">
      <formula>"NO ESTÁ ACORDE A ITEM 5.2.2 (T.R.)"</formula>
    </cfRule>
    <cfRule type="cellIs" dxfId="4639" priority="1200" operator="equal">
      <formula>"ACORDE A ITEM 5.2.2 (T.R.)"</formula>
    </cfRule>
    <cfRule type="cellIs" dxfId="4638" priority="1201" operator="equal">
      <formula>"PENDIENTE POR DESCRIPCIÓN"</formula>
    </cfRule>
    <cfRule type="cellIs" dxfId="4637" priority="1202" operator="equal">
      <formula>"DESCRIPCIÓN INSUFICIENTE"</formula>
    </cfRule>
    <cfRule type="cellIs" dxfId="4636" priority="1203" operator="equal">
      <formula>"NO ESTÁ ACORDE A ITEM 5.2.1 (T.R.)"</formula>
    </cfRule>
    <cfRule type="cellIs" dxfId="4635" priority="1204" operator="equal">
      <formula>"ACORDE A ITEM 5.2.1 (T.R.)"</formula>
    </cfRule>
  </conditionalFormatting>
  <conditionalFormatting sqref="Q277">
    <cfRule type="containsBlanks" dxfId="4634" priority="1188">
      <formula>LEN(TRIM(Q277))=0</formula>
    </cfRule>
    <cfRule type="cellIs" dxfId="4633" priority="1193" operator="equal">
      <formula>"REQUERIMIENTOS SUBSANADOS"</formula>
    </cfRule>
    <cfRule type="containsText" dxfId="4632" priority="1194" operator="containsText" text="NO SUBSANABLE">
      <formula>NOT(ISERROR(SEARCH("NO SUBSANABLE",Q277)))</formula>
    </cfRule>
    <cfRule type="containsText" dxfId="4631" priority="1195" operator="containsText" text="PENDIENTES POR SUBSANAR">
      <formula>NOT(ISERROR(SEARCH("PENDIENTES POR SUBSANAR",Q277)))</formula>
    </cfRule>
    <cfRule type="containsText" dxfId="4630" priority="1196" operator="containsText" text="SIN OBSERVACIÓN">
      <formula>NOT(ISERROR(SEARCH("SIN OBSERVACIÓN",Q277)))</formula>
    </cfRule>
  </conditionalFormatting>
  <conditionalFormatting sqref="R277">
    <cfRule type="containsBlanks" dxfId="4629" priority="1187">
      <formula>LEN(TRIM(R277))=0</formula>
    </cfRule>
    <cfRule type="cellIs" dxfId="4628" priority="1189" operator="equal">
      <formula>"NO CUMPLEN CON LO SOLICITADO"</formula>
    </cfRule>
    <cfRule type="cellIs" dxfId="4627" priority="1190" operator="equal">
      <formula>"CUMPLEN CON LO SOLICITADO"</formula>
    </cfRule>
    <cfRule type="cellIs" dxfId="4626" priority="1191" operator="equal">
      <formula>"PENDIENTES"</formula>
    </cfRule>
    <cfRule type="cellIs" dxfId="4625" priority="1192" operator="equal">
      <formula>"NINGUNO"</formula>
    </cfRule>
  </conditionalFormatting>
  <conditionalFormatting sqref="Q280">
    <cfRule type="containsBlanks" dxfId="4624" priority="1178">
      <formula>LEN(TRIM(Q280))=0</formula>
    </cfRule>
    <cfRule type="cellIs" dxfId="4623" priority="1183" operator="equal">
      <formula>"REQUERIMIENTOS SUBSANADOS"</formula>
    </cfRule>
    <cfRule type="containsText" dxfId="4622" priority="1184" operator="containsText" text="NO SUBSANABLE">
      <formula>NOT(ISERROR(SEARCH("NO SUBSANABLE",Q280)))</formula>
    </cfRule>
    <cfRule type="containsText" dxfId="4621" priority="1185" operator="containsText" text="PENDIENTES POR SUBSANAR">
      <formula>NOT(ISERROR(SEARCH("PENDIENTES POR SUBSANAR",Q280)))</formula>
    </cfRule>
    <cfRule type="containsText" dxfId="4620" priority="1186" operator="containsText" text="SIN OBSERVACIÓN">
      <formula>NOT(ISERROR(SEARCH("SIN OBSERVACIÓN",Q280)))</formula>
    </cfRule>
  </conditionalFormatting>
  <conditionalFormatting sqref="R280">
    <cfRule type="containsBlanks" dxfId="4619" priority="1177">
      <formula>LEN(TRIM(R280))=0</formula>
    </cfRule>
    <cfRule type="cellIs" dxfId="4618" priority="1179" operator="equal">
      <formula>"NO CUMPLEN CON LO SOLICITADO"</formula>
    </cfRule>
    <cfRule type="cellIs" dxfId="4617" priority="1180" operator="equal">
      <formula>"CUMPLEN CON LO SOLICITADO"</formula>
    </cfRule>
    <cfRule type="cellIs" dxfId="4616" priority="1181" operator="equal">
      <formula>"PENDIENTES"</formula>
    </cfRule>
    <cfRule type="cellIs" dxfId="4615" priority="1182" operator="equal">
      <formula>"NINGUNO"</formula>
    </cfRule>
  </conditionalFormatting>
  <conditionalFormatting sqref="U280:U285">
    <cfRule type="cellIs" dxfId="4614" priority="1175" operator="equal">
      <formula>0</formula>
    </cfRule>
    <cfRule type="cellIs" dxfId="4613" priority="1176" operator="equal">
      <formula>1</formula>
    </cfRule>
  </conditionalFormatting>
  <conditionalFormatting sqref="H258 H261 H264 H267">
    <cfRule type="notContainsBlanks" dxfId="4612" priority="1174">
      <formula>LEN(TRIM(H258))&gt;0</formula>
    </cfRule>
  </conditionalFormatting>
  <conditionalFormatting sqref="I258 I261 I264 I267">
    <cfRule type="notContainsBlanks" dxfId="4611" priority="1173">
      <formula>LEN(TRIM(I258))&gt;0</formula>
    </cfRule>
  </conditionalFormatting>
  <conditionalFormatting sqref="N258">
    <cfRule type="expression" dxfId="4610" priority="1170">
      <formula>N258=" "</formula>
    </cfRule>
    <cfRule type="expression" dxfId="4609" priority="1171">
      <formula>N258="NO PRESENTÓ CERTIFICADO"</formula>
    </cfRule>
    <cfRule type="expression" dxfId="4608" priority="1172">
      <formula>N258="PRESENTÓ CERTIFICADO"</formula>
    </cfRule>
  </conditionalFormatting>
  <conditionalFormatting sqref="O258">
    <cfRule type="cellIs" dxfId="4607" priority="1152" operator="equal">
      <formula>"PENDIENTE POR DESCRIPCIÓN"</formula>
    </cfRule>
    <cfRule type="cellIs" dxfId="4606" priority="1153" operator="equal">
      <formula>"DESCRIPCIÓN INSUFICIENTE"</formula>
    </cfRule>
    <cfRule type="cellIs" dxfId="4605" priority="1154" operator="equal">
      <formula>"NO ESTÁ ACORDE A ITEM 5.2.2 (T.R.)"</formula>
    </cfRule>
    <cfRule type="cellIs" dxfId="4604" priority="1155" operator="equal">
      <formula>"ACORDE A ITEM 5.2.2 (T.R.)"</formula>
    </cfRule>
    <cfRule type="cellIs" dxfId="4603" priority="1162" operator="equal">
      <formula>"PENDIENTE POR DESCRIPCIÓN"</formula>
    </cfRule>
    <cfRule type="cellIs" dxfId="4602" priority="1164" operator="equal">
      <formula>"DESCRIPCIÓN INSUFICIENTE"</formula>
    </cfRule>
    <cfRule type="cellIs" dxfId="4601" priority="1165" operator="equal">
      <formula>"NO ESTÁ ACORDE A ITEM 5.2.1 (T.R.)"</formula>
    </cfRule>
    <cfRule type="cellIs" dxfId="4600" priority="1166" operator="equal">
      <formula>"ACORDE A ITEM 5.2.1 (T.R.)"</formula>
    </cfRule>
  </conditionalFormatting>
  <conditionalFormatting sqref="Q258">
    <cfRule type="containsBlanks" dxfId="4599" priority="1157">
      <formula>LEN(TRIM(Q258))=0</formula>
    </cfRule>
    <cfRule type="cellIs" dxfId="4598" priority="1163" operator="equal">
      <formula>"REQUERIMIENTOS SUBSANADOS"</formula>
    </cfRule>
    <cfRule type="containsText" dxfId="4597" priority="1167" operator="containsText" text="NO SUBSANABLE">
      <formula>NOT(ISERROR(SEARCH("NO SUBSANABLE",Q258)))</formula>
    </cfRule>
    <cfRule type="containsText" dxfId="4596" priority="1168" operator="containsText" text="PENDIENTES POR SUBSANAR">
      <formula>NOT(ISERROR(SEARCH("PENDIENTES POR SUBSANAR",Q258)))</formula>
    </cfRule>
    <cfRule type="containsText" dxfId="4595" priority="1169" operator="containsText" text="SIN OBSERVACIÓN">
      <formula>NOT(ISERROR(SEARCH("SIN OBSERVACIÓN",Q258)))</formula>
    </cfRule>
  </conditionalFormatting>
  <conditionalFormatting sqref="R258">
    <cfRule type="containsBlanks" dxfId="4594" priority="1156">
      <formula>LEN(TRIM(R258))=0</formula>
    </cfRule>
    <cfRule type="cellIs" dxfId="4593" priority="1158" operator="equal">
      <formula>"NO CUMPLEN CON LO SOLICITADO"</formula>
    </cfRule>
    <cfRule type="cellIs" dxfId="4592" priority="1159" operator="equal">
      <formula>"CUMPLEN CON LO SOLICITADO"</formula>
    </cfRule>
    <cfRule type="cellIs" dxfId="4591" priority="1160" operator="equal">
      <formula>"PENDIENTES"</formula>
    </cfRule>
    <cfRule type="cellIs" dxfId="4590" priority="1161" operator="equal">
      <formula>"NINGUNO"</formula>
    </cfRule>
  </conditionalFormatting>
  <conditionalFormatting sqref="P258">
    <cfRule type="expression" dxfId="4589" priority="1147">
      <formula>Q258="NO SUBSANABLE"</formula>
    </cfRule>
    <cfRule type="expression" dxfId="4588" priority="1148">
      <formula>Q258="REQUERIMIENTOS SUBSANADOS"</formula>
    </cfRule>
    <cfRule type="expression" dxfId="4587" priority="1149">
      <formula>Q258="PENDIENTES POR SUBSANAR"</formula>
    </cfRule>
    <cfRule type="expression" dxfId="4586" priority="1150">
      <formula>Q258="SIN OBSERVACIÓN"</formula>
    </cfRule>
    <cfRule type="containsBlanks" dxfId="4585" priority="1151">
      <formula>LEN(TRIM(P258))=0</formula>
    </cfRule>
  </conditionalFormatting>
  <conditionalFormatting sqref="N261">
    <cfRule type="expression" dxfId="4584" priority="1142">
      <formula>N261=" "</formula>
    </cfRule>
    <cfRule type="expression" dxfId="4583" priority="1143">
      <formula>N261="NO PRESENTÓ CERTIFICADO"</formula>
    </cfRule>
    <cfRule type="expression" dxfId="4582" priority="1144">
      <formula>N261="PRESENTÓ CERTIFICADO"</formula>
    </cfRule>
  </conditionalFormatting>
  <conditionalFormatting sqref="O261">
    <cfRule type="cellIs" dxfId="4581" priority="1124" operator="equal">
      <formula>"PENDIENTE POR DESCRIPCIÓN"</formula>
    </cfRule>
    <cfRule type="cellIs" dxfId="4580" priority="1125" operator="equal">
      <formula>"DESCRIPCIÓN INSUFICIENTE"</formula>
    </cfRule>
    <cfRule type="cellIs" dxfId="4579" priority="1126" operator="equal">
      <formula>"NO ESTÁ ACORDE A ITEM 5.2.2 (T.R.)"</formula>
    </cfRule>
    <cfRule type="cellIs" dxfId="4578" priority="1127" operator="equal">
      <formula>"ACORDE A ITEM 5.2.2 (T.R.)"</formula>
    </cfRule>
    <cfRule type="cellIs" dxfId="4577" priority="1134" operator="equal">
      <formula>"PENDIENTE POR DESCRIPCIÓN"</formula>
    </cfRule>
    <cfRule type="cellIs" dxfId="4576" priority="1136" operator="equal">
      <formula>"DESCRIPCIÓN INSUFICIENTE"</formula>
    </cfRule>
    <cfRule type="cellIs" dxfId="4575" priority="1137" operator="equal">
      <formula>"NO ESTÁ ACORDE A ITEM 5.2.1 (T.R.)"</formula>
    </cfRule>
    <cfRule type="cellIs" dxfId="4574" priority="1138" operator="equal">
      <formula>"ACORDE A ITEM 5.2.1 (T.R.)"</formula>
    </cfRule>
  </conditionalFormatting>
  <conditionalFormatting sqref="Q261">
    <cfRule type="containsBlanks" dxfId="4573" priority="1129">
      <formula>LEN(TRIM(Q261))=0</formula>
    </cfRule>
    <cfRule type="cellIs" dxfId="4572" priority="1135" operator="equal">
      <formula>"REQUERIMIENTOS SUBSANADOS"</formula>
    </cfRule>
    <cfRule type="containsText" dxfId="4571" priority="1139" operator="containsText" text="NO SUBSANABLE">
      <formula>NOT(ISERROR(SEARCH("NO SUBSANABLE",Q261)))</formula>
    </cfRule>
    <cfRule type="containsText" dxfId="4570" priority="1140" operator="containsText" text="PENDIENTES POR SUBSANAR">
      <formula>NOT(ISERROR(SEARCH("PENDIENTES POR SUBSANAR",Q261)))</formula>
    </cfRule>
    <cfRule type="containsText" dxfId="4569" priority="1141" operator="containsText" text="SIN OBSERVACIÓN">
      <formula>NOT(ISERROR(SEARCH("SIN OBSERVACIÓN",Q261)))</formula>
    </cfRule>
  </conditionalFormatting>
  <conditionalFormatting sqref="R261">
    <cfRule type="containsBlanks" dxfId="4568" priority="1128">
      <formula>LEN(TRIM(R261))=0</formula>
    </cfRule>
    <cfRule type="cellIs" dxfId="4567" priority="1130" operator="equal">
      <formula>"NO CUMPLEN CON LO SOLICITADO"</formula>
    </cfRule>
    <cfRule type="cellIs" dxfId="4566" priority="1131" operator="equal">
      <formula>"CUMPLEN CON LO SOLICITADO"</formula>
    </cfRule>
    <cfRule type="cellIs" dxfId="4565" priority="1132" operator="equal">
      <formula>"PENDIENTES"</formula>
    </cfRule>
    <cfRule type="cellIs" dxfId="4564" priority="1133" operator="equal">
      <formula>"NINGUNO"</formula>
    </cfRule>
  </conditionalFormatting>
  <conditionalFormatting sqref="P261">
    <cfRule type="expression" dxfId="4563" priority="1119">
      <formula>Q261="NO SUBSANABLE"</formula>
    </cfRule>
    <cfRule type="expression" dxfId="4562" priority="1120">
      <formula>Q261="REQUERIMIENTOS SUBSANADOS"</formula>
    </cfRule>
    <cfRule type="expression" dxfId="4561" priority="1121">
      <formula>Q261="PENDIENTES POR SUBSANAR"</formula>
    </cfRule>
    <cfRule type="expression" dxfId="4560" priority="1122">
      <formula>Q261="SIN OBSERVACIÓN"</formula>
    </cfRule>
    <cfRule type="containsBlanks" dxfId="4559" priority="1123">
      <formula>LEN(TRIM(P261))=0</formula>
    </cfRule>
  </conditionalFormatting>
  <conditionalFormatting sqref="N264">
    <cfRule type="expression" dxfId="4558" priority="1114">
      <formula>N264=" "</formula>
    </cfRule>
    <cfRule type="expression" dxfId="4557" priority="1115">
      <formula>N264="NO PRESENTÓ CERTIFICADO"</formula>
    </cfRule>
    <cfRule type="expression" dxfId="4556" priority="1116">
      <formula>N264="PRESENTÓ CERTIFICADO"</formula>
    </cfRule>
  </conditionalFormatting>
  <conditionalFormatting sqref="O264">
    <cfRule type="cellIs" dxfId="4555" priority="1096" operator="equal">
      <formula>"PENDIENTE POR DESCRIPCIÓN"</formula>
    </cfRule>
    <cfRule type="cellIs" dxfId="4554" priority="1097" operator="equal">
      <formula>"DESCRIPCIÓN INSUFICIENTE"</formula>
    </cfRule>
    <cfRule type="cellIs" dxfId="4553" priority="1098" operator="equal">
      <formula>"NO ESTÁ ACORDE A ITEM 5.2.2 (T.R.)"</formula>
    </cfRule>
    <cfRule type="cellIs" dxfId="4552" priority="1099" operator="equal">
      <formula>"ACORDE A ITEM 5.2.2 (T.R.)"</formula>
    </cfRule>
    <cfRule type="cellIs" dxfId="4551" priority="1106" operator="equal">
      <formula>"PENDIENTE POR DESCRIPCIÓN"</formula>
    </cfRule>
    <cfRule type="cellIs" dxfId="4550" priority="1108" operator="equal">
      <formula>"DESCRIPCIÓN INSUFICIENTE"</formula>
    </cfRule>
    <cfRule type="cellIs" dxfId="4549" priority="1109" operator="equal">
      <formula>"NO ESTÁ ACORDE A ITEM 5.2.1 (T.R.)"</formula>
    </cfRule>
    <cfRule type="cellIs" dxfId="4548" priority="1110" operator="equal">
      <formula>"ACORDE A ITEM 5.2.1 (T.R.)"</formula>
    </cfRule>
  </conditionalFormatting>
  <conditionalFormatting sqref="Q264">
    <cfRule type="containsBlanks" dxfId="4547" priority="1101">
      <formula>LEN(TRIM(Q264))=0</formula>
    </cfRule>
    <cfRule type="cellIs" dxfId="4546" priority="1107" operator="equal">
      <formula>"REQUERIMIENTOS SUBSANADOS"</formula>
    </cfRule>
    <cfRule type="containsText" dxfId="4545" priority="1111" operator="containsText" text="NO SUBSANABLE">
      <formula>NOT(ISERROR(SEARCH("NO SUBSANABLE",Q264)))</formula>
    </cfRule>
    <cfRule type="containsText" dxfId="4544" priority="1112" operator="containsText" text="PENDIENTES POR SUBSANAR">
      <formula>NOT(ISERROR(SEARCH("PENDIENTES POR SUBSANAR",Q264)))</formula>
    </cfRule>
    <cfRule type="containsText" dxfId="4543" priority="1113" operator="containsText" text="SIN OBSERVACIÓN">
      <formula>NOT(ISERROR(SEARCH("SIN OBSERVACIÓN",Q264)))</formula>
    </cfRule>
  </conditionalFormatting>
  <conditionalFormatting sqref="R264">
    <cfRule type="containsBlanks" dxfId="4542" priority="1100">
      <formula>LEN(TRIM(R264))=0</formula>
    </cfRule>
    <cfRule type="cellIs" dxfId="4541" priority="1102" operator="equal">
      <formula>"NO CUMPLEN CON LO SOLICITADO"</formula>
    </cfRule>
    <cfRule type="cellIs" dxfId="4540" priority="1103" operator="equal">
      <formula>"CUMPLEN CON LO SOLICITADO"</formula>
    </cfRule>
    <cfRule type="cellIs" dxfId="4539" priority="1104" operator="equal">
      <formula>"PENDIENTES"</formula>
    </cfRule>
    <cfRule type="cellIs" dxfId="4538" priority="1105" operator="equal">
      <formula>"NINGUNO"</formula>
    </cfRule>
  </conditionalFormatting>
  <conditionalFormatting sqref="P264">
    <cfRule type="expression" dxfId="4537" priority="1091">
      <formula>Q264="NO SUBSANABLE"</formula>
    </cfRule>
    <cfRule type="expression" dxfId="4536" priority="1092">
      <formula>Q264="REQUERIMIENTOS SUBSANADOS"</formula>
    </cfRule>
    <cfRule type="expression" dxfId="4535" priority="1093">
      <formula>Q264="PENDIENTES POR SUBSANAR"</formula>
    </cfRule>
    <cfRule type="expression" dxfId="4534" priority="1094">
      <formula>Q264="SIN OBSERVACIÓN"</formula>
    </cfRule>
    <cfRule type="containsBlanks" dxfId="4533" priority="1095">
      <formula>LEN(TRIM(P264))=0</formula>
    </cfRule>
  </conditionalFormatting>
  <conditionalFormatting sqref="N267">
    <cfRule type="expression" dxfId="4532" priority="1088">
      <formula>N267=" "</formula>
    </cfRule>
    <cfRule type="expression" dxfId="4531" priority="1089">
      <formula>N267="NO PRESENTÓ CERTIFICADO"</formula>
    </cfRule>
    <cfRule type="expression" dxfId="4530" priority="1090">
      <formula>N267="PRESENTÓ CERTIFICADO"</formula>
    </cfRule>
  </conditionalFormatting>
  <conditionalFormatting sqref="O267">
    <cfRule type="cellIs" dxfId="4529" priority="1070" operator="equal">
      <formula>"PENDIENTE POR DESCRIPCIÓN"</formula>
    </cfRule>
    <cfRule type="cellIs" dxfId="4528" priority="1071" operator="equal">
      <formula>"DESCRIPCIÓN INSUFICIENTE"</formula>
    </cfRule>
    <cfRule type="cellIs" dxfId="4527" priority="1072" operator="equal">
      <formula>"NO ESTÁ ACORDE A ITEM 5.2.2 (T.R.)"</formula>
    </cfRule>
    <cfRule type="cellIs" dxfId="4526" priority="1073" operator="equal">
      <formula>"ACORDE A ITEM 5.2.2 (T.R.)"</formula>
    </cfRule>
    <cfRule type="cellIs" dxfId="4525" priority="1080" operator="equal">
      <formula>"PENDIENTE POR DESCRIPCIÓN"</formula>
    </cfRule>
    <cfRule type="cellIs" dxfId="4524" priority="1082" operator="equal">
      <formula>"DESCRIPCIÓN INSUFICIENTE"</formula>
    </cfRule>
    <cfRule type="cellIs" dxfId="4523" priority="1083" operator="equal">
      <formula>"NO ESTÁ ACORDE A ITEM 5.2.1 (T.R.)"</formula>
    </cfRule>
    <cfRule type="cellIs" dxfId="4522" priority="1084" operator="equal">
      <formula>"ACORDE A ITEM 5.2.1 (T.R.)"</formula>
    </cfRule>
  </conditionalFormatting>
  <conditionalFormatting sqref="Q267">
    <cfRule type="containsBlanks" dxfId="4521" priority="1075">
      <formula>LEN(TRIM(Q267))=0</formula>
    </cfRule>
    <cfRule type="cellIs" dxfId="4520" priority="1081" operator="equal">
      <formula>"REQUERIMIENTOS SUBSANADOS"</formula>
    </cfRule>
    <cfRule type="containsText" dxfId="4519" priority="1085" operator="containsText" text="NO SUBSANABLE">
      <formula>NOT(ISERROR(SEARCH("NO SUBSANABLE",Q267)))</formula>
    </cfRule>
    <cfRule type="containsText" dxfId="4518" priority="1086" operator="containsText" text="PENDIENTES POR SUBSANAR">
      <formula>NOT(ISERROR(SEARCH("PENDIENTES POR SUBSANAR",Q267)))</formula>
    </cfRule>
    <cfRule type="containsText" dxfId="4517" priority="1087" operator="containsText" text="SIN OBSERVACIÓN">
      <formula>NOT(ISERROR(SEARCH("SIN OBSERVACIÓN",Q267)))</formula>
    </cfRule>
  </conditionalFormatting>
  <conditionalFormatting sqref="R267">
    <cfRule type="containsBlanks" dxfId="4516" priority="1074">
      <formula>LEN(TRIM(R267))=0</formula>
    </cfRule>
    <cfRule type="cellIs" dxfId="4515" priority="1076" operator="equal">
      <formula>"NO CUMPLEN CON LO SOLICITADO"</formula>
    </cfRule>
    <cfRule type="cellIs" dxfId="4514" priority="1077" operator="equal">
      <formula>"CUMPLEN CON LO SOLICITADO"</formula>
    </cfRule>
    <cfRule type="cellIs" dxfId="4513" priority="1078" operator="equal">
      <formula>"PENDIENTES"</formula>
    </cfRule>
    <cfRule type="cellIs" dxfId="4512" priority="1079" operator="equal">
      <formula>"NINGUNO"</formula>
    </cfRule>
  </conditionalFormatting>
  <conditionalFormatting sqref="P267">
    <cfRule type="expression" dxfId="4511" priority="1065">
      <formula>Q267="NO SUBSANABLE"</formula>
    </cfRule>
    <cfRule type="expression" dxfId="4510" priority="1066">
      <formula>Q267="REQUERIMIENTOS SUBSANADOS"</formula>
    </cfRule>
    <cfRule type="expression" dxfId="4509" priority="1067">
      <formula>Q267="PENDIENTES POR SUBSANAR"</formula>
    </cfRule>
    <cfRule type="expression" dxfId="4508" priority="1068">
      <formula>Q267="SIN OBSERVACIÓN"</formula>
    </cfRule>
    <cfRule type="containsBlanks" dxfId="4507" priority="1069">
      <formula>LEN(TRIM(P267))=0</formula>
    </cfRule>
  </conditionalFormatting>
  <conditionalFormatting sqref="J267">
    <cfRule type="cellIs" dxfId="4506" priority="1063" operator="equal">
      <formula>"NO CUMPLE"</formula>
    </cfRule>
    <cfRule type="cellIs" dxfId="4505" priority="1064" operator="equal">
      <formula>"CUMPLE"</formula>
    </cfRule>
  </conditionalFormatting>
  <conditionalFormatting sqref="J256">
    <cfRule type="cellIs" dxfId="4504" priority="1061" operator="equal">
      <formula>"NO CUMPLE"</formula>
    </cfRule>
    <cfRule type="cellIs" dxfId="4503" priority="1062" operator="equal">
      <formula>"CUMPLE"</formula>
    </cfRule>
  </conditionalFormatting>
  <conditionalFormatting sqref="J255">
    <cfRule type="cellIs" dxfId="4502" priority="1059" operator="equal">
      <formula>"NO CUMPLE"</formula>
    </cfRule>
    <cfRule type="cellIs" dxfId="4501" priority="1060" operator="equal">
      <formula>"CUMPLE"</formula>
    </cfRule>
  </conditionalFormatting>
  <conditionalFormatting sqref="J257">
    <cfRule type="cellIs" dxfId="4500" priority="1057" operator="equal">
      <formula>"NO CUMPLE"</formula>
    </cfRule>
    <cfRule type="cellIs" dxfId="4499" priority="1058" operator="equal">
      <formula>"CUMPLE"</formula>
    </cfRule>
  </conditionalFormatting>
  <conditionalFormatting sqref="U258:U269">
    <cfRule type="cellIs" dxfId="4498" priority="1055" operator="equal">
      <formula>0</formula>
    </cfRule>
    <cfRule type="cellIs" dxfId="4497" priority="1056" operator="equal">
      <formula>1</formula>
    </cfRule>
  </conditionalFormatting>
  <conditionalFormatting sqref="I236">
    <cfRule type="notContainsBlanks" dxfId="4496" priority="1054">
      <formula>LEN(TRIM(I236))&gt;0</formula>
    </cfRule>
  </conditionalFormatting>
  <conditionalFormatting sqref="N233">
    <cfRule type="expression" dxfId="4495" priority="1049">
      <formula>N233=" "</formula>
    </cfRule>
    <cfRule type="expression" dxfId="4494" priority="1050">
      <formula>N233="NO PRESENTÓ CERTIFICADO"</formula>
    </cfRule>
    <cfRule type="expression" dxfId="4493" priority="1051">
      <formula>N233="PRESENTÓ CERTIFICADO"</formula>
    </cfRule>
  </conditionalFormatting>
  <conditionalFormatting sqref="O233">
    <cfRule type="cellIs" dxfId="4492" priority="1031" operator="equal">
      <formula>"PENDIENTE POR DESCRIPCIÓN"</formula>
    </cfRule>
    <cfRule type="cellIs" dxfId="4491" priority="1032" operator="equal">
      <formula>"DESCRIPCIÓN INSUFICIENTE"</formula>
    </cfRule>
    <cfRule type="cellIs" dxfId="4490" priority="1033" operator="equal">
      <formula>"NO ESTÁ ACORDE A ITEM 5.2.2 (T.R.)"</formula>
    </cfRule>
    <cfRule type="cellIs" dxfId="4489" priority="1034" operator="equal">
      <formula>"ACORDE A ITEM 5.2.2 (T.R.)"</formula>
    </cfRule>
    <cfRule type="cellIs" dxfId="4488" priority="1041" operator="equal">
      <formula>"PENDIENTE POR DESCRIPCIÓN"</formula>
    </cfRule>
    <cfRule type="cellIs" dxfId="4487" priority="1043" operator="equal">
      <formula>"DESCRIPCIÓN INSUFICIENTE"</formula>
    </cfRule>
    <cfRule type="cellIs" dxfId="4486" priority="1044" operator="equal">
      <formula>"NO ESTÁ ACORDE A ITEM 5.2.1 (T.R.)"</formula>
    </cfRule>
    <cfRule type="cellIs" dxfId="4485" priority="1045" operator="equal">
      <formula>"ACORDE A ITEM 5.2.1 (T.R.)"</formula>
    </cfRule>
  </conditionalFormatting>
  <conditionalFormatting sqref="Q233">
    <cfRule type="containsBlanks" dxfId="4484" priority="1036">
      <formula>LEN(TRIM(Q233))=0</formula>
    </cfRule>
    <cfRule type="cellIs" dxfId="4483" priority="1042" operator="equal">
      <formula>"REQUERIMIENTOS SUBSANADOS"</formula>
    </cfRule>
    <cfRule type="containsText" dxfId="4482" priority="1046" operator="containsText" text="NO SUBSANABLE">
      <formula>NOT(ISERROR(SEARCH("NO SUBSANABLE",Q233)))</formula>
    </cfRule>
    <cfRule type="containsText" dxfId="4481" priority="1047" operator="containsText" text="PENDIENTES POR SUBSANAR">
      <formula>NOT(ISERROR(SEARCH("PENDIENTES POR SUBSANAR",Q233)))</formula>
    </cfRule>
    <cfRule type="containsText" dxfId="4480" priority="1048" operator="containsText" text="SIN OBSERVACIÓN">
      <formula>NOT(ISERROR(SEARCH("SIN OBSERVACIÓN",Q233)))</formula>
    </cfRule>
  </conditionalFormatting>
  <conditionalFormatting sqref="R233">
    <cfRule type="containsBlanks" dxfId="4479" priority="1035">
      <formula>LEN(TRIM(R233))=0</formula>
    </cfRule>
    <cfRule type="cellIs" dxfId="4478" priority="1037" operator="equal">
      <formula>"NO CUMPLEN CON LO SOLICITADO"</formula>
    </cfRule>
    <cfRule type="cellIs" dxfId="4477" priority="1038" operator="equal">
      <formula>"CUMPLEN CON LO SOLICITADO"</formula>
    </cfRule>
    <cfRule type="cellIs" dxfId="4476" priority="1039" operator="equal">
      <formula>"PENDIENTES"</formula>
    </cfRule>
    <cfRule type="cellIs" dxfId="4475" priority="1040" operator="equal">
      <formula>"NINGUNO"</formula>
    </cfRule>
  </conditionalFormatting>
  <conditionalFormatting sqref="P233">
    <cfRule type="expression" dxfId="4474" priority="1026">
      <formula>Q233="NO SUBSANABLE"</formula>
    </cfRule>
    <cfRule type="expression" dxfId="4473" priority="1027">
      <formula>Q233="REQUERIMIENTOS SUBSANADOS"</formula>
    </cfRule>
    <cfRule type="expression" dxfId="4472" priority="1028">
      <formula>Q233="PENDIENTES POR SUBSANAR"</formula>
    </cfRule>
    <cfRule type="expression" dxfId="4471" priority="1029">
      <formula>Q233="SIN OBSERVACIÓN"</formula>
    </cfRule>
    <cfRule type="containsBlanks" dxfId="4470" priority="1030">
      <formula>LEN(TRIM(P233))=0</formula>
    </cfRule>
  </conditionalFormatting>
  <conditionalFormatting sqref="N236">
    <cfRule type="expression" dxfId="4469" priority="1023">
      <formula>N236=" "</formula>
    </cfRule>
    <cfRule type="expression" dxfId="4468" priority="1024">
      <formula>N236="NO PRESENTÓ CERTIFICADO"</formula>
    </cfRule>
    <cfRule type="expression" dxfId="4467" priority="1025">
      <formula>N236="PRESENTÓ CERTIFICADO"</formula>
    </cfRule>
  </conditionalFormatting>
  <conditionalFormatting sqref="O236">
    <cfRule type="cellIs" dxfId="4466" priority="1005" operator="equal">
      <formula>"PENDIENTE POR DESCRIPCIÓN"</formula>
    </cfRule>
    <cfRule type="cellIs" dxfId="4465" priority="1006" operator="equal">
      <formula>"DESCRIPCIÓN INSUFICIENTE"</formula>
    </cfRule>
    <cfRule type="cellIs" dxfId="4464" priority="1007" operator="equal">
      <formula>"NO ESTÁ ACORDE A ITEM 5.2.2 (T.R.)"</formula>
    </cfRule>
    <cfRule type="cellIs" dxfId="4463" priority="1008" operator="equal">
      <formula>"ACORDE A ITEM 5.2.2 (T.R.)"</formula>
    </cfRule>
    <cfRule type="cellIs" dxfId="4462" priority="1015" operator="equal">
      <formula>"PENDIENTE POR DESCRIPCIÓN"</formula>
    </cfRule>
    <cfRule type="cellIs" dxfId="4461" priority="1017" operator="equal">
      <formula>"DESCRIPCIÓN INSUFICIENTE"</formula>
    </cfRule>
    <cfRule type="cellIs" dxfId="4460" priority="1018" operator="equal">
      <formula>"NO ESTÁ ACORDE A ITEM 5.2.1 (T.R.)"</formula>
    </cfRule>
    <cfRule type="cellIs" dxfId="4459" priority="1019" operator="equal">
      <formula>"ACORDE A ITEM 5.2.1 (T.R.)"</formula>
    </cfRule>
  </conditionalFormatting>
  <conditionalFormatting sqref="Q236">
    <cfRule type="containsBlanks" dxfId="4458" priority="1010">
      <formula>LEN(TRIM(Q236))=0</formula>
    </cfRule>
    <cfRule type="cellIs" dxfId="4457" priority="1016" operator="equal">
      <formula>"REQUERIMIENTOS SUBSANADOS"</formula>
    </cfRule>
    <cfRule type="containsText" dxfId="4456" priority="1020" operator="containsText" text="NO SUBSANABLE">
      <formula>NOT(ISERROR(SEARCH("NO SUBSANABLE",Q236)))</formula>
    </cfRule>
    <cfRule type="containsText" dxfId="4455" priority="1021" operator="containsText" text="PENDIENTES POR SUBSANAR">
      <formula>NOT(ISERROR(SEARCH("PENDIENTES POR SUBSANAR",Q236)))</formula>
    </cfRule>
    <cfRule type="containsText" dxfId="4454" priority="1022" operator="containsText" text="SIN OBSERVACIÓN">
      <formula>NOT(ISERROR(SEARCH("SIN OBSERVACIÓN",Q236)))</formula>
    </cfRule>
  </conditionalFormatting>
  <conditionalFormatting sqref="R236">
    <cfRule type="containsBlanks" dxfId="4453" priority="1009">
      <formula>LEN(TRIM(R236))=0</formula>
    </cfRule>
    <cfRule type="cellIs" dxfId="4452" priority="1011" operator="equal">
      <formula>"NO CUMPLEN CON LO SOLICITADO"</formula>
    </cfRule>
    <cfRule type="cellIs" dxfId="4451" priority="1012" operator="equal">
      <formula>"CUMPLEN CON LO SOLICITADO"</formula>
    </cfRule>
    <cfRule type="cellIs" dxfId="4450" priority="1013" operator="equal">
      <formula>"PENDIENTES"</formula>
    </cfRule>
    <cfRule type="cellIs" dxfId="4449" priority="1014" operator="equal">
      <formula>"NINGUNO"</formula>
    </cfRule>
  </conditionalFormatting>
  <conditionalFormatting sqref="P236">
    <cfRule type="expression" dxfId="4448" priority="1000">
      <formula>Q236="NO SUBSANABLE"</formula>
    </cfRule>
    <cfRule type="expression" dxfId="4447" priority="1001">
      <formula>Q236="REQUERIMIENTOS SUBSANADOS"</formula>
    </cfRule>
    <cfRule type="expression" dxfId="4446" priority="1002">
      <formula>Q236="PENDIENTES POR SUBSANAR"</formula>
    </cfRule>
    <cfRule type="expression" dxfId="4445" priority="1003">
      <formula>Q236="SIN OBSERVACIÓN"</formula>
    </cfRule>
    <cfRule type="containsBlanks" dxfId="4444" priority="1004">
      <formula>LEN(TRIM(P236))=0</formula>
    </cfRule>
  </conditionalFormatting>
  <conditionalFormatting sqref="N239">
    <cfRule type="expression" dxfId="4443" priority="995">
      <formula>N239=" "</formula>
    </cfRule>
    <cfRule type="expression" dxfId="4442" priority="996">
      <formula>N239="NO PRESENTÓ CERTIFICADO"</formula>
    </cfRule>
    <cfRule type="expression" dxfId="4441" priority="997">
      <formula>N239="PRESENTÓ CERTIFICADO"</formula>
    </cfRule>
  </conditionalFormatting>
  <conditionalFormatting sqref="O239">
    <cfRule type="cellIs" dxfId="4440" priority="977" operator="equal">
      <formula>"PENDIENTE POR DESCRIPCIÓN"</formula>
    </cfRule>
    <cfRule type="cellIs" dxfId="4439" priority="978" operator="equal">
      <formula>"DESCRIPCIÓN INSUFICIENTE"</formula>
    </cfRule>
    <cfRule type="cellIs" dxfId="4438" priority="979" operator="equal">
      <formula>"NO ESTÁ ACORDE A ITEM 5.2.2 (T.R.)"</formula>
    </cfRule>
    <cfRule type="cellIs" dxfId="4437" priority="980" operator="equal">
      <formula>"ACORDE A ITEM 5.2.2 (T.R.)"</formula>
    </cfRule>
    <cfRule type="cellIs" dxfId="4436" priority="987" operator="equal">
      <formula>"PENDIENTE POR DESCRIPCIÓN"</formula>
    </cfRule>
    <cfRule type="cellIs" dxfId="4435" priority="989" operator="equal">
      <formula>"DESCRIPCIÓN INSUFICIENTE"</formula>
    </cfRule>
    <cfRule type="cellIs" dxfId="4434" priority="990" operator="equal">
      <formula>"NO ESTÁ ACORDE A ITEM 5.2.1 (T.R.)"</formula>
    </cfRule>
    <cfRule type="cellIs" dxfId="4433" priority="991" operator="equal">
      <formula>"ACORDE A ITEM 5.2.1 (T.R.)"</formula>
    </cfRule>
  </conditionalFormatting>
  <conditionalFormatting sqref="Q239">
    <cfRule type="containsBlanks" dxfId="4432" priority="982">
      <formula>LEN(TRIM(Q239))=0</formula>
    </cfRule>
    <cfRule type="cellIs" dxfId="4431" priority="988" operator="equal">
      <formula>"REQUERIMIENTOS SUBSANADOS"</formula>
    </cfRule>
    <cfRule type="containsText" dxfId="4430" priority="992" operator="containsText" text="NO SUBSANABLE">
      <formula>NOT(ISERROR(SEARCH("NO SUBSANABLE",Q239)))</formula>
    </cfRule>
    <cfRule type="containsText" dxfId="4429" priority="993" operator="containsText" text="PENDIENTES POR SUBSANAR">
      <formula>NOT(ISERROR(SEARCH("PENDIENTES POR SUBSANAR",Q239)))</formula>
    </cfRule>
    <cfRule type="containsText" dxfId="4428" priority="994" operator="containsText" text="SIN OBSERVACIÓN">
      <formula>NOT(ISERROR(SEARCH("SIN OBSERVACIÓN",Q239)))</formula>
    </cfRule>
  </conditionalFormatting>
  <conditionalFormatting sqref="R239">
    <cfRule type="containsBlanks" dxfId="4427" priority="981">
      <formula>LEN(TRIM(R239))=0</formula>
    </cfRule>
    <cfRule type="cellIs" dxfId="4426" priority="983" operator="equal">
      <formula>"NO CUMPLEN CON LO SOLICITADO"</formula>
    </cfRule>
    <cfRule type="cellIs" dxfId="4425" priority="984" operator="equal">
      <formula>"CUMPLEN CON LO SOLICITADO"</formula>
    </cfRule>
    <cfRule type="cellIs" dxfId="4424" priority="985" operator="equal">
      <formula>"PENDIENTES"</formula>
    </cfRule>
    <cfRule type="cellIs" dxfId="4423" priority="986" operator="equal">
      <formula>"NINGUNO"</formula>
    </cfRule>
  </conditionalFormatting>
  <conditionalFormatting sqref="P239">
    <cfRule type="expression" dxfId="4422" priority="972">
      <formula>Q239="NO SUBSANABLE"</formula>
    </cfRule>
    <cfRule type="expression" dxfId="4421" priority="973">
      <formula>Q239="REQUERIMIENTOS SUBSANADOS"</formula>
    </cfRule>
    <cfRule type="expression" dxfId="4420" priority="974">
      <formula>Q239="PENDIENTES POR SUBSANAR"</formula>
    </cfRule>
    <cfRule type="expression" dxfId="4419" priority="975">
      <formula>Q239="SIN OBSERVACIÓN"</formula>
    </cfRule>
    <cfRule type="containsBlanks" dxfId="4418" priority="976">
      <formula>LEN(TRIM(P239))=0</formula>
    </cfRule>
  </conditionalFormatting>
  <conditionalFormatting sqref="J236">
    <cfRule type="cellIs" dxfId="4417" priority="968" operator="equal">
      <formula>"NO CUMPLE"</formula>
    </cfRule>
    <cfRule type="cellIs" dxfId="4416" priority="969" operator="equal">
      <formula>"CUMPLE"</formula>
    </cfRule>
  </conditionalFormatting>
  <conditionalFormatting sqref="J237">
    <cfRule type="cellIs" dxfId="4415" priority="966" operator="equal">
      <formula>"NO CUMPLE"</formula>
    </cfRule>
    <cfRule type="cellIs" dxfId="4414" priority="967" operator="equal">
      <formula>"CUMPLE"</formula>
    </cfRule>
  </conditionalFormatting>
  <conditionalFormatting sqref="J238">
    <cfRule type="cellIs" dxfId="4413" priority="964" operator="equal">
      <formula>"NO CUMPLE"</formula>
    </cfRule>
    <cfRule type="cellIs" dxfId="4412" priority="965" operator="equal">
      <formula>"CUMPLE"</formula>
    </cfRule>
  </conditionalFormatting>
  <conditionalFormatting sqref="J239">
    <cfRule type="cellIs" dxfId="4411" priority="962" operator="equal">
      <formula>"NO CUMPLE"</formula>
    </cfRule>
    <cfRule type="cellIs" dxfId="4410" priority="963" operator="equal">
      <formula>"CUMPLE"</formula>
    </cfRule>
  </conditionalFormatting>
  <conditionalFormatting sqref="J240">
    <cfRule type="cellIs" dxfId="4409" priority="960" operator="equal">
      <formula>"NO CUMPLE"</formula>
    </cfRule>
    <cfRule type="cellIs" dxfId="4408" priority="961" operator="equal">
      <formula>"CUMPLE"</formula>
    </cfRule>
  </conditionalFormatting>
  <conditionalFormatting sqref="J241">
    <cfRule type="cellIs" dxfId="4407" priority="958" operator="equal">
      <formula>"NO CUMPLE"</formula>
    </cfRule>
    <cfRule type="cellIs" dxfId="4406" priority="959" operator="equal">
      <formula>"CUMPLE"</formula>
    </cfRule>
  </conditionalFormatting>
  <conditionalFormatting sqref="S233">
    <cfRule type="cellIs" dxfId="4405" priority="956" operator="greaterThan">
      <formula>0</formula>
    </cfRule>
    <cfRule type="top10" dxfId="4404" priority="957" rank="10"/>
  </conditionalFormatting>
  <conditionalFormatting sqref="U233:U235">
    <cfRule type="cellIs" dxfId="4403" priority="954" operator="equal">
      <formula>0</formula>
    </cfRule>
    <cfRule type="cellIs" dxfId="4402" priority="955" operator="equal">
      <formula>1</formula>
    </cfRule>
  </conditionalFormatting>
  <conditionalFormatting sqref="U236:U238">
    <cfRule type="cellIs" dxfId="4401" priority="952" operator="equal">
      <formula>0</formula>
    </cfRule>
    <cfRule type="cellIs" dxfId="4400" priority="953" operator="equal">
      <formula>1</formula>
    </cfRule>
  </conditionalFormatting>
  <conditionalFormatting sqref="U239:U241">
    <cfRule type="cellIs" dxfId="4399" priority="950" operator="equal">
      <formula>0</formula>
    </cfRule>
    <cfRule type="cellIs" dxfId="4398" priority="951" operator="equal">
      <formula>1</formula>
    </cfRule>
  </conditionalFormatting>
  <conditionalFormatting sqref="N211">
    <cfRule type="expression" dxfId="4397" priority="945">
      <formula>N211=" "</formula>
    </cfRule>
    <cfRule type="expression" dxfId="4396" priority="946">
      <formula>N211="NO PRESENTÓ CERTIFICADO"</formula>
    </cfRule>
    <cfRule type="expression" dxfId="4395" priority="947">
      <formula>N211="PRESENTÓ CERTIFICADO"</formula>
    </cfRule>
  </conditionalFormatting>
  <conditionalFormatting sqref="O211">
    <cfRule type="cellIs" dxfId="4394" priority="927" operator="equal">
      <formula>"PENDIENTE POR DESCRIPCIÓN"</formula>
    </cfRule>
    <cfRule type="cellIs" dxfId="4393" priority="928" operator="equal">
      <formula>"DESCRIPCIÓN INSUFICIENTE"</formula>
    </cfRule>
    <cfRule type="cellIs" dxfId="4392" priority="929" operator="equal">
      <formula>"NO ESTÁ ACORDE A ITEM 5.2.2 (T.R.)"</formula>
    </cfRule>
    <cfRule type="cellIs" dxfId="4391" priority="930" operator="equal">
      <formula>"ACORDE A ITEM 5.2.2 (T.R.)"</formula>
    </cfRule>
    <cfRule type="cellIs" dxfId="4390" priority="937" operator="equal">
      <formula>"PENDIENTE POR DESCRIPCIÓN"</formula>
    </cfRule>
    <cfRule type="cellIs" dxfId="4389" priority="939" operator="equal">
      <formula>"DESCRIPCIÓN INSUFICIENTE"</formula>
    </cfRule>
    <cfRule type="cellIs" dxfId="4388" priority="940" operator="equal">
      <formula>"NO ESTÁ ACORDE A ITEM 5.2.1 (T.R.)"</formula>
    </cfRule>
    <cfRule type="cellIs" dxfId="4387" priority="941" operator="equal">
      <formula>"ACORDE A ITEM 5.2.1 (T.R.)"</formula>
    </cfRule>
  </conditionalFormatting>
  <conditionalFormatting sqref="Q211">
    <cfRule type="containsBlanks" dxfId="4386" priority="932">
      <formula>LEN(TRIM(Q211))=0</formula>
    </cfRule>
    <cfRule type="cellIs" dxfId="4385" priority="938" operator="equal">
      <formula>"REQUERIMIENTOS SUBSANADOS"</formula>
    </cfRule>
    <cfRule type="containsText" dxfId="4384" priority="942" operator="containsText" text="NO SUBSANABLE">
      <formula>NOT(ISERROR(SEARCH("NO SUBSANABLE",Q211)))</formula>
    </cfRule>
    <cfRule type="containsText" dxfId="4383" priority="943" operator="containsText" text="PENDIENTES POR SUBSANAR">
      <formula>NOT(ISERROR(SEARCH("PENDIENTES POR SUBSANAR",Q211)))</formula>
    </cfRule>
    <cfRule type="containsText" dxfId="4382" priority="944" operator="containsText" text="SIN OBSERVACIÓN">
      <formula>NOT(ISERROR(SEARCH("SIN OBSERVACIÓN",Q211)))</formula>
    </cfRule>
  </conditionalFormatting>
  <conditionalFormatting sqref="R211">
    <cfRule type="containsBlanks" dxfId="4381" priority="931">
      <formula>LEN(TRIM(R211))=0</formula>
    </cfRule>
    <cfRule type="cellIs" dxfId="4380" priority="933" operator="equal">
      <formula>"NO CUMPLEN CON LO SOLICITADO"</formula>
    </cfRule>
    <cfRule type="cellIs" dxfId="4379" priority="934" operator="equal">
      <formula>"CUMPLEN CON LO SOLICITADO"</formula>
    </cfRule>
    <cfRule type="cellIs" dxfId="4378" priority="935" operator="equal">
      <formula>"PENDIENTES"</formula>
    </cfRule>
    <cfRule type="cellIs" dxfId="4377" priority="936" operator="equal">
      <formula>"NINGUNO"</formula>
    </cfRule>
  </conditionalFormatting>
  <conditionalFormatting sqref="P211">
    <cfRule type="expression" dxfId="4376" priority="922">
      <formula>Q211="NO SUBSANABLE"</formula>
    </cfRule>
    <cfRule type="expression" dxfId="4375" priority="923">
      <formula>Q211="REQUERIMIENTOS SUBSANADOS"</formula>
    </cfRule>
    <cfRule type="expression" dxfId="4374" priority="924">
      <formula>Q211="PENDIENTES POR SUBSANAR"</formula>
    </cfRule>
    <cfRule type="expression" dxfId="4373" priority="925">
      <formula>Q211="SIN OBSERVACIÓN"</formula>
    </cfRule>
    <cfRule type="containsBlanks" dxfId="4372" priority="926">
      <formula>LEN(TRIM(P211))=0</formula>
    </cfRule>
  </conditionalFormatting>
  <conditionalFormatting sqref="S189">
    <cfRule type="cellIs" dxfId="4371" priority="918" operator="greaterThan">
      <formula>0</formula>
    </cfRule>
    <cfRule type="top10" dxfId="4370" priority="919" rank="10"/>
  </conditionalFormatting>
  <conditionalFormatting sqref="N189">
    <cfRule type="expression" dxfId="4369" priority="915">
      <formula>N189=" "</formula>
    </cfRule>
    <cfRule type="expression" dxfId="4368" priority="916">
      <formula>N189="NO PRESENTÓ CERTIFICADO"</formula>
    </cfRule>
    <cfRule type="expression" dxfId="4367" priority="917">
      <formula>N189="PRESENTÓ CERTIFICADO"</formula>
    </cfRule>
  </conditionalFormatting>
  <conditionalFormatting sqref="O189">
    <cfRule type="cellIs" dxfId="4366" priority="897" operator="equal">
      <formula>"PENDIENTE POR DESCRIPCIÓN"</formula>
    </cfRule>
    <cfRule type="cellIs" dxfId="4365" priority="898" operator="equal">
      <formula>"DESCRIPCIÓN INSUFICIENTE"</formula>
    </cfRule>
    <cfRule type="cellIs" dxfId="4364" priority="899" operator="equal">
      <formula>"NO ESTÁ ACORDE A ITEM 5.2.2 (T.R.)"</formula>
    </cfRule>
    <cfRule type="cellIs" dxfId="4363" priority="900" operator="equal">
      <formula>"ACORDE A ITEM 5.2.2 (T.R.)"</formula>
    </cfRule>
    <cfRule type="cellIs" dxfId="4362" priority="907" operator="equal">
      <formula>"PENDIENTE POR DESCRIPCIÓN"</formula>
    </cfRule>
    <cfRule type="cellIs" dxfId="4361" priority="909" operator="equal">
      <formula>"DESCRIPCIÓN INSUFICIENTE"</formula>
    </cfRule>
    <cfRule type="cellIs" dxfId="4360" priority="910" operator="equal">
      <formula>"NO ESTÁ ACORDE A ITEM 5.2.1 (T.R.)"</formula>
    </cfRule>
    <cfRule type="cellIs" dxfId="4359" priority="911" operator="equal">
      <formula>"ACORDE A ITEM 5.2.1 (T.R.)"</formula>
    </cfRule>
  </conditionalFormatting>
  <conditionalFormatting sqref="Q189">
    <cfRule type="containsBlanks" dxfId="4358" priority="902">
      <formula>LEN(TRIM(Q189))=0</formula>
    </cfRule>
    <cfRule type="cellIs" dxfId="4357" priority="908" operator="equal">
      <formula>"REQUERIMIENTOS SUBSANADOS"</formula>
    </cfRule>
    <cfRule type="containsText" dxfId="4356" priority="912" operator="containsText" text="NO SUBSANABLE">
      <formula>NOT(ISERROR(SEARCH("NO SUBSANABLE",Q189)))</formula>
    </cfRule>
    <cfRule type="containsText" dxfId="4355" priority="913" operator="containsText" text="PENDIENTES POR SUBSANAR">
      <formula>NOT(ISERROR(SEARCH("PENDIENTES POR SUBSANAR",Q189)))</formula>
    </cfRule>
    <cfRule type="containsText" dxfId="4354" priority="914" operator="containsText" text="SIN OBSERVACIÓN">
      <formula>NOT(ISERROR(SEARCH("SIN OBSERVACIÓN",Q189)))</formula>
    </cfRule>
  </conditionalFormatting>
  <conditionalFormatting sqref="R189">
    <cfRule type="containsBlanks" dxfId="4353" priority="901">
      <formula>LEN(TRIM(R189))=0</formula>
    </cfRule>
    <cfRule type="cellIs" dxfId="4352" priority="903" operator="equal">
      <formula>"NO CUMPLEN CON LO SOLICITADO"</formula>
    </cfRule>
    <cfRule type="cellIs" dxfId="4351" priority="904" operator="equal">
      <formula>"CUMPLEN CON LO SOLICITADO"</formula>
    </cfRule>
    <cfRule type="cellIs" dxfId="4350" priority="905" operator="equal">
      <formula>"PENDIENTES"</formula>
    </cfRule>
    <cfRule type="cellIs" dxfId="4349" priority="906" operator="equal">
      <formula>"NINGUNO"</formula>
    </cfRule>
  </conditionalFormatting>
  <conditionalFormatting sqref="P189">
    <cfRule type="expression" dxfId="4348" priority="892">
      <formula>Q189="NO SUBSANABLE"</formula>
    </cfRule>
    <cfRule type="expression" dxfId="4347" priority="893">
      <formula>Q189="REQUERIMIENTOS SUBSANADOS"</formula>
    </cfRule>
    <cfRule type="expression" dxfId="4346" priority="894">
      <formula>Q189="PENDIENTES POR SUBSANAR"</formula>
    </cfRule>
    <cfRule type="expression" dxfId="4345" priority="895">
      <formula>Q189="SIN OBSERVACIÓN"</formula>
    </cfRule>
    <cfRule type="containsBlanks" dxfId="4344" priority="896">
      <formula>LEN(TRIM(P189))=0</formula>
    </cfRule>
  </conditionalFormatting>
  <conditionalFormatting sqref="U211:U213">
    <cfRule type="cellIs" dxfId="4343" priority="890" operator="equal">
      <formula>0</formula>
    </cfRule>
    <cfRule type="cellIs" dxfId="4342" priority="891" operator="equal">
      <formula>1</formula>
    </cfRule>
  </conditionalFormatting>
  <conditionalFormatting sqref="U189:U191">
    <cfRule type="cellIs" dxfId="4341" priority="888" operator="equal">
      <formula>0</formula>
    </cfRule>
    <cfRule type="cellIs" dxfId="4340" priority="889" operator="equal">
      <formula>1</formula>
    </cfRule>
  </conditionalFormatting>
  <conditionalFormatting sqref="H170 H173">
    <cfRule type="notContainsBlanks" dxfId="4339" priority="887">
      <formula>LEN(TRIM(H170))&gt;0</formula>
    </cfRule>
  </conditionalFormatting>
  <conditionalFormatting sqref="N179">
    <cfRule type="expression" dxfId="4338" priority="882">
      <formula>N179=" "</formula>
    </cfRule>
    <cfRule type="expression" dxfId="4337" priority="883">
      <formula>N179="NO PRESENTÓ CERTIFICADO"</formula>
    </cfRule>
    <cfRule type="expression" dxfId="4336" priority="884">
      <formula>N179="PRESENTÓ CERTIFICADO"</formula>
    </cfRule>
  </conditionalFormatting>
  <conditionalFormatting sqref="O179">
    <cfRule type="cellIs" dxfId="4335" priority="864" operator="equal">
      <formula>"PENDIENTE POR DESCRIPCIÓN"</formula>
    </cfRule>
    <cfRule type="cellIs" dxfId="4334" priority="865" operator="equal">
      <formula>"DESCRIPCIÓN INSUFICIENTE"</formula>
    </cfRule>
    <cfRule type="cellIs" dxfId="4333" priority="866" operator="equal">
      <formula>"NO ESTÁ ACORDE A ITEM 5.2.2 (T.R.)"</formula>
    </cfRule>
    <cfRule type="cellIs" dxfId="4332" priority="867" operator="equal">
      <formula>"ACORDE A ITEM 5.2.2 (T.R.)"</formula>
    </cfRule>
    <cfRule type="cellIs" dxfId="4331" priority="874" operator="equal">
      <formula>"PENDIENTE POR DESCRIPCIÓN"</formula>
    </cfRule>
    <cfRule type="cellIs" dxfId="4330" priority="876" operator="equal">
      <formula>"DESCRIPCIÓN INSUFICIENTE"</formula>
    </cfRule>
    <cfRule type="cellIs" dxfId="4329" priority="877" operator="equal">
      <formula>"NO ESTÁ ACORDE A ITEM 5.2.1 (T.R.)"</formula>
    </cfRule>
    <cfRule type="cellIs" dxfId="4328" priority="878" operator="equal">
      <formula>"ACORDE A ITEM 5.2.1 (T.R.)"</formula>
    </cfRule>
  </conditionalFormatting>
  <conditionalFormatting sqref="Q179">
    <cfRule type="containsBlanks" dxfId="4327" priority="869">
      <formula>LEN(TRIM(Q179))=0</formula>
    </cfRule>
    <cfRule type="cellIs" dxfId="4326" priority="875" operator="equal">
      <formula>"REQUERIMIENTOS SUBSANADOS"</formula>
    </cfRule>
    <cfRule type="containsText" dxfId="4325" priority="879" operator="containsText" text="NO SUBSANABLE">
      <formula>NOT(ISERROR(SEARCH("NO SUBSANABLE",Q179)))</formula>
    </cfRule>
    <cfRule type="containsText" dxfId="4324" priority="880" operator="containsText" text="PENDIENTES POR SUBSANAR">
      <formula>NOT(ISERROR(SEARCH("PENDIENTES POR SUBSANAR",Q179)))</formula>
    </cfRule>
    <cfRule type="containsText" dxfId="4323" priority="881" operator="containsText" text="SIN OBSERVACIÓN">
      <formula>NOT(ISERROR(SEARCH("SIN OBSERVACIÓN",Q179)))</formula>
    </cfRule>
  </conditionalFormatting>
  <conditionalFormatting sqref="R179">
    <cfRule type="containsBlanks" dxfId="4322" priority="868">
      <formula>LEN(TRIM(R179))=0</formula>
    </cfRule>
    <cfRule type="cellIs" dxfId="4321" priority="870" operator="equal">
      <formula>"NO CUMPLEN CON LO SOLICITADO"</formula>
    </cfRule>
    <cfRule type="cellIs" dxfId="4320" priority="871" operator="equal">
      <formula>"CUMPLEN CON LO SOLICITADO"</formula>
    </cfRule>
    <cfRule type="cellIs" dxfId="4319" priority="872" operator="equal">
      <formula>"PENDIENTES"</formula>
    </cfRule>
    <cfRule type="cellIs" dxfId="4318" priority="873" operator="equal">
      <formula>"NINGUNO"</formula>
    </cfRule>
  </conditionalFormatting>
  <conditionalFormatting sqref="P179">
    <cfRule type="expression" dxfId="4317" priority="859">
      <formula>Q179="NO SUBSANABLE"</formula>
    </cfRule>
    <cfRule type="expression" dxfId="4316" priority="860">
      <formula>Q179="REQUERIMIENTOS SUBSANADOS"</formula>
    </cfRule>
    <cfRule type="expression" dxfId="4315" priority="861">
      <formula>Q179="PENDIENTES POR SUBSANAR"</formula>
    </cfRule>
    <cfRule type="expression" dxfId="4314" priority="862">
      <formula>Q179="SIN OBSERVACIÓN"</formula>
    </cfRule>
    <cfRule type="containsBlanks" dxfId="4313" priority="863">
      <formula>LEN(TRIM(P179))=0</formula>
    </cfRule>
  </conditionalFormatting>
  <conditionalFormatting sqref="N170">
    <cfRule type="expression" dxfId="4312" priority="856">
      <formula>N170=" "</formula>
    </cfRule>
    <cfRule type="expression" dxfId="4311" priority="857">
      <formula>N170="NO PRESENTÓ CERTIFICADO"</formula>
    </cfRule>
    <cfRule type="expression" dxfId="4310" priority="858">
      <formula>N170="PRESENTÓ CERTIFICADO"</formula>
    </cfRule>
  </conditionalFormatting>
  <conditionalFormatting sqref="O170">
    <cfRule type="cellIs" dxfId="4309" priority="838" operator="equal">
      <formula>"PENDIENTE POR DESCRIPCIÓN"</formula>
    </cfRule>
    <cfRule type="cellIs" dxfId="4308" priority="839" operator="equal">
      <formula>"DESCRIPCIÓN INSUFICIENTE"</formula>
    </cfRule>
    <cfRule type="cellIs" dxfId="4307" priority="840" operator="equal">
      <formula>"NO ESTÁ ACORDE A ITEM 5.2.2 (T.R.)"</formula>
    </cfRule>
    <cfRule type="cellIs" dxfId="4306" priority="841" operator="equal">
      <formula>"ACORDE A ITEM 5.2.2 (T.R.)"</formula>
    </cfRule>
    <cfRule type="cellIs" dxfId="4305" priority="848" operator="equal">
      <formula>"PENDIENTE POR DESCRIPCIÓN"</formula>
    </cfRule>
    <cfRule type="cellIs" dxfId="4304" priority="850" operator="equal">
      <formula>"DESCRIPCIÓN INSUFICIENTE"</formula>
    </cfRule>
    <cfRule type="cellIs" dxfId="4303" priority="851" operator="equal">
      <formula>"NO ESTÁ ACORDE A ITEM 5.2.1 (T.R.)"</formula>
    </cfRule>
    <cfRule type="cellIs" dxfId="4302" priority="852" operator="equal">
      <formula>"ACORDE A ITEM 5.2.1 (T.R.)"</formula>
    </cfRule>
  </conditionalFormatting>
  <conditionalFormatting sqref="Q170">
    <cfRule type="containsBlanks" dxfId="4301" priority="843">
      <formula>LEN(TRIM(Q170))=0</formula>
    </cfRule>
    <cfRule type="cellIs" dxfId="4300" priority="849" operator="equal">
      <formula>"REQUERIMIENTOS SUBSANADOS"</formula>
    </cfRule>
    <cfRule type="containsText" dxfId="4299" priority="853" operator="containsText" text="NO SUBSANABLE">
      <formula>NOT(ISERROR(SEARCH("NO SUBSANABLE",Q170)))</formula>
    </cfRule>
    <cfRule type="containsText" dxfId="4298" priority="854" operator="containsText" text="PENDIENTES POR SUBSANAR">
      <formula>NOT(ISERROR(SEARCH("PENDIENTES POR SUBSANAR",Q170)))</formula>
    </cfRule>
    <cfRule type="containsText" dxfId="4297" priority="855" operator="containsText" text="SIN OBSERVACIÓN">
      <formula>NOT(ISERROR(SEARCH("SIN OBSERVACIÓN",Q170)))</formula>
    </cfRule>
  </conditionalFormatting>
  <conditionalFormatting sqref="R170">
    <cfRule type="containsBlanks" dxfId="4296" priority="842">
      <formula>LEN(TRIM(R170))=0</formula>
    </cfRule>
    <cfRule type="cellIs" dxfId="4295" priority="844" operator="equal">
      <formula>"NO CUMPLEN CON LO SOLICITADO"</formula>
    </cfRule>
    <cfRule type="cellIs" dxfId="4294" priority="845" operator="equal">
      <formula>"CUMPLEN CON LO SOLICITADO"</formula>
    </cfRule>
    <cfRule type="cellIs" dxfId="4293" priority="846" operator="equal">
      <formula>"PENDIENTES"</formula>
    </cfRule>
    <cfRule type="cellIs" dxfId="4292" priority="847" operator="equal">
      <formula>"NINGUNO"</formula>
    </cfRule>
  </conditionalFormatting>
  <conditionalFormatting sqref="P170">
    <cfRule type="expression" dxfId="4291" priority="833">
      <formula>Q170="NO SUBSANABLE"</formula>
    </cfRule>
    <cfRule type="expression" dxfId="4290" priority="834">
      <formula>Q170="REQUERIMIENTOS SUBSANADOS"</formula>
    </cfRule>
    <cfRule type="expression" dxfId="4289" priority="835">
      <formula>Q170="PENDIENTES POR SUBSANAR"</formula>
    </cfRule>
    <cfRule type="expression" dxfId="4288" priority="836">
      <formula>Q170="SIN OBSERVACIÓN"</formula>
    </cfRule>
    <cfRule type="containsBlanks" dxfId="4287" priority="837">
      <formula>LEN(TRIM(P170))=0</formula>
    </cfRule>
  </conditionalFormatting>
  <conditionalFormatting sqref="N167">
    <cfRule type="expression" dxfId="4286" priority="830">
      <formula>N167=" "</formula>
    </cfRule>
    <cfRule type="expression" dxfId="4285" priority="831">
      <formula>N167="NO PRESENTÓ CERTIFICADO"</formula>
    </cfRule>
    <cfRule type="expression" dxfId="4284" priority="832">
      <formula>N167="PRESENTÓ CERTIFICADO"</formula>
    </cfRule>
  </conditionalFormatting>
  <conditionalFormatting sqref="O167">
    <cfRule type="cellIs" dxfId="4283" priority="812" operator="equal">
      <formula>"PENDIENTE POR DESCRIPCIÓN"</formula>
    </cfRule>
    <cfRule type="cellIs" dxfId="4282" priority="813" operator="equal">
      <formula>"DESCRIPCIÓN INSUFICIENTE"</formula>
    </cfRule>
    <cfRule type="cellIs" dxfId="4281" priority="814" operator="equal">
      <formula>"NO ESTÁ ACORDE A ITEM 5.2.2 (T.R.)"</formula>
    </cfRule>
    <cfRule type="cellIs" dxfId="4280" priority="815" operator="equal">
      <formula>"ACORDE A ITEM 5.2.2 (T.R.)"</formula>
    </cfRule>
    <cfRule type="cellIs" dxfId="4279" priority="822" operator="equal">
      <formula>"PENDIENTE POR DESCRIPCIÓN"</formula>
    </cfRule>
    <cfRule type="cellIs" dxfId="4278" priority="824" operator="equal">
      <formula>"DESCRIPCIÓN INSUFICIENTE"</formula>
    </cfRule>
    <cfRule type="cellIs" dxfId="4277" priority="825" operator="equal">
      <formula>"NO ESTÁ ACORDE A ITEM 5.2.1 (T.R.)"</formula>
    </cfRule>
    <cfRule type="cellIs" dxfId="4276" priority="826" operator="equal">
      <formula>"ACORDE A ITEM 5.2.1 (T.R.)"</formula>
    </cfRule>
  </conditionalFormatting>
  <conditionalFormatting sqref="Q167">
    <cfRule type="containsBlanks" dxfId="4275" priority="817">
      <formula>LEN(TRIM(Q167))=0</formula>
    </cfRule>
    <cfRule type="cellIs" dxfId="4274" priority="823" operator="equal">
      <formula>"REQUERIMIENTOS SUBSANADOS"</formula>
    </cfRule>
    <cfRule type="containsText" dxfId="4273" priority="827" operator="containsText" text="NO SUBSANABLE">
      <formula>NOT(ISERROR(SEARCH("NO SUBSANABLE",Q167)))</formula>
    </cfRule>
    <cfRule type="containsText" dxfId="4272" priority="828" operator="containsText" text="PENDIENTES POR SUBSANAR">
      <formula>NOT(ISERROR(SEARCH("PENDIENTES POR SUBSANAR",Q167)))</formula>
    </cfRule>
    <cfRule type="containsText" dxfId="4271" priority="829" operator="containsText" text="SIN OBSERVACIÓN">
      <formula>NOT(ISERROR(SEARCH("SIN OBSERVACIÓN",Q167)))</formula>
    </cfRule>
  </conditionalFormatting>
  <conditionalFormatting sqref="R167">
    <cfRule type="containsBlanks" dxfId="4270" priority="816">
      <formula>LEN(TRIM(R167))=0</formula>
    </cfRule>
    <cfRule type="cellIs" dxfId="4269" priority="818" operator="equal">
      <formula>"NO CUMPLEN CON LO SOLICITADO"</formula>
    </cfRule>
    <cfRule type="cellIs" dxfId="4268" priority="819" operator="equal">
      <formula>"CUMPLEN CON LO SOLICITADO"</formula>
    </cfRule>
    <cfRule type="cellIs" dxfId="4267" priority="820" operator="equal">
      <formula>"PENDIENTES"</formula>
    </cfRule>
    <cfRule type="cellIs" dxfId="4266" priority="821" operator="equal">
      <formula>"NINGUNO"</formula>
    </cfRule>
  </conditionalFormatting>
  <conditionalFormatting sqref="P167">
    <cfRule type="expression" dxfId="4265" priority="807">
      <formula>Q167="NO SUBSANABLE"</formula>
    </cfRule>
    <cfRule type="expression" dxfId="4264" priority="808">
      <formula>Q167="REQUERIMIENTOS SUBSANADOS"</formula>
    </cfRule>
    <cfRule type="expression" dxfId="4263" priority="809">
      <formula>Q167="PENDIENTES POR SUBSANAR"</formula>
    </cfRule>
    <cfRule type="expression" dxfId="4262" priority="810">
      <formula>Q167="SIN OBSERVACIÓN"</formula>
    </cfRule>
    <cfRule type="containsBlanks" dxfId="4261" priority="811">
      <formula>LEN(TRIM(P167))=0</formula>
    </cfRule>
  </conditionalFormatting>
  <conditionalFormatting sqref="N176">
    <cfRule type="expression" dxfId="4260" priority="802">
      <formula>N176=" "</formula>
    </cfRule>
    <cfRule type="expression" dxfId="4259" priority="803">
      <formula>N176="NO PRESENTÓ CERTIFICADO"</formula>
    </cfRule>
    <cfRule type="expression" dxfId="4258" priority="804">
      <formula>N176="PRESENTÓ CERTIFICADO"</formula>
    </cfRule>
  </conditionalFormatting>
  <conditionalFormatting sqref="O176">
    <cfRule type="cellIs" dxfId="4257" priority="784" operator="equal">
      <formula>"PENDIENTE POR DESCRIPCIÓN"</formula>
    </cfRule>
    <cfRule type="cellIs" dxfId="4256" priority="785" operator="equal">
      <formula>"DESCRIPCIÓN INSUFICIENTE"</formula>
    </cfRule>
    <cfRule type="cellIs" dxfId="4255" priority="786" operator="equal">
      <formula>"NO ESTÁ ACORDE A ITEM 5.2.2 (T.R.)"</formula>
    </cfRule>
    <cfRule type="cellIs" dxfId="4254" priority="787" operator="equal">
      <formula>"ACORDE A ITEM 5.2.2 (T.R.)"</formula>
    </cfRule>
    <cfRule type="cellIs" dxfId="4253" priority="794" operator="equal">
      <formula>"PENDIENTE POR DESCRIPCIÓN"</formula>
    </cfRule>
    <cfRule type="cellIs" dxfId="4252" priority="796" operator="equal">
      <formula>"DESCRIPCIÓN INSUFICIENTE"</formula>
    </cfRule>
    <cfRule type="cellIs" dxfId="4251" priority="797" operator="equal">
      <formula>"NO ESTÁ ACORDE A ITEM 5.2.1 (T.R.)"</formula>
    </cfRule>
    <cfRule type="cellIs" dxfId="4250" priority="798" operator="equal">
      <formula>"ACORDE A ITEM 5.2.1 (T.R.)"</formula>
    </cfRule>
  </conditionalFormatting>
  <conditionalFormatting sqref="Q176">
    <cfRule type="containsBlanks" dxfId="4249" priority="789">
      <formula>LEN(TRIM(Q176))=0</formula>
    </cfRule>
    <cfRule type="cellIs" dxfId="4248" priority="795" operator="equal">
      <formula>"REQUERIMIENTOS SUBSANADOS"</formula>
    </cfRule>
    <cfRule type="containsText" dxfId="4247" priority="799" operator="containsText" text="NO SUBSANABLE">
      <formula>NOT(ISERROR(SEARCH("NO SUBSANABLE",Q176)))</formula>
    </cfRule>
    <cfRule type="containsText" dxfId="4246" priority="800" operator="containsText" text="PENDIENTES POR SUBSANAR">
      <formula>NOT(ISERROR(SEARCH("PENDIENTES POR SUBSANAR",Q176)))</formula>
    </cfRule>
    <cfRule type="containsText" dxfId="4245" priority="801" operator="containsText" text="SIN OBSERVACIÓN">
      <formula>NOT(ISERROR(SEARCH("SIN OBSERVACIÓN",Q176)))</formula>
    </cfRule>
  </conditionalFormatting>
  <conditionalFormatting sqref="R176">
    <cfRule type="containsBlanks" dxfId="4244" priority="788">
      <formula>LEN(TRIM(R176))=0</formula>
    </cfRule>
    <cfRule type="cellIs" dxfId="4243" priority="790" operator="equal">
      <formula>"NO CUMPLEN CON LO SOLICITADO"</formula>
    </cfRule>
    <cfRule type="cellIs" dxfId="4242" priority="791" operator="equal">
      <formula>"CUMPLEN CON LO SOLICITADO"</formula>
    </cfRule>
    <cfRule type="cellIs" dxfId="4241" priority="792" operator="equal">
      <formula>"PENDIENTES"</formula>
    </cfRule>
    <cfRule type="cellIs" dxfId="4240" priority="793" operator="equal">
      <formula>"NINGUNO"</formula>
    </cfRule>
  </conditionalFormatting>
  <conditionalFormatting sqref="N173">
    <cfRule type="expression" dxfId="4239" priority="776">
      <formula>N173=" "</formula>
    </cfRule>
    <cfRule type="expression" dxfId="4238" priority="777">
      <formula>N173="NO PRESENTÓ CERTIFICADO"</formula>
    </cfRule>
    <cfRule type="expression" dxfId="4237" priority="778">
      <formula>N173="PRESENTÓ CERTIFICADO"</formula>
    </cfRule>
  </conditionalFormatting>
  <conditionalFormatting sqref="O173">
    <cfRule type="cellIs" dxfId="4236" priority="758" operator="equal">
      <formula>"PENDIENTE POR DESCRIPCIÓN"</formula>
    </cfRule>
    <cfRule type="cellIs" dxfId="4235" priority="759" operator="equal">
      <formula>"DESCRIPCIÓN INSUFICIENTE"</formula>
    </cfRule>
    <cfRule type="cellIs" dxfId="4234" priority="760" operator="equal">
      <formula>"NO ESTÁ ACORDE A ITEM 5.2.2 (T.R.)"</formula>
    </cfRule>
    <cfRule type="cellIs" dxfId="4233" priority="761" operator="equal">
      <formula>"ACORDE A ITEM 5.2.2 (T.R.)"</formula>
    </cfRule>
    <cfRule type="cellIs" dxfId="4232" priority="768" operator="equal">
      <formula>"PENDIENTE POR DESCRIPCIÓN"</formula>
    </cfRule>
    <cfRule type="cellIs" dxfId="4231" priority="770" operator="equal">
      <formula>"DESCRIPCIÓN INSUFICIENTE"</formula>
    </cfRule>
    <cfRule type="cellIs" dxfId="4230" priority="771" operator="equal">
      <formula>"NO ESTÁ ACORDE A ITEM 5.2.1 (T.R.)"</formula>
    </cfRule>
    <cfRule type="cellIs" dxfId="4229" priority="772" operator="equal">
      <formula>"ACORDE A ITEM 5.2.1 (T.R.)"</formula>
    </cfRule>
  </conditionalFormatting>
  <conditionalFormatting sqref="Q173">
    <cfRule type="containsBlanks" dxfId="4228" priority="763">
      <formula>LEN(TRIM(Q173))=0</formula>
    </cfRule>
    <cfRule type="cellIs" dxfId="4227" priority="769" operator="equal">
      <formula>"REQUERIMIENTOS SUBSANADOS"</formula>
    </cfRule>
    <cfRule type="containsText" dxfId="4226" priority="773" operator="containsText" text="NO SUBSANABLE">
      <formula>NOT(ISERROR(SEARCH("NO SUBSANABLE",Q173)))</formula>
    </cfRule>
    <cfRule type="containsText" dxfId="4225" priority="774" operator="containsText" text="PENDIENTES POR SUBSANAR">
      <formula>NOT(ISERROR(SEARCH("PENDIENTES POR SUBSANAR",Q173)))</formula>
    </cfRule>
    <cfRule type="containsText" dxfId="4224" priority="775" operator="containsText" text="SIN OBSERVACIÓN">
      <formula>NOT(ISERROR(SEARCH("SIN OBSERVACIÓN",Q173)))</formula>
    </cfRule>
  </conditionalFormatting>
  <conditionalFormatting sqref="R173">
    <cfRule type="containsBlanks" dxfId="4223" priority="762">
      <formula>LEN(TRIM(R173))=0</formula>
    </cfRule>
    <cfRule type="cellIs" dxfId="4222" priority="764" operator="equal">
      <formula>"NO CUMPLEN CON LO SOLICITADO"</formula>
    </cfRule>
    <cfRule type="cellIs" dxfId="4221" priority="765" operator="equal">
      <formula>"CUMPLEN CON LO SOLICITADO"</formula>
    </cfRule>
    <cfRule type="cellIs" dxfId="4220" priority="766" operator="equal">
      <formula>"PENDIENTES"</formula>
    </cfRule>
    <cfRule type="cellIs" dxfId="4219" priority="767" operator="equal">
      <formula>"NINGUNO"</formula>
    </cfRule>
  </conditionalFormatting>
  <conditionalFormatting sqref="P173">
    <cfRule type="expression" dxfId="4218" priority="753">
      <formula>Q173="NO SUBSANABLE"</formula>
    </cfRule>
    <cfRule type="expression" dxfId="4217" priority="754">
      <formula>Q173="REQUERIMIENTOS SUBSANADOS"</formula>
    </cfRule>
    <cfRule type="expression" dxfId="4216" priority="755">
      <formula>Q173="PENDIENTES POR SUBSANAR"</formula>
    </cfRule>
    <cfRule type="expression" dxfId="4215" priority="756">
      <formula>Q173="SIN OBSERVACIÓN"</formula>
    </cfRule>
    <cfRule type="containsBlanks" dxfId="4214" priority="757">
      <formula>LEN(TRIM(P173))=0</formula>
    </cfRule>
  </conditionalFormatting>
  <conditionalFormatting sqref="J168">
    <cfRule type="cellIs" dxfId="4213" priority="751" operator="equal">
      <formula>"NO CUMPLE"</formula>
    </cfRule>
    <cfRule type="cellIs" dxfId="4212" priority="752" operator="equal">
      <formula>"CUMPLE"</formula>
    </cfRule>
  </conditionalFormatting>
  <conditionalFormatting sqref="J169">
    <cfRule type="cellIs" dxfId="4211" priority="749" operator="equal">
      <formula>"NO CUMPLE"</formula>
    </cfRule>
    <cfRule type="cellIs" dxfId="4210" priority="750" operator="equal">
      <formula>"CUMPLE"</formula>
    </cfRule>
  </conditionalFormatting>
  <conditionalFormatting sqref="J170:J172">
    <cfRule type="cellIs" dxfId="4209" priority="747" operator="equal">
      <formula>"NO CUMPLE"</formula>
    </cfRule>
    <cfRule type="cellIs" dxfId="4208" priority="748" operator="equal">
      <formula>"CUMPLE"</formula>
    </cfRule>
  </conditionalFormatting>
  <conditionalFormatting sqref="J173:J175">
    <cfRule type="cellIs" dxfId="4207" priority="745" operator="equal">
      <formula>"NO CUMPLE"</formula>
    </cfRule>
    <cfRule type="cellIs" dxfId="4206" priority="746" operator="equal">
      <formula>"CUMPLE"</formula>
    </cfRule>
  </conditionalFormatting>
  <conditionalFormatting sqref="J176:J178">
    <cfRule type="cellIs" dxfId="4205" priority="743" operator="equal">
      <formula>"NO CUMPLE"</formula>
    </cfRule>
    <cfRule type="cellIs" dxfId="4204" priority="744" operator="equal">
      <formula>"CUMPLE"</formula>
    </cfRule>
  </conditionalFormatting>
  <conditionalFormatting sqref="P176">
    <cfRule type="expression" dxfId="4203" priority="738">
      <formula>Q176="NO SUBSANABLE"</formula>
    </cfRule>
    <cfRule type="expression" dxfId="4202" priority="739">
      <formula>Q176="REQUERIMIENTOS SUBSANADOS"</formula>
    </cfRule>
    <cfRule type="expression" dxfId="4201" priority="740">
      <formula>Q176="PENDIENTES POR SUBSANAR"</formula>
    </cfRule>
    <cfRule type="expression" dxfId="4200" priority="741">
      <formula>Q176="SIN OBSERVACIÓN"</formula>
    </cfRule>
    <cfRule type="containsBlanks" dxfId="4199" priority="742">
      <formula>LEN(TRIM(P176))=0</formula>
    </cfRule>
  </conditionalFormatting>
  <conditionalFormatting sqref="J179">
    <cfRule type="cellIs" dxfId="4198" priority="736" operator="equal">
      <formula>"NO CUMPLE"</formula>
    </cfRule>
    <cfRule type="cellIs" dxfId="4197" priority="737" operator="equal">
      <formula>"CUMPLE"</formula>
    </cfRule>
  </conditionalFormatting>
  <conditionalFormatting sqref="J180">
    <cfRule type="cellIs" dxfId="4196" priority="734" operator="equal">
      <formula>"NO CUMPLE"</formula>
    </cfRule>
    <cfRule type="cellIs" dxfId="4195" priority="735" operator="equal">
      <formula>"CUMPLE"</formula>
    </cfRule>
  </conditionalFormatting>
  <conditionalFormatting sqref="F148">
    <cfRule type="notContainsBlanks" dxfId="4194" priority="733">
      <formula>LEN(TRIM(F148))&gt;0</formula>
    </cfRule>
  </conditionalFormatting>
  <conditionalFormatting sqref="N145">
    <cfRule type="expression" dxfId="4193" priority="724">
      <formula>N145=" "</formula>
    </cfRule>
    <cfRule type="expression" dxfId="4192" priority="725">
      <formula>N145="NO PRESENTÓ CERTIFICADO"</formula>
    </cfRule>
    <cfRule type="expression" dxfId="4191" priority="726">
      <formula>N145="PRESENTÓ CERTIFICADO"</formula>
    </cfRule>
  </conditionalFormatting>
  <conditionalFormatting sqref="O145">
    <cfRule type="cellIs" dxfId="4190" priority="706" operator="equal">
      <formula>"PENDIENTE POR DESCRIPCIÓN"</formula>
    </cfRule>
    <cfRule type="cellIs" dxfId="4189" priority="707" operator="equal">
      <formula>"DESCRIPCIÓN INSUFICIENTE"</formula>
    </cfRule>
    <cfRule type="cellIs" dxfId="4188" priority="708" operator="equal">
      <formula>"NO ESTÁ ACORDE A ITEM 5.2.2 (T.R.)"</formula>
    </cfRule>
    <cfRule type="cellIs" dxfId="4187" priority="709" operator="equal">
      <formula>"ACORDE A ITEM 5.2.2 (T.R.)"</formula>
    </cfRule>
    <cfRule type="cellIs" dxfId="4186" priority="716" operator="equal">
      <formula>"PENDIENTE POR DESCRIPCIÓN"</formula>
    </cfRule>
    <cfRule type="cellIs" dxfId="4185" priority="718" operator="equal">
      <formula>"DESCRIPCIÓN INSUFICIENTE"</formula>
    </cfRule>
    <cfRule type="cellIs" dxfId="4184" priority="719" operator="equal">
      <formula>"NO ESTÁ ACORDE A ITEM 5.2.1 (T.R.)"</formula>
    </cfRule>
    <cfRule type="cellIs" dxfId="4183" priority="720" operator="equal">
      <formula>"ACORDE A ITEM 5.2.1 (T.R.)"</formula>
    </cfRule>
  </conditionalFormatting>
  <conditionalFormatting sqref="Q145">
    <cfRule type="containsBlanks" dxfId="4182" priority="711">
      <formula>LEN(TRIM(Q145))=0</formula>
    </cfRule>
    <cfRule type="cellIs" dxfId="4181" priority="717" operator="equal">
      <formula>"REQUERIMIENTOS SUBSANADOS"</formula>
    </cfRule>
    <cfRule type="containsText" dxfId="4180" priority="721" operator="containsText" text="NO SUBSANABLE">
      <formula>NOT(ISERROR(SEARCH("NO SUBSANABLE",Q145)))</formula>
    </cfRule>
    <cfRule type="containsText" dxfId="4179" priority="722" operator="containsText" text="PENDIENTES POR SUBSANAR">
      <formula>NOT(ISERROR(SEARCH("PENDIENTES POR SUBSANAR",Q145)))</formula>
    </cfRule>
    <cfRule type="containsText" dxfId="4178" priority="723" operator="containsText" text="SIN OBSERVACIÓN">
      <formula>NOT(ISERROR(SEARCH("SIN OBSERVACIÓN",Q145)))</formula>
    </cfRule>
  </conditionalFormatting>
  <conditionalFormatting sqref="R145">
    <cfRule type="containsBlanks" dxfId="4177" priority="710">
      <formula>LEN(TRIM(R145))=0</formula>
    </cfRule>
    <cfRule type="cellIs" dxfId="4176" priority="712" operator="equal">
      <formula>"NO CUMPLEN CON LO SOLICITADO"</formula>
    </cfRule>
    <cfRule type="cellIs" dxfId="4175" priority="713" operator="equal">
      <formula>"CUMPLEN CON LO SOLICITADO"</formula>
    </cfRule>
    <cfRule type="cellIs" dxfId="4174" priority="714" operator="equal">
      <formula>"PENDIENTES"</formula>
    </cfRule>
    <cfRule type="cellIs" dxfId="4173" priority="715" operator="equal">
      <formula>"NINGUNO"</formula>
    </cfRule>
  </conditionalFormatting>
  <conditionalFormatting sqref="P145">
    <cfRule type="expression" dxfId="4172" priority="701">
      <formula>Q145="NO SUBSANABLE"</formula>
    </cfRule>
    <cfRule type="expression" dxfId="4171" priority="702">
      <formula>Q145="REQUERIMIENTOS SUBSANADOS"</formula>
    </cfRule>
    <cfRule type="expression" dxfId="4170" priority="703">
      <formula>Q145="PENDIENTES POR SUBSANAR"</formula>
    </cfRule>
    <cfRule type="expression" dxfId="4169" priority="704">
      <formula>Q145="SIN OBSERVACIÓN"</formula>
    </cfRule>
    <cfRule type="containsBlanks" dxfId="4168" priority="705">
      <formula>LEN(TRIM(P145))=0</formula>
    </cfRule>
  </conditionalFormatting>
  <conditionalFormatting sqref="N148">
    <cfRule type="expression" dxfId="4167" priority="698">
      <formula>N148=" "</formula>
    </cfRule>
    <cfRule type="expression" dxfId="4166" priority="699">
      <formula>N148="NO PRESENTÓ CERTIFICADO"</formula>
    </cfRule>
    <cfRule type="expression" dxfId="4165" priority="700">
      <formula>N148="PRESENTÓ CERTIFICADO"</formula>
    </cfRule>
  </conditionalFormatting>
  <conditionalFormatting sqref="O148">
    <cfRule type="cellIs" dxfId="4164" priority="680" operator="equal">
      <formula>"PENDIENTE POR DESCRIPCIÓN"</formula>
    </cfRule>
    <cfRule type="cellIs" dxfId="4163" priority="681" operator="equal">
      <formula>"DESCRIPCIÓN INSUFICIENTE"</formula>
    </cfRule>
    <cfRule type="cellIs" dxfId="4162" priority="682" operator="equal">
      <formula>"NO ESTÁ ACORDE A ITEM 5.2.2 (T.R.)"</formula>
    </cfRule>
    <cfRule type="cellIs" dxfId="4161" priority="683" operator="equal">
      <formula>"ACORDE A ITEM 5.2.2 (T.R.)"</formula>
    </cfRule>
    <cfRule type="cellIs" dxfId="4160" priority="690" operator="equal">
      <formula>"PENDIENTE POR DESCRIPCIÓN"</formula>
    </cfRule>
    <cfRule type="cellIs" dxfId="4159" priority="692" operator="equal">
      <formula>"DESCRIPCIÓN INSUFICIENTE"</formula>
    </cfRule>
    <cfRule type="cellIs" dxfId="4158" priority="693" operator="equal">
      <formula>"NO ESTÁ ACORDE A ITEM 5.2.1 (T.R.)"</formula>
    </cfRule>
    <cfRule type="cellIs" dxfId="4157" priority="694" operator="equal">
      <formula>"ACORDE A ITEM 5.2.1 (T.R.)"</formula>
    </cfRule>
  </conditionalFormatting>
  <conditionalFormatting sqref="Q148">
    <cfRule type="containsBlanks" dxfId="4156" priority="685">
      <formula>LEN(TRIM(Q148))=0</formula>
    </cfRule>
    <cfRule type="cellIs" dxfId="4155" priority="691" operator="equal">
      <formula>"REQUERIMIENTOS SUBSANADOS"</formula>
    </cfRule>
    <cfRule type="containsText" dxfId="4154" priority="695" operator="containsText" text="NO SUBSANABLE">
      <formula>NOT(ISERROR(SEARCH("NO SUBSANABLE",Q148)))</formula>
    </cfRule>
    <cfRule type="containsText" dxfId="4153" priority="696" operator="containsText" text="PENDIENTES POR SUBSANAR">
      <formula>NOT(ISERROR(SEARCH("PENDIENTES POR SUBSANAR",Q148)))</formula>
    </cfRule>
    <cfRule type="containsText" dxfId="4152" priority="697" operator="containsText" text="SIN OBSERVACIÓN">
      <formula>NOT(ISERROR(SEARCH("SIN OBSERVACIÓN",Q148)))</formula>
    </cfRule>
  </conditionalFormatting>
  <conditionalFormatting sqref="R148">
    <cfRule type="containsBlanks" dxfId="4151" priority="684">
      <formula>LEN(TRIM(R148))=0</formula>
    </cfRule>
    <cfRule type="cellIs" dxfId="4150" priority="686" operator="equal">
      <formula>"NO CUMPLEN CON LO SOLICITADO"</formula>
    </cfRule>
    <cfRule type="cellIs" dxfId="4149" priority="687" operator="equal">
      <formula>"CUMPLEN CON LO SOLICITADO"</formula>
    </cfRule>
    <cfRule type="cellIs" dxfId="4148" priority="688" operator="equal">
      <formula>"PENDIENTES"</formula>
    </cfRule>
    <cfRule type="cellIs" dxfId="4147" priority="689" operator="equal">
      <formula>"NINGUNO"</formula>
    </cfRule>
  </conditionalFormatting>
  <conditionalFormatting sqref="P148">
    <cfRule type="expression" dxfId="4146" priority="675">
      <formula>Q148="NO SUBSANABLE"</formula>
    </cfRule>
    <cfRule type="expression" dxfId="4145" priority="676">
      <formula>Q148="REQUERIMIENTOS SUBSANADOS"</formula>
    </cfRule>
    <cfRule type="expression" dxfId="4144" priority="677">
      <formula>Q148="PENDIENTES POR SUBSANAR"</formula>
    </cfRule>
    <cfRule type="expression" dxfId="4143" priority="678">
      <formula>Q148="SIN OBSERVACIÓN"</formula>
    </cfRule>
    <cfRule type="containsBlanks" dxfId="4142" priority="679">
      <formula>LEN(TRIM(P148))=0</formula>
    </cfRule>
  </conditionalFormatting>
  <conditionalFormatting sqref="H126 H129">
    <cfRule type="notContainsBlanks" dxfId="4141" priority="674">
      <formula>LEN(TRIM(H126))&gt;0</formula>
    </cfRule>
  </conditionalFormatting>
  <conditionalFormatting sqref="I126 I129">
    <cfRule type="notContainsBlanks" dxfId="4140" priority="673">
      <formula>LEN(TRIM(I126))&gt;0</formula>
    </cfRule>
  </conditionalFormatting>
  <conditionalFormatting sqref="N123">
    <cfRule type="expression" dxfId="4139" priority="666">
      <formula>N123=" "</formula>
    </cfRule>
    <cfRule type="expression" dxfId="4138" priority="667">
      <formula>N123="NO PRESENTÓ CERTIFICADO"</formula>
    </cfRule>
    <cfRule type="expression" dxfId="4137" priority="668">
      <formula>N123="PRESENTÓ CERTIFICADO"</formula>
    </cfRule>
  </conditionalFormatting>
  <conditionalFormatting sqref="O123">
    <cfRule type="cellIs" dxfId="4136" priority="658" operator="equal">
      <formula>"PENDIENTE POR DESCRIPCIÓN"</formula>
    </cfRule>
    <cfRule type="cellIs" dxfId="4135" priority="659" operator="equal">
      <formula>"DESCRIPCIÓN INSUFICIENTE"</formula>
    </cfRule>
    <cfRule type="cellIs" dxfId="4134" priority="660" operator="equal">
      <formula>"NO ESTÁ ACORDE A ITEM 5.2.2 (T.R.)"</formula>
    </cfRule>
    <cfRule type="cellIs" dxfId="4133" priority="661" operator="equal">
      <formula>"ACORDE A ITEM 5.2.2 (T.R.)"</formula>
    </cfRule>
    <cfRule type="cellIs" dxfId="4132" priority="662" operator="equal">
      <formula>"PENDIENTE POR DESCRIPCIÓN"</formula>
    </cfRule>
    <cfRule type="cellIs" dxfId="4131" priority="663" operator="equal">
      <formula>"DESCRIPCIÓN INSUFICIENTE"</formula>
    </cfRule>
    <cfRule type="cellIs" dxfId="4130" priority="664" operator="equal">
      <formula>"NO ESTÁ ACORDE A ITEM 5.2.1 (T.R.)"</formula>
    </cfRule>
    <cfRule type="cellIs" dxfId="4129" priority="665" operator="equal">
      <formula>"ACORDE A ITEM 5.2.1 (T.R.)"</formula>
    </cfRule>
  </conditionalFormatting>
  <conditionalFormatting sqref="N126">
    <cfRule type="expression" dxfId="4128" priority="645">
      <formula>N126=" "</formula>
    </cfRule>
    <cfRule type="expression" dxfId="4127" priority="646">
      <formula>N126="NO PRESENTÓ CERTIFICADO"</formula>
    </cfRule>
    <cfRule type="expression" dxfId="4126" priority="647">
      <formula>N126="PRESENTÓ CERTIFICADO"</formula>
    </cfRule>
  </conditionalFormatting>
  <conditionalFormatting sqref="O126">
    <cfRule type="cellIs" dxfId="4125" priority="627" operator="equal">
      <formula>"PENDIENTE POR DESCRIPCIÓN"</formula>
    </cfRule>
    <cfRule type="cellIs" dxfId="4124" priority="628" operator="equal">
      <formula>"DESCRIPCIÓN INSUFICIENTE"</formula>
    </cfRule>
    <cfRule type="cellIs" dxfId="4123" priority="629" operator="equal">
      <formula>"NO ESTÁ ACORDE A ITEM 5.2.2 (T.R.)"</formula>
    </cfRule>
    <cfRule type="cellIs" dxfId="4122" priority="630" operator="equal">
      <formula>"ACORDE A ITEM 5.2.2 (T.R.)"</formula>
    </cfRule>
    <cfRule type="cellIs" dxfId="4121" priority="637" operator="equal">
      <formula>"PENDIENTE POR DESCRIPCIÓN"</formula>
    </cfRule>
    <cfRule type="cellIs" dxfId="4120" priority="639" operator="equal">
      <formula>"DESCRIPCIÓN INSUFICIENTE"</formula>
    </cfRule>
    <cfRule type="cellIs" dxfId="4119" priority="640" operator="equal">
      <formula>"NO ESTÁ ACORDE A ITEM 5.2.1 (T.R.)"</formula>
    </cfRule>
    <cfRule type="cellIs" dxfId="4118" priority="641" operator="equal">
      <formula>"ACORDE A ITEM 5.2.1 (T.R.)"</formula>
    </cfRule>
  </conditionalFormatting>
  <conditionalFormatting sqref="Q126">
    <cfRule type="containsBlanks" dxfId="4117" priority="632">
      <formula>LEN(TRIM(Q126))=0</formula>
    </cfRule>
    <cfRule type="cellIs" dxfId="4116" priority="638" operator="equal">
      <formula>"REQUERIMIENTOS SUBSANADOS"</formula>
    </cfRule>
    <cfRule type="containsText" dxfId="4115" priority="642" operator="containsText" text="NO SUBSANABLE">
      <formula>NOT(ISERROR(SEARCH("NO SUBSANABLE",Q126)))</formula>
    </cfRule>
    <cfRule type="containsText" dxfId="4114" priority="643" operator="containsText" text="PENDIENTES POR SUBSANAR">
      <formula>NOT(ISERROR(SEARCH("PENDIENTES POR SUBSANAR",Q126)))</formula>
    </cfRule>
    <cfRule type="containsText" dxfId="4113" priority="644" operator="containsText" text="SIN OBSERVACIÓN">
      <formula>NOT(ISERROR(SEARCH("SIN OBSERVACIÓN",Q126)))</formula>
    </cfRule>
  </conditionalFormatting>
  <conditionalFormatting sqref="R126">
    <cfRule type="containsBlanks" dxfId="4112" priority="631">
      <formula>LEN(TRIM(R126))=0</formula>
    </cfRule>
    <cfRule type="cellIs" dxfId="4111" priority="633" operator="equal">
      <formula>"NO CUMPLEN CON LO SOLICITADO"</formula>
    </cfRule>
    <cfRule type="cellIs" dxfId="4110" priority="634" operator="equal">
      <formula>"CUMPLEN CON LO SOLICITADO"</formula>
    </cfRule>
    <cfRule type="cellIs" dxfId="4109" priority="635" operator="equal">
      <formula>"PENDIENTES"</formula>
    </cfRule>
    <cfRule type="cellIs" dxfId="4108" priority="636" operator="equal">
      <formula>"NINGUNO"</formula>
    </cfRule>
  </conditionalFormatting>
  <conditionalFormatting sqref="P126">
    <cfRule type="expression" dxfId="4107" priority="622">
      <formula>Q126="NO SUBSANABLE"</formula>
    </cfRule>
    <cfRule type="expression" dxfId="4106" priority="623">
      <formula>Q126="REQUERIMIENTOS SUBSANADOS"</formula>
    </cfRule>
    <cfRule type="expression" dxfId="4105" priority="624">
      <formula>Q126="PENDIENTES POR SUBSANAR"</formula>
    </cfRule>
    <cfRule type="expression" dxfId="4104" priority="625">
      <formula>Q126="SIN OBSERVACIÓN"</formula>
    </cfRule>
    <cfRule type="containsBlanks" dxfId="4103" priority="626">
      <formula>LEN(TRIM(P126))=0</formula>
    </cfRule>
  </conditionalFormatting>
  <conditionalFormatting sqref="N129">
    <cfRule type="expression" dxfId="4102" priority="619">
      <formula>N129=" "</formula>
    </cfRule>
    <cfRule type="expression" dxfId="4101" priority="620">
      <formula>N129="NO PRESENTÓ CERTIFICADO"</formula>
    </cfRule>
    <cfRule type="expression" dxfId="4100" priority="621">
      <formula>N129="PRESENTÓ CERTIFICADO"</formula>
    </cfRule>
  </conditionalFormatting>
  <conditionalFormatting sqref="O129">
    <cfRule type="cellIs" dxfId="4099" priority="601" operator="equal">
      <formula>"PENDIENTE POR DESCRIPCIÓN"</formula>
    </cfRule>
    <cfRule type="cellIs" dxfId="4098" priority="602" operator="equal">
      <formula>"DESCRIPCIÓN INSUFICIENTE"</formula>
    </cfRule>
    <cfRule type="cellIs" dxfId="4097" priority="603" operator="equal">
      <formula>"NO ESTÁ ACORDE A ITEM 5.2.2 (T.R.)"</formula>
    </cfRule>
    <cfRule type="cellIs" dxfId="4096" priority="604" operator="equal">
      <formula>"ACORDE A ITEM 5.2.2 (T.R.)"</formula>
    </cfRule>
    <cfRule type="cellIs" dxfId="4095" priority="611" operator="equal">
      <formula>"PENDIENTE POR DESCRIPCIÓN"</formula>
    </cfRule>
    <cfRule type="cellIs" dxfId="4094" priority="613" operator="equal">
      <formula>"DESCRIPCIÓN INSUFICIENTE"</formula>
    </cfRule>
    <cfRule type="cellIs" dxfId="4093" priority="614" operator="equal">
      <formula>"NO ESTÁ ACORDE A ITEM 5.2.1 (T.R.)"</formula>
    </cfRule>
    <cfRule type="cellIs" dxfId="4092" priority="615" operator="equal">
      <formula>"ACORDE A ITEM 5.2.1 (T.R.)"</formula>
    </cfRule>
  </conditionalFormatting>
  <conditionalFormatting sqref="Q129">
    <cfRule type="containsBlanks" dxfId="4091" priority="606">
      <formula>LEN(TRIM(Q129))=0</formula>
    </cfRule>
    <cfRule type="cellIs" dxfId="4090" priority="612" operator="equal">
      <formula>"REQUERIMIENTOS SUBSANADOS"</formula>
    </cfRule>
    <cfRule type="containsText" dxfId="4089" priority="616" operator="containsText" text="NO SUBSANABLE">
      <formula>NOT(ISERROR(SEARCH("NO SUBSANABLE",Q129)))</formula>
    </cfRule>
    <cfRule type="containsText" dxfId="4088" priority="617" operator="containsText" text="PENDIENTES POR SUBSANAR">
      <formula>NOT(ISERROR(SEARCH("PENDIENTES POR SUBSANAR",Q129)))</formula>
    </cfRule>
    <cfRule type="containsText" dxfId="4087" priority="618" operator="containsText" text="SIN OBSERVACIÓN">
      <formula>NOT(ISERROR(SEARCH("SIN OBSERVACIÓN",Q129)))</formula>
    </cfRule>
  </conditionalFormatting>
  <conditionalFormatting sqref="R129">
    <cfRule type="containsBlanks" dxfId="4086" priority="605">
      <formula>LEN(TRIM(R129))=0</formula>
    </cfRule>
    <cfRule type="cellIs" dxfId="4085" priority="607" operator="equal">
      <formula>"NO CUMPLEN CON LO SOLICITADO"</formula>
    </cfRule>
    <cfRule type="cellIs" dxfId="4084" priority="608" operator="equal">
      <formula>"CUMPLEN CON LO SOLICITADO"</formula>
    </cfRule>
    <cfRule type="cellIs" dxfId="4083" priority="609" operator="equal">
      <formula>"PENDIENTES"</formula>
    </cfRule>
    <cfRule type="cellIs" dxfId="4082" priority="610" operator="equal">
      <formula>"NINGUNO"</formula>
    </cfRule>
  </conditionalFormatting>
  <conditionalFormatting sqref="P129">
    <cfRule type="expression" dxfId="4081" priority="596">
      <formula>Q129="NO SUBSANABLE"</formula>
    </cfRule>
    <cfRule type="expression" dxfId="4080" priority="597">
      <formula>Q129="REQUERIMIENTOS SUBSANADOS"</formula>
    </cfRule>
    <cfRule type="expression" dxfId="4079" priority="598">
      <formula>Q129="PENDIENTES POR SUBSANAR"</formula>
    </cfRule>
    <cfRule type="expression" dxfId="4078" priority="599">
      <formula>Q129="SIN OBSERVACIÓN"</formula>
    </cfRule>
    <cfRule type="containsBlanks" dxfId="4077" priority="600">
      <formula>LEN(TRIM(P129))=0</formula>
    </cfRule>
  </conditionalFormatting>
  <conditionalFormatting sqref="N132">
    <cfRule type="expression" dxfId="4076" priority="593">
      <formula>N132=" "</formula>
    </cfRule>
    <cfRule type="expression" dxfId="4075" priority="594">
      <formula>N132="NO PRESENTÓ CERTIFICADO"</formula>
    </cfRule>
    <cfRule type="expression" dxfId="4074" priority="595">
      <formula>N132="PRESENTÓ CERTIFICADO"</formula>
    </cfRule>
  </conditionalFormatting>
  <conditionalFormatting sqref="O132">
    <cfRule type="cellIs" dxfId="4073" priority="575" operator="equal">
      <formula>"PENDIENTE POR DESCRIPCIÓN"</formula>
    </cfRule>
    <cfRule type="cellIs" dxfId="4072" priority="576" operator="equal">
      <formula>"DESCRIPCIÓN INSUFICIENTE"</formula>
    </cfRule>
    <cfRule type="cellIs" dxfId="4071" priority="577" operator="equal">
      <formula>"NO ESTÁ ACORDE A ITEM 5.2.2 (T.R.)"</formula>
    </cfRule>
    <cfRule type="cellIs" dxfId="4070" priority="578" operator="equal">
      <formula>"ACORDE A ITEM 5.2.2 (T.R.)"</formula>
    </cfRule>
    <cfRule type="cellIs" dxfId="4069" priority="585" operator="equal">
      <formula>"PENDIENTE POR DESCRIPCIÓN"</formula>
    </cfRule>
    <cfRule type="cellIs" dxfId="4068" priority="587" operator="equal">
      <formula>"DESCRIPCIÓN INSUFICIENTE"</formula>
    </cfRule>
    <cfRule type="cellIs" dxfId="4067" priority="588" operator="equal">
      <formula>"NO ESTÁ ACORDE A ITEM 5.2.1 (T.R.)"</formula>
    </cfRule>
    <cfRule type="cellIs" dxfId="4066" priority="589" operator="equal">
      <formula>"ACORDE A ITEM 5.2.1 (T.R.)"</formula>
    </cfRule>
  </conditionalFormatting>
  <conditionalFormatting sqref="Q132">
    <cfRule type="containsBlanks" dxfId="4065" priority="580">
      <formula>LEN(TRIM(Q132))=0</formula>
    </cfRule>
    <cfRule type="cellIs" dxfId="4064" priority="586" operator="equal">
      <formula>"REQUERIMIENTOS SUBSANADOS"</formula>
    </cfRule>
    <cfRule type="containsText" dxfId="4063" priority="590" operator="containsText" text="NO SUBSANABLE">
      <formula>NOT(ISERROR(SEARCH("NO SUBSANABLE",Q132)))</formula>
    </cfRule>
    <cfRule type="containsText" dxfId="4062" priority="591" operator="containsText" text="PENDIENTES POR SUBSANAR">
      <formula>NOT(ISERROR(SEARCH("PENDIENTES POR SUBSANAR",Q132)))</formula>
    </cfRule>
    <cfRule type="containsText" dxfId="4061" priority="592" operator="containsText" text="SIN OBSERVACIÓN">
      <formula>NOT(ISERROR(SEARCH("SIN OBSERVACIÓN",Q132)))</formula>
    </cfRule>
  </conditionalFormatting>
  <conditionalFormatting sqref="R132">
    <cfRule type="containsBlanks" dxfId="4060" priority="579">
      <formula>LEN(TRIM(R132))=0</formula>
    </cfRule>
    <cfRule type="cellIs" dxfId="4059" priority="581" operator="equal">
      <formula>"NO CUMPLEN CON LO SOLICITADO"</formula>
    </cfRule>
    <cfRule type="cellIs" dxfId="4058" priority="582" operator="equal">
      <formula>"CUMPLEN CON LO SOLICITADO"</formula>
    </cfRule>
    <cfRule type="cellIs" dxfId="4057" priority="583" operator="equal">
      <formula>"PENDIENTES"</formula>
    </cfRule>
    <cfRule type="cellIs" dxfId="4056" priority="584" operator="equal">
      <formula>"NINGUNO"</formula>
    </cfRule>
  </conditionalFormatting>
  <conditionalFormatting sqref="P132">
    <cfRule type="expression" dxfId="4055" priority="570">
      <formula>Q132="NO SUBSANABLE"</formula>
    </cfRule>
    <cfRule type="expression" dxfId="4054" priority="571">
      <formula>Q132="REQUERIMIENTOS SUBSANADOS"</formula>
    </cfRule>
    <cfRule type="expression" dxfId="4053" priority="572">
      <formula>Q132="PENDIENTES POR SUBSANAR"</formula>
    </cfRule>
    <cfRule type="expression" dxfId="4052" priority="573">
      <formula>Q132="SIN OBSERVACIÓN"</formula>
    </cfRule>
    <cfRule type="containsBlanks" dxfId="4051" priority="574">
      <formula>LEN(TRIM(P132))=0</formula>
    </cfRule>
  </conditionalFormatting>
  <conditionalFormatting sqref="U167:U169">
    <cfRule type="cellIs" dxfId="4050" priority="568" operator="equal">
      <formula>0</formula>
    </cfRule>
    <cfRule type="cellIs" dxfId="4049" priority="569" operator="equal">
      <formula>1</formula>
    </cfRule>
  </conditionalFormatting>
  <conditionalFormatting sqref="U170:U181">
    <cfRule type="cellIs" dxfId="4048" priority="566" operator="equal">
      <formula>0</formula>
    </cfRule>
    <cfRule type="cellIs" dxfId="4047" priority="567" operator="equal">
      <formula>1</formula>
    </cfRule>
  </conditionalFormatting>
  <conditionalFormatting sqref="U145:U147">
    <cfRule type="cellIs" dxfId="4046" priority="564" operator="equal">
      <formula>0</formula>
    </cfRule>
    <cfRule type="cellIs" dxfId="4045" priority="565" operator="equal">
      <formula>1</formula>
    </cfRule>
  </conditionalFormatting>
  <conditionalFormatting sqref="U148:U150">
    <cfRule type="cellIs" dxfId="4044" priority="562" operator="equal">
      <formula>0</formula>
    </cfRule>
    <cfRule type="cellIs" dxfId="4043" priority="563" operator="equal">
      <formula>1</formula>
    </cfRule>
  </conditionalFormatting>
  <conditionalFormatting sqref="U123:U137">
    <cfRule type="cellIs" dxfId="4042" priority="560" operator="equal">
      <formula>0</formula>
    </cfRule>
    <cfRule type="cellIs" dxfId="4041" priority="561" operator="equal">
      <formula>1</formula>
    </cfRule>
  </conditionalFormatting>
  <conditionalFormatting sqref="H104 H107">
    <cfRule type="notContainsBlanks" dxfId="4040" priority="559">
      <formula>LEN(TRIM(H104))&gt;0</formula>
    </cfRule>
  </conditionalFormatting>
  <conditionalFormatting sqref="I104 I107">
    <cfRule type="notContainsBlanks" dxfId="4039" priority="558">
      <formula>LEN(TRIM(I104))&gt;0</formula>
    </cfRule>
  </conditionalFormatting>
  <conditionalFormatting sqref="N101">
    <cfRule type="expression" dxfId="4038" priority="551">
      <formula>N101=" "</formula>
    </cfRule>
    <cfRule type="expression" dxfId="4037" priority="552">
      <formula>N101="NO PRESENTÓ CERTIFICADO"</formula>
    </cfRule>
    <cfRule type="expression" dxfId="4036" priority="553">
      <formula>N101="PRESENTÓ CERTIFICADO"</formula>
    </cfRule>
  </conditionalFormatting>
  <conditionalFormatting sqref="O101">
    <cfRule type="cellIs" dxfId="4035" priority="533" operator="equal">
      <formula>"PENDIENTE POR DESCRIPCIÓN"</formula>
    </cfRule>
    <cfRule type="cellIs" dxfId="4034" priority="534" operator="equal">
      <formula>"DESCRIPCIÓN INSUFICIENTE"</formula>
    </cfRule>
    <cfRule type="cellIs" dxfId="4033" priority="535" operator="equal">
      <formula>"NO ESTÁ ACORDE A ITEM 5.2.2 (T.R.)"</formula>
    </cfRule>
    <cfRule type="cellIs" dxfId="4032" priority="536" operator="equal">
      <formula>"ACORDE A ITEM 5.2.2 (T.R.)"</formula>
    </cfRule>
    <cfRule type="cellIs" dxfId="4031" priority="543" operator="equal">
      <formula>"PENDIENTE POR DESCRIPCIÓN"</formula>
    </cfRule>
    <cfRule type="cellIs" dxfId="4030" priority="545" operator="equal">
      <formula>"DESCRIPCIÓN INSUFICIENTE"</formula>
    </cfRule>
    <cfRule type="cellIs" dxfId="4029" priority="546" operator="equal">
      <formula>"NO ESTÁ ACORDE A ITEM 5.2.1 (T.R.)"</formula>
    </cfRule>
    <cfRule type="cellIs" dxfId="4028" priority="547" operator="equal">
      <formula>"ACORDE A ITEM 5.2.1 (T.R.)"</formula>
    </cfRule>
  </conditionalFormatting>
  <conditionalFormatting sqref="Q101">
    <cfRule type="containsBlanks" dxfId="4027" priority="538">
      <formula>LEN(TRIM(Q101))=0</formula>
    </cfRule>
    <cfRule type="cellIs" dxfId="4026" priority="544" operator="equal">
      <formula>"REQUERIMIENTOS SUBSANADOS"</formula>
    </cfRule>
    <cfRule type="containsText" dxfId="4025" priority="548" operator="containsText" text="NO SUBSANABLE">
      <formula>NOT(ISERROR(SEARCH("NO SUBSANABLE",Q101)))</formula>
    </cfRule>
    <cfRule type="containsText" dxfId="4024" priority="549" operator="containsText" text="PENDIENTES POR SUBSANAR">
      <formula>NOT(ISERROR(SEARCH("PENDIENTES POR SUBSANAR",Q101)))</formula>
    </cfRule>
    <cfRule type="containsText" dxfId="4023" priority="550" operator="containsText" text="SIN OBSERVACIÓN">
      <formula>NOT(ISERROR(SEARCH("SIN OBSERVACIÓN",Q101)))</formula>
    </cfRule>
  </conditionalFormatting>
  <conditionalFormatting sqref="R101">
    <cfRule type="containsBlanks" dxfId="4022" priority="537">
      <formula>LEN(TRIM(R101))=0</formula>
    </cfRule>
    <cfRule type="cellIs" dxfId="4021" priority="539" operator="equal">
      <formula>"NO CUMPLEN CON LO SOLICITADO"</formula>
    </cfRule>
    <cfRule type="cellIs" dxfId="4020" priority="540" operator="equal">
      <formula>"CUMPLEN CON LO SOLICITADO"</formula>
    </cfRule>
    <cfRule type="cellIs" dxfId="4019" priority="541" operator="equal">
      <formula>"PENDIENTES"</formula>
    </cfRule>
    <cfRule type="cellIs" dxfId="4018" priority="542" operator="equal">
      <formula>"NINGUNO"</formula>
    </cfRule>
  </conditionalFormatting>
  <conditionalFormatting sqref="P101">
    <cfRule type="expression" dxfId="4017" priority="528">
      <formula>Q101="NO SUBSANABLE"</formula>
    </cfRule>
    <cfRule type="expression" dxfId="4016" priority="529">
      <formula>Q101="REQUERIMIENTOS SUBSANADOS"</formula>
    </cfRule>
    <cfRule type="expression" dxfId="4015" priority="530">
      <formula>Q101="PENDIENTES POR SUBSANAR"</formula>
    </cfRule>
    <cfRule type="expression" dxfId="4014" priority="531">
      <formula>Q101="SIN OBSERVACIÓN"</formula>
    </cfRule>
    <cfRule type="containsBlanks" dxfId="4013" priority="532">
      <formula>LEN(TRIM(P101))=0</formula>
    </cfRule>
  </conditionalFormatting>
  <conditionalFormatting sqref="N104">
    <cfRule type="expression" dxfId="4012" priority="525">
      <formula>N104=" "</formula>
    </cfRule>
    <cfRule type="expression" dxfId="4011" priority="526">
      <formula>N104="NO PRESENTÓ CERTIFICADO"</formula>
    </cfRule>
    <cfRule type="expression" dxfId="4010" priority="527">
      <formula>N104="PRESENTÓ CERTIFICADO"</formula>
    </cfRule>
  </conditionalFormatting>
  <conditionalFormatting sqref="O104">
    <cfRule type="cellIs" dxfId="4009" priority="507" operator="equal">
      <formula>"PENDIENTE POR DESCRIPCIÓN"</formula>
    </cfRule>
    <cfRule type="cellIs" dxfId="4008" priority="508" operator="equal">
      <formula>"DESCRIPCIÓN INSUFICIENTE"</formula>
    </cfRule>
    <cfRule type="cellIs" dxfId="4007" priority="509" operator="equal">
      <formula>"NO ESTÁ ACORDE A ITEM 5.2.2 (T.R.)"</formula>
    </cfRule>
    <cfRule type="cellIs" dxfId="4006" priority="510" operator="equal">
      <formula>"ACORDE A ITEM 5.2.2 (T.R.)"</formula>
    </cfRule>
    <cfRule type="cellIs" dxfId="4005" priority="517" operator="equal">
      <formula>"PENDIENTE POR DESCRIPCIÓN"</formula>
    </cfRule>
    <cfRule type="cellIs" dxfId="4004" priority="519" operator="equal">
      <formula>"DESCRIPCIÓN INSUFICIENTE"</formula>
    </cfRule>
    <cfRule type="cellIs" dxfId="4003" priority="520" operator="equal">
      <formula>"NO ESTÁ ACORDE A ITEM 5.2.1 (T.R.)"</formula>
    </cfRule>
    <cfRule type="cellIs" dxfId="4002" priority="521" operator="equal">
      <formula>"ACORDE A ITEM 5.2.1 (T.R.)"</formula>
    </cfRule>
  </conditionalFormatting>
  <conditionalFormatting sqref="Q104">
    <cfRule type="containsBlanks" dxfId="4001" priority="512">
      <formula>LEN(TRIM(Q104))=0</formula>
    </cfRule>
    <cfRule type="cellIs" dxfId="4000" priority="518" operator="equal">
      <formula>"REQUERIMIENTOS SUBSANADOS"</formula>
    </cfRule>
    <cfRule type="containsText" dxfId="3999" priority="522" operator="containsText" text="NO SUBSANABLE">
      <formula>NOT(ISERROR(SEARCH("NO SUBSANABLE",Q104)))</formula>
    </cfRule>
    <cfRule type="containsText" dxfId="3998" priority="523" operator="containsText" text="PENDIENTES POR SUBSANAR">
      <formula>NOT(ISERROR(SEARCH("PENDIENTES POR SUBSANAR",Q104)))</formula>
    </cfRule>
    <cfRule type="containsText" dxfId="3997" priority="524" operator="containsText" text="SIN OBSERVACIÓN">
      <formula>NOT(ISERROR(SEARCH("SIN OBSERVACIÓN",Q104)))</formula>
    </cfRule>
  </conditionalFormatting>
  <conditionalFormatting sqref="R104">
    <cfRule type="containsBlanks" dxfId="3996" priority="511">
      <formula>LEN(TRIM(R104))=0</formula>
    </cfRule>
    <cfRule type="cellIs" dxfId="3995" priority="513" operator="equal">
      <formula>"NO CUMPLEN CON LO SOLICITADO"</formula>
    </cfRule>
    <cfRule type="cellIs" dxfId="3994" priority="514" operator="equal">
      <formula>"CUMPLEN CON LO SOLICITADO"</formula>
    </cfRule>
    <cfRule type="cellIs" dxfId="3993" priority="515" operator="equal">
      <formula>"PENDIENTES"</formula>
    </cfRule>
    <cfRule type="cellIs" dxfId="3992" priority="516" operator="equal">
      <formula>"NINGUNO"</formula>
    </cfRule>
  </conditionalFormatting>
  <conditionalFormatting sqref="P104">
    <cfRule type="expression" dxfId="3991" priority="502">
      <formula>Q104="NO SUBSANABLE"</formula>
    </cfRule>
    <cfRule type="expression" dxfId="3990" priority="503">
      <formula>Q104="REQUERIMIENTOS SUBSANADOS"</formula>
    </cfRule>
    <cfRule type="expression" dxfId="3989" priority="504">
      <formula>Q104="PENDIENTES POR SUBSANAR"</formula>
    </cfRule>
    <cfRule type="expression" dxfId="3988" priority="505">
      <formula>Q104="SIN OBSERVACIÓN"</formula>
    </cfRule>
    <cfRule type="containsBlanks" dxfId="3987" priority="506">
      <formula>LEN(TRIM(P104))=0</formula>
    </cfRule>
  </conditionalFormatting>
  <conditionalFormatting sqref="N107">
    <cfRule type="expression" dxfId="3986" priority="499">
      <formula>N107=" "</formula>
    </cfRule>
    <cfRule type="expression" dxfId="3985" priority="500">
      <formula>N107="NO PRESENTÓ CERTIFICADO"</formula>
    </cfRule>
    <cfRule type="expression" dxfId="3984" priority="501">
      <formula>N107="PRESENTÓ CERTIFICADO"</formula>
    </cfRule>
  </conditionalFormatting>
  <conditionalFormatting sqref="O107">
    <cfRule type="cellIs" dxfId="3983" priority="491" operator="equal">
      <formula>"PENDIENTE POR DESCRIPCIÓN"</formula>
    </cfRule>
    <cfRule type="cellIs" dxfId="3982" priority="492" operator="equal">
      <formula>"DESCRIPCIÓN INSUFICIENTE"</formula>
    </cfRule>
    <cfRule type="cellIs" dxfId="3981" priority="493" operator="equal">
      <formula>"NO ESTÁ ACORDE A ITEM 5.2.2 (T.R.)"</formula>
    </cfRule>
    <cfRule type="cellIs" dxfId="3980" priority="494" operator="equal">
      <formula>"ACORDE A ITEM 5.2.2 (T.R.)"</formula>
    </cfRule>
    <cfRule type="cellIs" dxfId="3979" priority="495" operator="equal">
      <formula>"PENDIENTE POR DESCRIPCIÓN"</formula>
    </cfRule>
    <cfRule type="cellIs" dxfId="3978" priority="496" operator="equal">
      <formula>"DESCRIPCIÓN INSUFICIENTE"</formula>
    </cfRule>
    <cfRule type="cellIs" dxfId="3977" priority="497" operator="equal">
      <formula>"NO ESTÁ ACORDE A ITEM 5.2.1 (T.R.)"</formula>
    </cfRule>
    <cfRule type="cellIs" dxfId="3976" priority="498" operator="equal">
      <formula>"ACORDE A ITEM 5.2.1 (T.R.)"</formula>
    </cfRule>
  </conditionalFormatting>
  <conditionalFormatting sqref="Q107">
    <cfRule type="containsBlanks" dxfId="3975" priority="482">
      <formula>LEN(TRIM(Q107))=0</formula>
    </cfRule>
    <cfRule type="cellIs" dxfId="3974" priority="487" operator="equal">
      <formula>"REQUERIMIENTOS SUBSANADOS"</formula>
    </cfRule>
    <cfRule type="containsText" dxfId="3973" priority="488" operator="containsText" text="NO SUBSANABLE">
      <formula>NOT(ISERROR(SEARCH("NO SUBSANABLE",Q107)))</formula>
    </cfRule>
    <cfRule type="containsText" dxfId="3972" priority="489" operator="containsText" text="PENDIENTES POR SUBSANAR">
      <formula>NOT(ISERROR(SEARCH("PENDIENTES POR SUBSANAR",Q107)))</formula>
    </cfRule>
    <cfRule type="containsText" dxfId="3971" priority="490" operator="containsText" text="SIN OBSERVACIÓN">
      <formula>NOT(ISERROR(SEARCH("SIN OBSERVACIÓN",Q107)))</formula>
    </cfRule>
  </conditionalFormatting>
  <conditionalFormatting sqref="R107">
    <cfRule type="containsBlanks" dxfId="3970" priority="481">
      <formula>LEN(TRIM(R107))=0</formula>
    </cfRule>
    <cfRule type="cellIs" dxfId="3969" priority="483" operator="equal">
      <formula>"NO CUMPLEN CON LO SOLICITADO"</formula>
    </cfRule>
    <cfRule type="cellIs" dxfId="3968" priority="484" operator="equal">
      <formula>"CUMPLEN CON LO SOLICITADO"</formula>
    </cfRule>
    <cfRule type="cellIs" dxfId="3967" priority="485" operator="equal">
      <formula>"PENDIENTES"</formula>
    </cfRule>
    <cfRule type="cellIs" dxfId="3966" priority="486" operator="equal">
      <formula>"NINGUNO"</formula>
    </cfRule>
  </conditionalFormatting>
  <conditionalFormatting sqref="N110">
    <cfRule type="expression" dxfId="3965" priority="478">
      <formula>N110=" "</formula>
    </cfRule>
    <cfRule type="expression" dxfId="3964" priority="479">
      <formula>N110="NO PRESENTÓ CERTIFICADO"</formula>
    </cfRule>
    <cfRule type="expression" dxfId="3963" priority="480">
      <formula>N110="PRESENTÓ CERTIFICADO"</formula>
    </cfRule>
  </conditionalFormatting>
  <conditionalFormatting sqref="O110">
    <cfRule type="cellIs" dxfId="3962" priority="460" operator="equal">
      <formula>"PENDIENTE POR DESCRIPCIÓN"</formula>
    </cfRule>
    <cfRule type="cellIs" dxfId="3961" priority="461" operator="equal">
      <formula>"DESCRIPCIÓN INSUFICIENTE"</formula>
    </cfRule>
    <cfRule type="cellIs" dxfId="3960" priority="462" operator="equal">
      <formula>"NO ESTÁ ACORDE A ITEM 5.2.2 (T.R.)"</formula>
    </cfRule>
    <cfRule type="cellIs" dxfId="3959" priority="463" operator="equal">
      <formula>"ACORDE A ITEM 5.2.2 (T.R.)"</formula>
    </cfRule>
    <cfRule type="cellIs" dxfId="3958" priority="470" operator="equal">
      <formula>"PENDIENTE POR DESCRIPCIÓN"</formula>
    </cfRule>
    <cfRule type="cellIs" dxfId="3957" priority="472" operator="equal">
      <formula>"DESCRIPCIÓN INSUFICIENTE"</formula>
    </cfRule>
    <cfRule type="cellIs" dxfId="3956" priority="473" operator="equal">
      <formula>"NO ESTÁ ACORDE A ITEM 5.2.1 (T.R.)"</formula>
    </cfRule>
    <cfRule type="cellIs" dxfId="3955" priority="474" operator="equal">
      <formula>"ACORDE A ITEM 5.2.1 (T.R.)"</formula>
    </cfRule>
  </conditionalFormatting>
  <conditionalFormatting sqref="Q110">
    <cfRule type="containsBlanks" dxfId="3954" priority="465">
      <formula>LEN(TRIM(Q110))=0</formula>
    </cfRule>
    <cfRule type="cellIs" dxfId="3953" priority="471" operator="equal">
      <formula>"REQUERIMIENTOS SUBSANADOS"</formula>
    </cfRule>
    <cfRule type="containsText" dxfId="3952" priority="475" operator="containsText" text="NO SUBSANABLE">
      <formula>NOT(ISERROR(SEARCH("NO SUBSANABLE",Q110)))</formula>
    </cfRule>
    <cfRule type="containsText" dxfId="3951" priority="476" operator="containsText" text="PENDIENTES POR SUBSANAR">
      <formula>NOT(ISERROR(SEARCH("PENDIENTES POR SUBSANAR",Q110)))</formula>
    </cfRule>
    <cfRule type="containsText" dxfId="3950" priority="477" operator="containsText" text="SIN OBSERVACIÓN">
      <formula>NOT(ISERROR(SEARCH("SIN OBSERVACIÓN",Q110)))</formula>
    </cfRule>
  </conditionalFormatting>
  <conditionalFormatting sqref="R110">
    <cfRule type="containsBlanks" dxfId="3949" priority="464">
      <formula>LEN(TRIM(R110))=0</formula>
    </cfRule>
    <cfRule type="cellIs" dxfId="3948" priority="466" operator="equal">
      <formula>"NO CUMPLEN CON LO SOLICITADO"</formula>
    </cfRule>
    <cfRule type="cellIs" dxfId="3947" priority="467" operator="equal">
      <formula>"CUMPLEN CON LO SOLICITADO"</formula>
    </cfRule>
    <cfRule type="cellIs" dxfId="3946" priority="468" operator="equal">
      <formula>"PENDIENTES"</formula>
    </cfRule>
    <cfRule type="cellIs" dxfId="3945" priority="469" operator="equal">
      <formula>"NINGUNO"</formula>
    </cfRule>
  </conditionalFormatting>
  <conditionalFormatting sqref="P110">
    <cfRule type="expression" dxfId="3944" priority="455">
      <formula>Q110="NO SUBSANABLE"</formula>
    </cfRule>
    <cfRule type="expression" dxfId="3943" priority="456">
      <formula>Q110="REQUERIMIENTOS SUBSANADOS"</formula>
    </cfRule>
    <cfRule type="expression" dxfId="3942" priority="457">
      <formula>Q110="PENDIENTES POR SUBSANAR"</formula>
    </cfRule>
    <cfRule type="expression" dxfId="3941" priority="458">
      <formula>Q110="SIN OBSERVACIÓN"</formula>
    </cfRule>
    <cfRule type="containsBlanks" dxfId="3940" priority="459">
      <formula>LEN(TRIM(P110))=0</formula>
    </cfRule>
  </conditionalFormatting>
  <conditionalFormatting sqref="N113">
    <cfRule type="expression" dxfId="3939" priority="452">
      <formula>N113=" "</formula>
    </cfRule>
    <cfRule type="expression" dxfId="3938" priority="453">
      <formula>N113="NO PRESENTÓ CERTIFICADO"</formula>
    </cfRule>
    <cfRule type="expression" dxfId="3937" priority="454">
      <formula>N113="PRESENTÓ CERTIFICADO"</formula>
    </cfRule>
  </conditionalFormatting>
  <conditionalFormatting sqref="O113">
    <cfRule type="cellIs" dxfId="3936" priority="434" operator="equal">
      <formula>"PENDIENTE POR DESCRIPCIÓN"</formula>
    </cfRule>
    <cfRule type="cellIs" dxfId="3935" priority="435" operator="equal">
      <formula>"DESCRIPCIÓN INSUFICIENTE"</formula>
    </cfRule>
    <cfRule type="cellIs" dxfId="3934" priority="436" operator="equal">
      <formula>"NO ESTÁ ACORDE A ITEM 5.2.2 (T.R.)"</formula>
    </cfRule>
    <cfRule type="cellIs" dxfId="3933" priority="437" operator="equal">
      <formula>"ACORDE A ITEM 5.2.2 (T.R.)"</formula>
    </cfRule>
    <cfRule type="cellIs" dxfId="3932" priority="444" operator="equal">
      <formula>"PENDIENTE POR DESCRIPCIÓN"</formula>
    </cfRule>
    <cfRule type="cellIs" dxfId="3931" priority="446" operator="equal">
      <formula>"DESCRIPCIÓN INSUFICIENTE"</formula>
    </cfRule>
    <cfRule type="cellIs" dxfId="3930" priority="447" operator="equal">
      <formula>"NO ESTÁ ACORDE A ITEM 5.2.1 (T.R.)"</formula>
    </cfRule>
    <cfRule type="cellIs" dxfId="3929" priority="448" operator="equal">
      <formula>"ACORDE A ITEM 5.2.1 (T.R.)"</formula>
    </cfRule>
  </conditionalFormatting>
  <conditionalFormatting sqref="Q113">
    <cfRule type="containsBlanks" dxfId="3928" priority="439">
      <formula>LEN(TRIM(Q113))=0</formula>
    </cfRule>
    <cfRule type="cellIs" dxfId="3927" priority="445" operator="equal">
      <formula>"REQUERIMIENTOS SUBSANADOS"</formula>
    </cfRule>
    <cfRule type="containsText" dxfId="3926" priority="449" operator="containsText" text="NO SUBSANABLE">
      <formula>NOT(ISERROR(SEARCH("NO SUBSANABLE",Q113)))</formula>
    </cfRule>
    <cfRule type="containsText" dxfId="3925" priority="450" operator="containsText" text="PENDIENTES POR SUBSANAR">
      <formula>NOT(ISERROR(SEARCH("PENDIENTES POR SUBSANAR",Q113)))</formula>
    </cfRule>
    <cfRule type="containsText" dxfId="3924" priority="451" operator="containsText" text="SIN OBSERVACIÓN">
      <formula>NOT(ISERROR(SEARCH("SIN OBSERVACIÓN",Q113)))</formula>
    </cfRule>
  </conditionalFormatting>
  <conditionalFormatting sqref="R113">
    <cfRule type="containsBlanks" dxfId="3923" priority="438">
      <formula>LEN(TRIM(R113))=0</formula>
    </cfRule>
    <cfRule type="cellIs" dxfId="3922" priority="440" operator="equal">
      <formula>"NO CUMPLEN CON LO SOLICITADO"</formula>
    </cfRule>
    <cfRule type="cellIs" dxfId="3921" priority="441" operator="equal">
      <formula>"CUMPLEN CON LO SOLICITADO"</formula>
    </cfRule>
    <cfRule type="cellIs" dxfId="3920" priority="442" operator="equal">
      <formula>"PENDIENTES"</formula>
    </cfRule>
    <cfRule type="cellIs" dxfId="3919" priority="443" operator="equal">
      <formula>"NINGUNO"</formula>
    </cfRule>
  </conditionalFormatting>
  <conditionalFormatting sqref="P113">
    <cfRule type="expression" dxfId="3918" priority="429">
      <formula>Q113="NO SUBSANABLE"</formula>
    </cfRule>
    <cfRule type="expression" dxfId="3917" priority="430">
      <formula>Q113="REQUERIMIENTOS SUBSANADOS"</formula>
    </cfRule>
    <cfRule type="expression" dxfId="3916" priority="431">
      <formula>Q113="PENDIENTES POR SUBSANAR"</formula>
    </cfRule>
    <cfRule type="expression" dxfId="3915" priority="432">
      <formula>Q113="SIN OBSERVACIÓN"</formula>
    </cfRule>
    <cfRule type="containsBlanks" dxfId="3914" priority="433">
      <formula>LEN(TRIM(P113))=0</formula>
    </cfRule>
  </conditionalFormatting>
  <conditionalFormatting sqref="J113">
    <cfRule type="cellIs" dxfId="3913" priority="427" operator="equal">
      <formula>"NO CUMPLE"</formula>
    </cfRule>
    <cfRule type="cellIs" dxfId="3912" priority="428" operator="equal">
      <formula>"CUMPLE"</formula>
    </cfRule>
  </conditionalFormatting>
  <conditionalFormatting sqref="J114">
    <cfRule type="cellIs" dxfId="3911" priority="425" operator="equal">
      <formula>"NO CUMPLE"</formula>
    </cfRule>
    <cfRule type="cellIs" dxfId="3910" priority="426" operator="equal">
      <formula>"CUMPLE"</formula>
    </cfRule>
  </conditionalFormatting>
  <conditionalFormatting sqref="J115">
    <cfRule type="cellIs" dxfId="3909" priority="423" operator="equal">
      <formula>"NO CUMPLE"</formula>
    </cfRule>
    <cfRule type="cellIs" dxfId="3908" priority="424" operator="equal">
      <formula>"CUMPLE"</formula>
    </cfRule>
  </conditionalFormatting>
  <conditionalFormatting sqref="H13">
    <cfRule type="notContainsBlanks" dxfId="3907" priority="422">
      <formula>LEN(TRIM(H13))&gt;0</formula>
    </cfRule>
  </conditionalFormatting>
  <conditionalFormatting sqref="G13">
    <cfRule type="notContainsBlanks" dxfId="3906" priority="421">
      <formula>LEN(TRIM(G13))&gt;0</formula>
    </cfRule>
  </conditionalFormatting>
  <conditionalFormatting sqref="F13">
    <cfRule type="notContainsBlanks" dxfId="3905" priority="420">
      <formula>LEN(TRIM(F13))&gt;0</formula>
    </cfRule>
  </conditionalFormatting>
  <conditionalFormatting sqref="E13">
    <cfRule type="notContainsBlanks" dxfId="3904" priority="419">
      <formula>LEN(TRIM(E13))&gt;0</formula>
    </cfRule>
  </conditionalFormatting>
  <conditionalFormatting sqref="D13">
    <cfRule type="notContainsBlanks" dxfId="3903" priority="418">
      <formula>LEN(TRIM(D13))&gt;0</formula>
    </cfRule>
  </conditionalFormatting>
  <conditionalFormatting sqref="C13">
    <cfRule type="notContainsBlanks" dxfId="3902" priority="417">
      <formula>LEN(TRIM(C13))&gt;0</formula>
    </cfRule>
  </conditionalFormatting>
  <conditionalFormatting sqref="I13">
    <cfRule type="notContainsBlanks" dxfId="3901" priority="416">
      <formula>LEN(TRIM(I13))&gt;0</formula>
    </cfRule>
  </conditionalFormatting>
  <conditionalFormatting sqref="J13:J15">
    <cfRule type="cellIs" dxfId="3900" priority="414" operator="equal">
      <formula>"NO CUMPLE"</formula>
    </cfRule>
    <cfRule type="cellIs" dxfId="3899" priority="415" operator="equal">
      <formula>"CUMPLE"</formula>
    </cfRule>
  </conditionalFormatting>
  <conditionalFormatting sqref="N13">
    <cfRule type="expression" dxfId="3898" priority="411">
      <formula>N13=" "</formula>
    </cfRule>
    <cfRule type="expression" dxfId="3897" priority="412">
      <formula>N13="NO PRESENTÓ CERTIFICADO"</formula>
    </cfRule>
    <cfRule type="expression" dxfId="3896" priority="413">
      <formula>N13="PRESENTÓ CERTIFICADO"</formula>
    </cfRule>
  </conditionalFormatting>
  <conditionalFormatting sqref="P13">
    <cfRule type="expression" dxfId="3895" priority="398">
      <formula>Q13="NO SUBSANABLE"</formula>
    </cfRule>
    <cfRule type="expression" dxfId="3894" priority="400">
      <formula>Q13="REQUERIMIENTOS SUBSANADOS"</formula>
    </cfRule>
    <cfRule type="expression" dxfId="3893" priority="401">
      <formula>Q13="PENDIENTES POR SUBSANAR"</formula>
    </cfRule>
    <cfRule type="expression" dxfId="3892" priority="406">
      <formula>Q13="SIN OBSERVACIÓN"</formula>
    </cfRule>
    <cfRule type="containsBlanks" dxfId="3891" priority="407">
      <formula>LEN(TRIM(P13))=0</formula>
    </cfRule>
  </conditionalFormatting>
  <conditionalFormatting sqref="O13">
    <cfRule type="cellIs" dxfId="3890" priority="388" operator="equal">
      <formula>"PENDIENTE POR DESCRIPCIÓN"</formula>
    </cfRule>
    <cfRule type="cellIs" dxfId="3889" priority="389" operator="equal">
      <formula>"DESCRIPCIÓN INSUFICIENTE"</formula>
    </cfRule>
    <cfRule type="cellIs" dxfId="3888" priority="390" operator="equal">
      <formula>"NO ESTÁ ACORDE A ITEM 5.2.2 (T.R.)"</formula>
    </cfRule>
    <cfRule type="cellIs" dxfId="3887" priority="391" operator="equal">
      <formula>"ACORDE A ITEM 5.2.2 (T.R.)"</formula>
    </cfRule>
    <cfRule type="cellIs" dxfId="3886" priority="399" operator="equal">
      <formula>"PENDIENTE POR DESCRIPCIÓN"</formula>
    </cfRule>
    <cfRule type="cellIs" dxfId="3885" priority="403" operator="equal">
      <formula>"DESCRIPCIÓN INSUFICIENTE"</formula>
    </cfRule>
    <cfRule type="cellIs" dxfId="3884" priority="404" operator="equal">
      <formula>"NO ESTÁ ACORDE A ITEM 5.2.1 (T.R.)"</formula>
    </cfRule>
    <cfRule type="cellIs" dxfId="3883" priority="405" operator="equal">
      <formula>"ACORDE A ITEM 5.2.1 (T.R.)"</formula>
    </cfRule>
  </conditionalFormatting>
  <conditionalFormatting sqref="Q13">
    <cfRule type="containsBlanks" dxfId="3882" priority="393">
      <formula>LEN(TRIM(Q13))=0</formula>
    </cfRule>
    <cfRule type="cellIs" dxfId="3881" priority="402" operator="equal">
      <formula>"REQUERIMIENTOS SUBSANADOS"</formula>
    </cfRule>
    <cfRule type="containsText" dxfId="3880" priority="408" operator="containsText" text="NO SUBSANABLE">
      <formula>NOT(ISERROR(SEARCH("NO SUBSANABLE",Q13)))</formula>
    </cfRule>
    <cfRule type="containsText" dxfId="3879" priority="409" operator="containsText" text="PENDIENTES POR SUBSANAR">
      <formula>NOT(ISERROR(SEARCH("PENDIENTES POR SUBSANAR",Q13)))</formula>
    </cfRule>
    <cfRule type="containsText" dxfId="3878" priority="410" operator="containsText" text="SIN OBSERVACIÓN">
      <formula>NOT(ISERROR(SEARCH("SIN OBSERVACIÓN",Q13)))</formula>
    </cfRule>
  </conditionalFormatting>
  <conditionalFormatting sqref="R13">
    <cfRule type="containsBlanks" dxfId="3877" priority="392">
      <formula>LEN(TRIM(R13))=0</formula>
    </cfRule>
    <cfRule type="cellIs" dxfId="3876" priority="394" operator="equal">
      <formula>"NO CUMPLEN CON LO SOLICITADO"</formula>
    </cfRule>
    <cfRule type="cellIs" dxfId="3875" priority="395" operator="equal">
      <formula>"CUMPLEN CON LO SOLICITADO"</formula>
    </cfRule>
    <cfRule type="cellIs" dxfId="3874" priority="396" operator="equal">
      <formula>"PENDIENTES"</formula>
    </cfRule>
    <cfRule type="cellIs" dxfId="3873" priority="397" operator="equal">
      <formula>"NINGUNO"</formula>
    </cfRule>
  </conditionalFormatting>
  <conditionalFormatting sqref="U101:U115">
    <cfRule type="cellIs" dxfId="3872" priority="384" operator="equal">
      <formula>0</formula>
    </cfRule>
    <cfRule type="cellIs" dxfId="3871" priority="385" operator="equal">
      <formula>1</formula>
    </cfRule>
  </conditionalFormatting>
  <conditionalFormatting sqref="U79:U93">
    <cfRule type="cellIs" dxfId="3870" priority="382" operator="equal">
      <formula>0</formula>
    </cfRule>
    <cfRule type="cellIs" dxfId="3869" priority="383" operator="equal">
      <formula>1</formula>
    </cfRule>
  </conditionalFormatting>
  <conditionalFormatting sqref="U57:U71">
    <cfRule type="cellIs" dxfId="3868" priority="380" operator="equal">
      <formula>0</formula>
    </cfRule>
    <cfRule type="cellIs" dxfId="3867" priority="381" operator="equal">
      <formula>1</formula>
    </cfRule>
  </conditionalFormatting>
  <conditionalFormatting sqref="U35:U49">
    <cfRule type="cellIs" dxfId="3866" priority="378" operator="equal">
      <formula>0</formula>
    </cfRule>
    <cfRule type="cellIs" dxfId="3865" priority="379" operator="equal">
      <formula>1</formula>
    </cfRule>
  </conditionalFormatting>
  <conditionalFormatting sqref="U13:U15">
    <cfRule type="cellIs" dxfId="3864" priority="376" operator="equal">
      <formula>0</formula>
    </cfRule>
    <cfRule type="cellIs" dxfId="3863" priority="377" operator="equal">
      <formula>1</formula>
    </cfRule>
  </conditionalFormatting>
  <conditionalFormatting sqref="H35 H38">
    <cfRule type="notContainsBlanks" dxfId="3862" priority="375">
      <formula>LEN(TRIM(H35))&gt;0</formula>
    </cfRule>
  </conditionalFormatting>
  <conditionalFormatting sqref="G35">
    <cfRule type="notContainsBlanks" dxfId="3861" priority="374">
      <formula>LEN(TRIM(G35))&gt;0</formula>
    </cfRule>
  </conditionalFormatting>
  <conditionalFormatting sqref="F35">
    <cfRule type="notContainsBlanks" dxfId="3860" priority="373">
      <formula>LEN(TRIM(F35))&gt;0</formula>
    </cfRule>
  </conditionalFormatting>
  <conditionalFormatting sqref="E35">
    <cfRule type="notContainsBlanks" dxfId="3859" priority="372">
      <formula>LEN(TRIM(E35))&gt;0</formula>
    </cfRule>
  </conditionalFormatting>
  <conditionalFormatting sqref="D35">
    <cfRule type="notContainsBlanks" dxfId="3858" priority="371">
      <formula>LEN(TRIM(D35))&gt;0</formula>
    </cfRule>
  </conditionalFormatting>
  <conditionalFormatting sqref="C35">
    <cfRule type="notContainsBlanks" dxfId="3857" priority="370">
      <formula>LEN(TRIM(C35))&gt;0</formula>
    </cfRule>
  </conditionalFormatting>
  <conditionalFormatting sqref="I35">
    <cfRule type="notContainsBlanks" dxfId="3856" priority="369">
      <formula>LEN(TRIM(I35))&gt;0</formula>
    </cfRule>
  </conditionalFormatting>
  <conditionalFormatting sqref="G38">
    <cfRule type="notContainsBlanks" dxfId="3855" priority="368">
      <formula>LEN(TRIM(G38))&gt;0</formula>
    </cfRule>
  </conditionalFormatting>
  <conditionalFormatting sqref="F38">
    <cfRule type="notContainsBlanks" dxfId="3854" priority="367">
      <formula>LEN(TRIM(F38))&gt;0</formula>
    </cfRule>
  </conditionalFormatting>
  <conditionalFormatting sqref="E38">
    <cfRule type="notContainsBlanks" dxfId="3853" priority="366">
      <formula>LEN(TRIM(E38))&gt;0</formula>
    </cfRule>
  </conditionalFormatting>
  <conditionalFormatting sqref="D38">
    <cfRule type="notContainsBlanks" dxfId="3852" priority="365">
      <formula>LEN(TRIM(D38))&gt;0</formula>
    </cfRule>
  </conditionalFormatting>
  <conditionalFormatting sqref="C38">
    <cfRule type="notContainsBlanks" dxfId="3851" priority="364">
      <formula>LEN(TRIM(C38))&gt;0</formula>
    </cfRule>
  </conditionalFormatting>
  <conditionalFormatting sqref="I38">
    <cfRule type="notContainsBlanks" dxfId="3850" priority="363">
      <formula>LEN(TRIM(I38))&gt;0</formula>
    </cfRule>
  </conditionalFormatting>
  <conditionalFormatting sqref="J35:J40">
    <cfRule type="cellIs" dxfId="3849" priority="361" operator="equal">
      <formula>"NO CUMPLE"</formula>
    </cfRule>
    <cfRule type="cellIs" dxfId="3848" priority="362" operator="equal">
      <formula>"CUMPLE"</formula>
    </cfRule>
  </conditionalFormatting>
  <conditionalFormatting sqref="N35">
    <cfRule type="expression" dxfId="3847" priority="358">
      <formula>N35=" "</formula>
    </cfRule>
    <cfRule type="expression" dxfId="3846" priority="359">
      <formula>N35="NO PRESENTÓ CERTIFICADO"</formula>
    </cfRule>
    <cfRule type="expression" dxfId="3845" priority="360">
      <formula>N35="PRESENTÓ CERTIFICADO"</formula>
    </cfRule>
  </conditionalFormatting>
  <conditionalFormatting sqref="Q35">
    <cfRule type="containsBlanks" dxfId="3844" priority="345">
      <formula>LEN(TRIM(Q35))=0</formula>
    </cfRule>
    <cfRule type="cellIs" dxfId="3843" priority="351" operator="equal">
      <formula>"REQUERIMIENTOS SUBSANADOS"</formula>
    </cfRule>
    <cfRule type="containsText" dxfId="3842" priority="355" operator="containsText" text="NO SUBSANABLE">
      <formula>NOT(ISERROR(SEARCH("NO SUBSANABLE",Q35)))</formula>
    </cfRule>
    <cfRule type="containsText" dxfId="3841" priority="356" operator="containsText" text="PENDIENTES POR SUBSANAR">
      <formula>NOT(ISERROR(SEARCH("PENDIENTES POR SUBSANAR",Q35)))</formula>
    </cfRule>
    <cfRule type="containsText" dxfId="3840" priority="357" operator="containsText" text="SIN OBSERVACIÓN">
      <formula>NOT(ISERROR(SEARCH("SIN OBSERVACIÓN",Q35)))</formula>
    </cfRule>
  </conditionalFormatting>
  <conditionalFormatting sqref="R35">
    <cfRule type="containsBlanks" dxfId="3839" priority="344">
      <formula>LEN(TRIM(R35))=0</formula>
    </cfRule>
    <cfRule type="cellIs" dxfId="3838" priority="346" operator="equal">
      <formula>"NO CUMPLEN CON LO SOLICITADO"</formula>
    </cfRule>
    <cfRule type="cellIs" dxfId="3837" priority="347" operator="equal">
      <formula>"CUMPLEN CON LO SOLICITADO"</formula>
    </cfRule>
    <cfRule type="cellIs" dxfId="3836" priority="348" operator="equal">
      <formula>"PENDIENTES"</formula>
    </cfRule>
    <cfRule type="cellIs" dxfId="3835" priority="349" operator="equal">
      <formula>"NINGUNO"</formula>
    </cfRule>
  </conditionalFormatting>
  <conditionalFormatting sqref="P35">
    <cfRule type="expression" dxfId="3834" priority="335">
      <formula>Q35="NO SUBSANABLE"</formula>
    </cfRule>
    <cfRule type="expression" dxfId="3833" priority="336">
      <formula>Q35="REQUERIMIENTOS SUBSANADOS"</formula>
    </cfRule>
    <cfRule type="expression" dxfId="3832" priority="337">
      <formula>Q35="PENDIENTES POR SUBSANAR"</formula>
    </cfRule>
    <cfRule type="expression" dxfId="3831" priority="338">
      <formula>Q35="SIN OBSERVACIÓN"</formula>
    </cfRule>
    <cfRule type="containsBlanks" dxfId="3830" priority="339">
      <formula>LEN(TRIM(P35))=0</formula>
    </cfRule>
  </conditionalFormatting>
  <conditionalFormatting sqref="N38">
    <cfRule type="expression" dxfId="3829" priority="332">
      <formula>N38=" "</formula>
    </cfRule>
    <cfRule type="expression" dxfId="3828" priority="333">
      <formula>N38="NO PRESENTÓ CERTIFICADO"</formula>
    </cfRule>
    <cfRule type="expression" dxfId="3827" priority="334">
      <formula>N38="PRESENTÓ CERTIFICADO"</formula>
    </cfRule>
  </conditionalFormatting>
  <conditionalFormatting sqref="Q38">
    <cfRule type="containsBlanks" dxfId="3826" priority="319">
      <formula>LEN(TRIM(Q38))=0</formula>
    </cfRule>
    <cfRule type="cellIs" dxfId="3825" priority="325" operator="equal">
      <formula>"REQUERIMIENTOS SUBSANADOS"</formula>
    </cfRule>
    <cfRule type="containsText" dxfId="3824" priority="329" operator="containsText" text="NO SUBSANABLE">
      <formula>NOT(ISERROR(SEARCH("NO SUBSANABLE",Q38)))</formula>
    </cfRule>
    <cfRule type="containsText" dxfId="3823" priority="330" operator="containsText" text="PENDIENTES POR SUBSANAR">
      <formula>NOT(ISERROR(SEARCH("PENDIENTES POR SUBSANAR",Q38)))</formula>
    </cfRule>
    <cfRule type="containsText" dxfId="3822" priority="331" operator="containsText" text="SIN OBSERVACIÓN">
      <formula>NOT(ISERROR(SEARCH("SIN OBSERVACIÓN",Q38)))</formula>
    </cfRule>
  </conditionalFormatting>
  <conditionalFormatting sqref="R38">
    <cfRule type="containsBlanks" dxfId="3821" priority="318">
      <formula>LEN(TRIM(R38))=0</formula>
    </cfRule>
    <cfRule type="cellIs" dxfId="3820" priority="320" operator="equal">
      <formula>"NO CUMPLEN CON LO SOLICITADO"</formula>
    </cfRule>
    <cfRule type="cellIs" dxfId="3819" priority="321" operator="equal">
      <formula>"CUMPLEN CON LO SOLICITADO"</formula>
    </cfRule>
    <cfRule type="cellIs" dxfId="3818" priority="322" operator="equal">
      <formula>"PENDIENTES"</formula>
    </cfRule>
    <cfRule type="cellIs" dxfId="3817" priority="323" operator="equal">
      <formula>"NINGUNO"</formula>
    </cfRule>
  </conditionalFormatting>
  <conditionalFormatting sqref="P38">
    <cfRule type="expression" dxfId="3816" priority="309">
      <formula>Q38="NO SUBSANABLE"</formula>
    </cfRule>
    <cfRule type="expression" dxfId="3815" priority="310">
      <formula>Q38="REQUERIMIENTOS SUBSANADOS"</formula>
    </cfRule>
    <cfRule type="expression" dxfId="3814" priority="311">
      <formula>Q38="PENDIENTES POR SUBSANAR"</formula>
    </cfRule>
    <cfRule type="expression" dxfId="3813" priority="312">
      <formula>Q38="SIN OBSERVACIÓN"</formula>
    </cfRule>
    <cfRule type="containsBlanks" dxfId="3812" priority="313">
      <formula>LEN(TRIM(P38))=0</formula>
    </cfRule>
  </conditionalFormatting>
  <conditionalFormatting sqref="H57 H60 H63 H66 H69">
    <cfRule type="notContainsBlanks" dxfId="3811" priority="306">
      <formula>LEN(TRIM(H57))&gt;0</formula>
    </cfRule>
  </conditionalFormatting>
  <conditionalFormatting sqref="G57">
    <cfRule type="notContainsBlanks" dxfId="3810" priority="305">
      <formula>LEN(TRIM(G57))&gt;0</formula>
    </cfRule>
  </conditionalFormatting>
  <conditionalFormatting sqref="F57">
    <cfRule type="notContainsBlanks" dxfId="3809" priority="304">
      <formula>LEN(TRIM(F57))&gt;0</formula>
    </cfRule>
  </conditionalFormatting>
  <conditionalFormatting sqref="E57">
    <cfRule type="notContainsBlanks" dxfId="3808" priority="303">
      <formula>LEN(TRIM(E57))&gt;0</formula>
    </cfRule>
  </conditionalFormatting>
  <conditionalFormatting sqref="D57">
    <cfRule type="notContainsBlanks" dxfId="3807" priority="302">
      <formula>LEN(TRIM(D57))&gt;0</formula>
    </cfRule>
  </conditionalFormatting>
  <conditionalFormatting sqref="C57">
    <cfRule type="notContainsBlanks" dxfId="3806" priority="301">
      <formula>LEN(TRIM(C57))&gt;0</formula>
    </cfRule>
  </conditionalFormatting>
  <conditionalFormatting sqref="G63">
    <cfRule type="notContainsBlanks" dxfId="3805" priority="300">
      <formula>LEN(TRIM(G63))&gt;0</formula>
    </cfRule>
  </conditionalFormatting>
  <conditionalFormatting sqref="F63">
    <cfRule type="notContainsBlanks" dxfId="3804" priority="299">
      <formula>LEN(TRIM(F63))&gt;0</formula>
    </cfRule>
  </conditionalFormatting>
  <conditionalFormatting sqref="E63">
    <cfRule type="notContainsBlanks" dxfId="3803" priority="298">
      <formula>LEN(TRIM(E63))&gt;0</formula>
    </cfRule>
  </conditionalFormatting>
  <conditionalFormatting sqref="D63">
    <cfRule type="notContainsBlanks" dxfId="3802" priority="297">
      <formula>LEN(TRIM(D63))&gt;0</formula>
    </cfRule>
  </conditionalFormatting>
  <conditionalFormatting sqref="C63">
    <cfRule type="notContainsBlanks" dxfId="3801" priority="296">
      <formula>LEN(TRIM(C63))&gt;0</formula>
    </cfRule>
  </conditionalFormatting>
  <conditionalFormatting sqref="I63">
    <cfRule type="notContainsBlanks" dxfId="3800" priority="295">
      <formula>LEN(TRIM(I63))&gt;0</formula>
    </cfRule>
  </conditionalFormatting>
  <conditionalFormatting sqref="G69">
    <cfRule type="notContainsBlanks" dxfId="3799" priority="294">
      <formula>LEN(TRIM(G69))&gt;0</formula>
    </cfRule>
  </conditionalFormatting>
  <conditionalFormatting sqref="F69">
    <cfRule type="notContainsBlanks" dxfId="3798" priority="293">
      <formula>LEN(TRIM(F69))&gt;0</formula>
    </cfRule>
  </conditionalFormatting>
  <conditionalFormatting sqref="E69">
    <cfRule type="notContainsBlanks" dxfId="3797" priority="292">
      <formula>LEN(TRIM(E69))&gt;0</formula>
    </cfRule>
  </conditionalFormatting>
  <conditionalFormatting sqref="D69">
    <cfRule type="notContainsBlanks" dxfId="3796" priority="291">
      <formula>LEN(TRIM(D69))&gt;0</formula>
    </cfRule>
  </conditionalFormatting>
  <conditionalFormatting sqref="C69">
    <cfRule type="notContainsBlanks" dxfId="3795" priority="290">
      <formula>LEN(TRIM(C69))&gt;0</formula>
    </cfRule>
  </conditionalFormatting>
  <conditionalFormatting sqref="I69">
    <cfRule type="notContainsBlanks" dxfId="3794" priority="289">
      <formula>LEN(TRIM(I69))&gt;0</formula>
    </cfRule>
  </conditionalFormatting>
  <conditionalFormatting sqref="G60">
    <cfRule type="notContainsBlanks" dxfId="3793" priority="288">
      <formula>LEN(TRIM(G60))&gt;0</formula>
    </cfRule>
  </conditionalFormatting>
  <conditionalFormatting sqref="F60">
    <cfRule type="notContainsBlanks" dxfId="3792" priority="287">
      <formula>LEN(TRIM(F60))&gt;0</formula>
    </cfRule>
  </conditionalFormatting>
  <conditionalFormatting sqref="E60">
    <cfRule type="notContainsBlanks" dxfId="3791" priority="286">
      <formula>LEN(TRIM(E60))&gt;0</formula>
    </cfRule>
  </conditionalFormatting>
  <conditionalFormatting sqref="D60">
    <cfRule type="notContainsBlanks" dxfId="3790" priority="285">
      <formula>LEN(TRIM(D60))&gt;0</formula>
    </cfRule>
  </conditionalFormatting>
  <conditionalFormatting sqref="C60">
    <cfRule type="notContainsBlanks" dxfId="3789" priority="284">
      <formula>LEN(TRIM(C60))&gt;0</formula>
    </cfRule>
  </conditionalFormatting>
  <conditionalFormatting sqref="G66">
    <cfRule type="notContainsBlanks" dxfId="3788" priority="283">
      <formula>LEN(TRIM(G66))&gt;0</formula>
    </cfRule>
  </conditionalFormatting>
  <conditionalFormatting sqref="F66">
    <cfRule type="notContainsBlanks" dxfId="3787" priority="282">
      <formula>LEN(TRIM(F66))&gt;0</formula>
    </cfRule>
  </conditionalFormatting>
  <conditionalFormatting sqref="E66">
    <cfRule type="notContainsBlanks" dxfId="3786" priority="281">
      <formula>LEN(TRIM(E66))&gt;0</formula>
    </cfRule>
  </conditionalFormatting>
  <conditionalFormatting sqref="D66">
    <cfRule type="notContainsBlanks" dxfId="3785" priority="280">
      <formula>LEN(TRIM(D66))&gt;0</formula>
    </cfRule>
  </conditionalFormatting>
  <conditionalFormatting sqref="C66">
    <cfRule type="notContainsBlanks" dxfId="3784" priority="279">
      <formula>LEN(TRIM(C66))&gt;0</formula>
    </cfRule>
  </conditionalFormatting>
  <conditionalFormatting sqref="I60">
    <cfRule type="notContainsBlanks" dxfId="3783" priority="278">
      <formula>LEN(TRIM(I60))&gt;0</formula>
    </cfRule>
  </conditionalFormatting>
  <conditionalFormatting sqref="I66">
    <cfRule type="notContainsBlanks" dxfId="3782" priority="277">
      <formula>LEN(TRIM(I66))&gt;0</formula>
    </cfRule>
  </conditionalFormatting>
  <conditionalFormatting sqref="I57">
    <cfRule type="notContainsBlanks" dxfId="3781" priority="276">
      <formula>LEN(TRIM(I57))&gt;0</formula>
    </cfRule>
  </conditionalFormatting>
  <conditionalFormatting sqref="J57:J68">
    <cfRule type="cellIs" dxfId="3780" priority="274" operator="equal">
      <formula>"NO CUMPLE"</formula>
    </cfRule>
    <cfRule type="cellIs" dxfId="3779" priority="275" operator="equal">
      <formula>"CUMPLE"</formula>
    </cfRule>
  </conditionalFormatting>
  <conditionalFormatting sqref="J69">
    <cfRule type="cellIs" dxfId="3778" priority="272" operator="equal">
      <formula>"NO CUMPLE"</formula>
    </cfRule>
    <cfRule type="cellIs" dxfId="3777" priority="273" operator="equal">
      <formula>"CUMPLE"</formula>
    </cfRule>
  </conditionalFormatting>
  <conditionalFormatting sqref="J70:J71">
    <cfRule type="cellIs" dxfId="3776" priority="270" operator="equal">
      <formula>"NO CUMPLE"</formula>
    </cfRule>
    <cfRule type="cellIs" dxfId="3775" priority="271" operator="equal">
      <formula>"CUMPLE"</formula>
    </cfRule>
  </conditionalFormatting>
  <conditionalFormatting sqref="N66 N69">
    <cfRule type="expression" dxfId="3774" priority="267">
      <formula>N66=" "</formula>
    </cfRule>
    <cfRule type="expression" dxfId="3773" priority="268">
      <formula>N66="NO PRESENTÓ CERTIFICADO"</formula>
    </cfRule>
    <cfRule type="expression" dxfId="3772" priority="269">
      <formula>N66="PRESENTÓ CERTIFICADO"</formula>
    </cfRule>
  </conditionalFormatting>
  <conditionalFormatting sqref="Q66">
    <cfRule type="containsBlanks" dxfId="3771" priority="254">
      <formula>LEN(TRIM(Q66))=0</formula>
    </cfRule>
    <cfRule type="cellIs" dxfId="3770" priority="260" operator="equal">
      <formula>"REQUERIMIENTOS SUBSANADOS"</formula>
    </cfRule>
    <cfRule type="containsText" dxfId="3769" priority="264" operator="containsText" text="NO SUBSANABLE">
      <formula>NOT(ISERROR(SEARCH("NO SUBSANABLE",Q66)))</formula>
    </cfRule>
    <cfRule type="containsText" dxfId="3768" priority="265" operator="containsText" text="PENDIENTES POR SUBSANAR">
      <formula>NOT(ISERROR(SEARCH("PENDIENTES POR SUBSANAR",Q66)))</formula>
    </cfRule>
    <cfRule type="containsText" dxfId="3767" priority="266" operator="containsText" text="SIN OBSERVACIÓN">
      <formula>NOT(ISERROR(SEARCH("SIN OBSERVACIÓN",Q66)))</formula>
    </cfRule>
  </conditionalFormatting>
  <conditionalFormatting sqref="R66">
    <cfRule type="containsBlanks" dxfId="3766" priority="253">
      <formula>LEN(TRIM(R66))=0</formula>
    </cfRule>
    <cfRule type="cellIs" dxfId="3765" priority="255" operator="equal">
      <formula>"NO CUMPLEN CON LO SOLICITADO"</formula>
    </cfRule>
    <cfRule type="cellIs" dxfId="3764" priority="256" operator="equal">
      <formula>"CUMPLEN CON LO SOLICITADO"</formula>
    </cfRule>
    <cfRule type="cellIs" dxfId="3763" priority="257" operator="equal">
      <formula>"PENDIENTES"</formula>
    </cfRule>
    <cfRule type="cellIs" dxfId="3762" priority="258" operator="equal">
      <formula>"NINGUNO"</formula>
    </cfRule>
  </conditionalFormatting>
  <conditionalFormatting sqref="P66">
    <cfRule type="expression" dxfId="3761" priority="244">
      <formula>Q66="NO SUBSANABLE"</formula>
    </cfRule>
    <cfRule type="expression" dxfId="3760" priority="245">
      <formula>Q66="REQUERIMIENTOS SUBSANADOS"</formula>
    </cfRule>
    <cfRule type="expression" dxfId="3759" priority="246">
      <formula>Q66="PENDIENTES POR SUBSANAR"</formula>
    </cfRule>
    <cfRule type="expression" dxfId="3758" priority="247">
      <formula>Q66="SIN OBSERVACIÓN"</formula>
    </cfRule>
    <cfRule type="containsBlanks" dxfId="3757" priority="248">
      <formula>LEN(TRIM(P66))=0</formula>
    </cfRule>
  </conditionalFormatting>
  <conditionalFormatting sqref="N57">
    <cfRule type="expression" dxfId="3756" priority="241">
      <formula>N57=" "</formula>
    </cfRule>
    <cfRule type="expression" dxfId="3755" priority="242">
      <formula>N57="NO PRESENTÓ CERTIFICADO"</formula>
    </cfRule>
    <cfRule type="expression" dxfId="3754" priority="243">
      <formula>N57="PRESENTÓ CERTIFICADO"</formula>
    </cfRule>
  </conditionalFormatting>
  <conditionalFormatting sqref="Q57">
    <cfRule type="containsBlanks" dxfId="3753" priority="228">
      <formula>LEN(TRIM(Q57))=0</formula>
    </cfRule>
    <cfRule type="cellIs" dxfId="3752" priority="234" operator="equal">
      <formula>"REQUERIMIENTOS SUBSANADOS"</formula>
    </cfRule>
    <cfRule type="containsText" dxfId="3751" priority="238" operator="containsText" text="NO SUBSANABLE">
      <formula>NOT(ISERROR(SEARCH("NO SUBSANABLE",Q57)))</formula>
    </cfRule>
    <cfRule type="containsText" dxfId="3750" priority="239" operator="containsText" text="PENDIENTES POR SUBSANAR">
      <formula>NOT(ISERROR(SEARCH("PENDIENTES POR SUBSANAR",Q57)))</formula>
    </cfRule>
    <cfRule type="containsText" dxfId="3749" priority="240" operator="containsText" text="SIN OBSERVACIÓN">
      <formula>NOT(ISERROR(SEARCH("SIN OBSERVACIÓN",Q57)))</formula>
    </cfRule>
  </conditionalFormatting>
  <conditionalFormatting sqref="R57">
    <cfRule type="containsBlanks" dxfId="3748" priority="227">
      <formula>LEN(TRIM(R57))=0</formula>
    </cfRule>
    <cfRule type="cellIs" dxfId="3747" priority="229" operator="equal">
      <formula>"NO CUMPLEN CON LO SOLICITADO"</formula>
    </cfRule>
    <cfRule type="cellIs" dxfId="3746" priority="230" operator="equal">
      <formula>"CUMPLEN CON LO SOLICITADO"</formula>
    </cfRule>
    <cfRule type="cellIs" dxfId="3745" priority="231" operator="equal">
      <formula>"PENDIENTES"</formula>
    </cfRule>
    <cfRule type="cellIs" dxfId="3744" priority="232" operator="equal">
      <formula>"NINGUNO"</formula>
    </cfRule>
  </conditionalFormatting>
  <conditionalFormatting sqref="P57">
    <cfRule type="expression" dxfId="3743" priority="218">
      <formula>Q57="NO SUBSANABLE"</formula>
    </cfRule>
    <cfRule type="expression" dxfId="3742" priority="219">
      <formula>Q57="REQUERIMIENTOS SUBSANADOS"</formula>
    </cfRule>
    <cfRule type="expression" dxfId="3741" priority="220">
      <formula>Q57="PENDIENTES POR SUBSANAR"</formula>
    </cfRule>
    <cfRule type="expression" dxfId="3740" priority="221">
      <formula>Q57="SIN OBSERVACIÓN"</formula>
    </cfRule>
    <cfRule type="containsBlanks" dxfId="3739" priority="222">
      <formula>LEN(TRIM(P57))=0</formula>
    </cfRule>
  </conditionalFormatting>
  <conditionalFormatting sqref="N60">
    <cfRule type="expression" dxfId="3738" priority="215">
      <formula>N60=" "</formula>
    </cfRule>
    <cfRule type="expression" dxfId="3737" priority="216">
      <formula>N60="NO PRESENTÓ CERTIFICADO"</formula>
    </cfRule>
    <cfRule type="expression" dxfId="3736" priority="217">
      <formula>N60="PRESENTÓ CERTIFICADO"</formula>
    </cfRule>
  </conditionalFormatting>
  <conditionalFormatting sqref="Q60">
    <cfRule type="containsBlanks" dxfId="3735" priority="202">
      <formula>LEN(TRIM(Q60))=0</formula>
    </cfRule>
    <cfRule type="cellIs" dxfId="3734" priority="208" operator="equal">
      <formula>"REQUERIMIENTOS SUBSANADOS"</formula>
    </cfRule>
    <cfRule type="containsText" dxfId="3733" priority="212" operator="containsText" text="NO SUBSANABLE">
      <formula>NOT(ISERROR(SEARCH("NO SUBSANABLE",Q60)))</formula>
    </cfRule>
    <cfRule type="containsText" dxfId="3732" priority="213" operator="containsText" text="PENDIENTES POR SUBSANAR">
      <formula>NOT(ISERROR(SEARCH("PENDIENTES POR SUBSANAR",Q60)))</formula>
    </cfRule>
    <cfRule type="containsText" dxfId="3731" priority="214" operator="containsText" text="SIN OBSERVACIÓN">
      <formula>NOT(ISERROR(SEARCH("SIN OBSERVACIÓN",Q60)))</formula>
    </cfRule>
  </conditionalFormatting>
  <conditionalFormatting sqref="R60">
    <cfRule type="containsBlanks" dxfId="3730" priority="201">
      <formula>LEN(TRIM(R60))=0</formula>
    </cfRule>
    <cfRule type="cellIs" dxfId="3729" priority="203" operator="equal">
      <formula>"NO CUMPLEN CON LO SOLICITADO"</formula>
    </cfRule>
    <cfRule type="cellIs" dxfId="3728" priority="204" operator="equal">
      <formula>"CUMPLEN CON LO SOLICITADO"</formula>
    </cfRule>
    <cfRule type="cellIs" dxfId="3727" priority="205" operator="equal">
      <formula>"PENDIENTES"</formula>
    </cfRule>
    <cfRule type="cellIs" dxfId="3726" priority="206" operator="equal">
      <formula>"NINGUNO"</formula>
    </cfRule>
  </conditionalFormatting>
  <conditionalFormatting sqref="P60">
    <cfRule type="expression" dxfId="3725" priority="192">
      <formula>Q60="NO SUBSANABLE"</formula>
    </cfRule>
    <cfRule type="expression" dxfId="3724" priority="193">
      <formula>Q60="REQUERIMIENTOS SUBSANADOS"</formula>
    </cfRule>
    <cfRule type="expression" dxfId="3723" priority="194">
      <formula>Q60="PENDIENTES POR SUBSANAR"</formula>
    </cfRule>
    <cfRule type="expression" dxfId="3722" priority="195">
      <formula>Q60="SIN OBSERVACIÓN"</formula>
    </cfRule>
    <cfRule type="containsBlanks" dxfId="3721" priority="196">
      <formula>LEN(TRIM(P60))=0</formula>
    </cfRule>
  </conditionalFormatting>
  <conditionalFormatting sqref="N63">
    <cfRule type="expression" dxfId="3720" priority="189">
      <formula>N63=" "</formula>
    </cfRule>
    <cfRule type="expression" dxfId="3719" priority="190">
      <formula>N63="NO PRESENTÓ CERTIFICADO"</formula>
    </cfRule>
    <cfRule type="expression" dxfId="3718" priority="191">
      <formula>N63="PRESENTÓ CERTIFICADO"</formula>
    </cfRule>
  </conditionalFormatting>
  <conditionalFormatting sqref="Q63">
    <cfRule type="containsBlanks" dxfId="3717" priority="176">
      <formula>LEN(TRIM(Q63))=0</formula>
    </cfRule>
    <cfRule type="cellIs" dxfId="3716" priority="182" operator="equal">
      <formula>"REQUERIMIENTOS SUBSANADOS"</formula>
    </cfRule>
    <cfRule type="containsText" dxfId="3715" priority="186" operator="containsText" text="NO SUBSANABLE">
      <formula>NOT(ISERROR(SEARCH("NO SUBSANABLE",Q63)))</formula>
    </cfRule>
    <cfRule type="containsText" dxfId="3714" priority="187" operator="containsText" text="PENDIENTES POR SUBSANAR">
      <formula>NOT(ISERROR(SEARCH("PENDIENTES POR SUBSANAR",Q63)))</formula>
    </cfRule>
    <cfRule type="containsText" dxfId="3713" priority="188" operator="containsText" text="SIN OBSERVACIÓN">
      <formula>NOT(ISERROR(SEARCH("SIN OBSERVACIÓN",Q63)))</formula>
    </cfRule>
  </conditionalFormatting>
  <conditionalFormatting sqref="R63">
    <cfRule type="containsBlanks" dxfId="3712" priority="175">
      <formula>LEN(TRIM(R63))=0</formula>
    </cfRule>
    <cfRule type="cellIs" dxfId="3711" priority="177" operator="equal">
      <formula>"NO CUMPLEN CON LO SOLICITADO"</formula>
    </cfRule>
    <cfRule type="cellIs" dxfId="3710" priority="178" operator="equal">
      <formula>"CUMPLEN CON LO SOLICITADO"</formula>
    </cfRule>
    <cfRule type="cellIs" dxfId="3709" priority="179" operator="equal">
      <formula>"PENDIENTES"</formula>
    </cfRule>
    <cfRule type="cellIs" dxfId="3708" priority="180" operator="equal">
      <formula>"NINGUNO"</formula>
    </cfRule>
  </conditionalFormatting>
  <conditionalFormatting sqref="P63">
    <cfRule type="expression" dxfId="3707" priority="166">
      <formula>Q63="NO SUBSANABLE"</formula>
    </cfRule>
    <cfRule type="expression" dxfId="3706" priority="167">
      <formula>Q63="REQUERIMIENTOS SUBSANADOS"</formula>
    </cfRule>
    <cfRule type="expression" dxfId="3705" priority="168">
      <formula>Q63="PENDIENTES POR SUBSANAR"</formula>
    </cfRule>
    <cfRule type="expression" dxfId="3704" priority="169">
      <formula>Q63="SIN OBSERVACIÓN"</formula>
    </cfRule>
    <cfRule type="containsBlanks" dxfId="3703" priority="170">
      <formula>LEN(TRIM(P63))=0</formula>
    </cfRule>
  </conditionalFormatting>
  <conditionalFormatting sqref="Q69">
    <cfRule type="containsBlanks" dxfId="3702" priority="135">
      <formula>LEN(TRIM(Q69))=0</formula>
    </cfRule>
    <cfRule type="cellIs" dxfId="3701" priority="141" operator="equal">
      <formula>"REQUERIMIENTOS SUBSANADOS"</formula>
    </cfRule>
    <cfRule type="containsText" dxfId="3700" priority="145" operator="containsText" text="NO SUBSANABLE">
      <formula>NOT(ISERROR(SEARCH("NO SUBSANABLE",Q69)))</formula>
    </cfRule>
    <cfRule type="containsText" dxfId="3699" priority="146" operator="containsText" text="PENDIENTES POR SUBSANAR">
      <formula>NOT(ISERROR(SEARCH("PENDIENTES POR SUBSANAR",Q69)))</formula>
    </cfRule>
    <cfRule type="containsText" dxfId="3698" priority="147" operator="containsText" text="SIN OBSERVACIÓN">
      <formula>NOT(ISERROR(SEARCH("SIN OBSERVACIÓN",Q69)))</formula>
    </cfRule>
  </conditionalFormatting>
  <conditionalFormatting sqref="R69">
    <cfRule type="containsBlanks" dxfId="3697" priority="134">
      <formula>LEN(TRIM(R69))=0</formula>
    </cfRule>
    <cfRule type="cellIs" dxfId="3696" priority="136" operator="equal">
      <formula>"NO CUMPLEN CON LO SOLICITADO"</formula>
    </cfRule>
    <cfRule type="cellIs" dxfId="3695" priority="137" operator="equal">
      <formula>"CUMPLEN CON LO SOLICITADO"</formula>
    </cfRule>
    <cfRule type="cellIs" dxfId="3694" priority="138" operator="equal">
      <formula>"PENDIENTES"</formula>
    </cfRule>
    <cfRule type="cellIs" dxfId="3693" priority="139" operator="equal">
      <formula>"NINGUNO"</formula>
    </cfRule>
  </conditionalFormatting>
  <conditionalFormatting sqref="P69">
    <cfRule type="expression" dxfId="3692" priority="125">
      <formula>Q69="NO SUBSANABLE"</formula>
    </cfRule>
    <cfRule type="expression" dxfId="3691" priority="126">
      <formula>Q69="REQUERIMIENTOS SUBSANADOS"</formula>
    </cfRule>
    <cfRule type="expression" dxfId="3690" priority="127">
      <formula>Q69="PENDIENTES POR SUBSANAR"</formula>
    </cfRule>
    <cfRule type="expression" dxfId="3689" priority="128">
      <formula>Q69="SIN OBSERVACIÓN"</formula>
    </cfRule>
    <cfRule type="containsBlanks" dxfId="3688" priority="129">
      <formula>LEN(TRIM(P69))=0</formula>
    </cfRule>
  </conditionalFormatting>
  <conditionalFormatting sqref="J79:J87">
    <cfRule type="cellIs" dxfId="3687" priority="123" operator="equal">
      <formula>"NO CUMPLE"</formula>
    </cfRule>
    <cfRule type="cellIs" dxfId="3686" priority="124" operator="equal">
      <formula>"CUMPLE"</formula>
    </cfRule>
  </conditionalFormatting>
  <conditionalFormatting sqref="N79 N82">
    <cfRule type="expression" dxfId="3685" priority="120">
      <formula>N79=" "</formula>
    </cfRule>
    <cfRule type="expression" dxfId="3684" priority="121">
      <formula>N79="NO PRESENTÓ CERTIFICADO"</formula>
    </cfRule>
    <cfRule type="expression" dxfId="3683" priority="122">
      <formula>N79="PRESENTÓ CERTIFICADO"</formula>
    </cfRule>
  </conditionalFormatting>
  <conditionalFormatting sqref="Q79 Q82">
    <cfRule type="containsBlanks" dxfId="3682" priority="107">
      <formula>LEN(TRIM(Q79))=0</formula>
    </cfRule>
    <cfRule type="cellIs" dxfId="3681" priority="113" operator="equal">
      <formula>"REQUERIMIENTOS SUBSANADOS"</formula>
    </cfRule>
    <cfRule type="containsText" dxfId="3680" priority="117" operator="containsText" text="NO SUBSANABLE">
      <formula>NOT(ISERROR(SEARCH("NO SUBSANABLE",Q79)))</formula>
    </cfRule>
    <cfRule type="containsText" dxfId="3679" priority="118" operator="containsText" text="PENDIENTES POR SUBSANAR">
      <formula>NOT(ISERROR(SEARCH("PENDIENTES POR SUBSANAR",Q79)))</formula>
    </cfRule>
    <cfRule type="containsText" dxfId="3678" priority="119" operator="containsText" text="SIN OBSERVACIÓN">
      <formula>NOT(ISERROR(SEARCH("SIN OBSERVACIÓN",Q79)))</formula>
    </cfRule>
  </conditionalFormatting>
  <conditionalFormatting sqref="R79 R82">
    <cfRule type="containsBlanks" dxfId="3677" priority="106">
      <formula>LEN(TRIM(R79))=0</formula>
    </cfRule>
    <cfRule type="cellIs" dxfId="3676" priority="108" operator="equal">
      <formula>"NO CUMPLEN CON LO SOLICITADO"</formula>
    </cfRule>
    <cfRule type="cellIs" dxfId="3675" priority="109" operator="equal">
      <formula>"CUMPLEN CON LO SOLICITADO"</formula>
    </cfRule>
    <cfRule type="cellIs" dxfId="3674" priority="110" operator="equal">
      <formula>"PENDIENTES"</formula>
    </cfRule>
    <cfRule type="cellIs" dxfId="3673" priority="111" operator="equal">
      <formula>"NINGUNO"</formula>
    </cfRule>
  </conditionalFormatting>
  <conditionalFormatting sqref="P79">
    <cfRule type="expression" dxfId="3672" priority="97">
      <formula>Q79="NO SUBSANABLE"</formula>
    </cfRule>
    <cfRule type="expression" dxfId="3671" priority="98">
      <formula>Q79="REQUERIMIENTOS SUBSANADOS"</formula>
    </cfRule>
    <cfRule type="expression" dxfId="3670" priority="99">
      <formula>Q79="PENDIENTES POR SUBSANAR"</formula>
    </cfRule>
    <cfRule type="expression" dxfId="3669" priority="100">
      <formula>Q79="SIN OBSERVACIÓN"</formula>
    </cfRule>
    <cfRule type="containsBlanks" dxfId="3668" priority="101">
      <formula>LEN(TRIM(P79))=0</formula>
    </cfRule>
  </conditionalFormatting>
  <conditionalFormatting sqref="N85">
    <cfRule type="expression" dxfId="3667" priority="94">
      <formula>N85=" "</formula>
    </cfRule>
    <cfRule type="expression" dxfId="3666" priority="95">
      <formula>N85="NO PRESENTÓ CERTIFICADO"</formula>
    </cfRule>
    <cfRule type="expression" dxfId="3665" priority="96">
      <formula>N85="PRESENTÓ CERTIFICADO"</formula>
    </cfRule>
  </conditionalFormatting>
  <conditionalFormatting sqref="Q85">
    <cfRule type="containsBlanks" dxfId="3664" priority="77">
      <formula>LEN(TRIM(Q85))=0</formula>
    </cfRule>
    <cfRule type="cellIs" dxfId="3663" priority="82" operator="equal">
      <formula>"REQUERIMIENTOS SUBSANADOS"</formula>
    </cfRule>
    <cfRule type="containsText" dxfId="3662" priority="83" operator="containsText" text="NO SUBSANABLE">
      <formula>NOT(ISERROR(SEARCH("NO SUBSANABLE",Q85)))</formula>
    </cfRule>
    <cfRule type="containsText" dxfId="3661" priority="84" operator="containsText" text="PENDIENTES POR SUBSANAR">
      <formula>NOT(ISERROR(SEARCH("PENDIENTES POR SUBSANAR",Q85)))</formula>
    </cfRule>
    <cfRule type="containsText" dxfId="3660" priority="85" operator="containsText" text="SIN OBSERVACIÓN">
      <formula>NOT(ISERROR(SEARCH("SIN OBSERVACIÓN",Q85)))</formula>
    </cfRule>
  </conditionalFormatting>
  <conditionalFormatting sqref="R85">
    <cfRule type="containsBlanks" dxfId="3659" priority="76">
      <formula>LEN(TRIM(R85))=0</formula>
    </cfRule>
    <cfRule type="cellIs" dxfId="3658" priority="78" operator="equal">
      <formula>"NO CUMPLEN CON LO SOLICITADO"</formula>
    </cfRule>
    <cfRule type="cellIs" dxfId="3657" priority="79" operator="equal">
      <formula>"CUMPLEN CON LO SOLICITADO"</formula>
    </cfRule>
    <cfRule type="cellIs" dxfId="3656" priority="80" operator="equal">
      <formula>"PENDIENTES"</formula>
    </cfRule>
    <cfRule type="cellIs" dxfId="3655" priority="81" operator="equal">
      <formula>"NINGUNO"</formula>
    </cfRule>
  </conditionalFormatting>
  <conditionalFormatting sqref="P85">
    <cfRule type="expression" dxfId="3654" priority="71">
      <formula>Q85="NO SUBSANABLE"</formula>
    </cfRule>
    <cfRule type="expression" dxfId="3653" priority="72">
      <formula>Q85="REQUERIMIENTOS SUBSANADOS"</formula>
    </cfRule>
    <cfRule type="expression" dxfId="3652" priority="73">
      <formula>Q85="PENDIENTES POR SUBSANAR"</formula>
    </cfRule>
    <cfRule type="expression" dxfId="3651" priority="74">
      <formula>Q85="SIN OBSERVACIÓN"</formula>
    </cfRule>
    <cfRule type="containsBlanks" dxfId="3650" priority="75">
      <formula>LEN(TRIM(P85))=0</formula>
    </cfRule>
  </conditionalFormatting>
  <conditionalFormatting sqref="P82">
    <cfRule type="expression" dxfId="3649" priority="66">
      <formula>Q82="NO SUBSANABLE"</formula>
    </cfRule>
    <cfRule type="expression" dxfId="3648" priority="67">
      <formula>Q82="REQUERIMIENTOS SUBSANADOS"</formula>
    </cfRule>
    <cfRule type="expression" dxfId="3647" priority="68">
      <formula>Q82="PENDIENTES POR SUBSANAR"</formula>
    </cfRule>
    <cfRule type="expression" dxfId="3646" priority="69">
      <formula>Q82="SIN OBSERVACIÓN"</formula>
    </cfRule>
    <cfRule type="containsBlanks" dxfId="3645" priority="70">
      <formula>LEN(TRIM(P82))=0</formula>
    </cfRule>
  </conditionalFormatting>
  <conditionalFormatting sqref="Q123">
    <cfRule type="containsBlanks" dxfId="3644" priority="57">
      <formula>LEN(TRIM(Q123))=0</formula>
    </cfRule>
    <cfRule type="cellIs" dxfId="3643" priority="62" operator="equal">
      <formula>"REQUERIMIENTOS SUBSANADOS"</formula>
    </cfRule>
    <cfRule type="containsText" dxfId="3642" priority="63" operator="containsText" text="NO SUBSANABLE">
      <formula>NOT(ISERROR(SEARCH("NO SUBSANABLE",Q123)))</formula>
    </cfRule>
    <cfRule type="containsText" dxfId="3641" priority="64" operator="containsText" text="PENDIENTES POR SUBSANAR">
      <formula>NOT(ISERROR(SEARCH("PENDIENTES POR SUBSANAR",Q123)))</formula>
    </cfRule>
    <cfRule type="containsText" dxfId="3640" priority="65" operator="containsText" text="SIN OBSERVACIÓN">
      <formula>NOT(ISERROR(SEARCH("SIN OBSERVACIÓN",Q123)))</formula>
    </cfRule>
  </conditionalFormatting>
  <conditionalFormatting sqref="R123">
    <cfRule type="containsBlanks" dxfId="3639" priority="56">
      <formula>LEN(TRIM(R123))=0</formula>
    </cfRule>
    <cfRule type="cellIs" dxfId="3638" priority="58" operator="equal">
      <formula>"NO CUMPLEN CON LO SOLICITADO"</formula>
    </cfRule>
    <cfRule type="cellIs" dxfId="3637" priority="59" operator="equal">
      <formula>"CUMPLEN CON LO SOLICITADO"</formula>
    </cfRule>
    <cfRule type="cellIs" dxfId="3636" priority="60" operator="equal">
      <formula>"PENDIENTES"</formula>
    </cfRule>
    <cfRule type="cellIs" dxfId="3635" priority="61" operator="equal">
      <formula>"NINGUNO"</formula>
    </cfRule>
  </conditionalFormatting>
  <conditionalFormatting sqref="P123">
    <cfRule type="expression" dxfId="3634" priority="51">
      <formula>Q123="NO SUBSANABLE"</formula>
    </cfRule>
    <cfRule type="expression" dxfId="3633" priority="52">
      <formula>Q123="REQUERIMIENTOS SUBSANADOS"</formula>
    </cfRule>
    <cfRule type="expression" dxfId="3632" priority="53">
      <formula>Q123="PENDIENTES POR SUBSANAR"</formula>
    </cfRule>
    <cfRule type="expression" dxfId="3631" priority="54">
      <formula>Q123="SIN OBSERVACIÓN"</formula>
    </cfRule>
    <cfRule type="containsBlanks" dxfId="3630" priority="55">
      <formula>LEN(TRIM(P123))=0</formula>
    </cfRule>
  </conditionalFormatting>
  <conditionalFormatting sqref="O16 O19 O22 O25">
    <cfRule type="cellIs" dxfId="3629" priority="43" operator="equal">
      <formula>"PENDIENTE POR DESCRIPCIÓN"</formula>
    </cfRule>
    <cfRule type="cellIs" dxfId="3628" priority="44" operator="equal">
      <formula>"DESCRIPCIÓN INSUFICIENTE"</formula>
    </cfRule>
    <cfRule type="cellIs" dxfId="3627" priority="45" operator="equal">
      <formula>"NO ESTÁ ACORDE A ITEM 5.2.2 (T.R.)"</formula>
    </cfRule>
    <cfRule type="cellIs" dxfId="3626" priority="46" operator="equal">
      <formula>"ACORDE A ITEM 5.2.2 (T.R.)"</formula>
    </cfRule>
    <cfRule type="cellIs" dxfId="3625" priority="47" operator="equal">
      <formula>"PENDIENTE POR DESCRIPCIÓN"</formula>
    </cfRule>
    <cfRule type="cellIs" dxfId="3624" priority="48" operator="equal">
      <formula>"DESCRIPCIÓN INSUFICIENTE"</formula>
    </cfRule>
    <cfRule type="cellIs" dxfId="3623" priority="49" operator="equal">
      <formula>"NO ESTÁ ACORDE A ITEM 5.2.1 (T.R.)"</formula>
    </cfRule>
    <cfRule type="cellIs" dxfId="3622" priority="50" operator="equal">
      <formula>"ACORDE A ITEM 5.2.1 (T.R.)"</formula>
    </cfRule>
  </conditionalFormatting>
  <conditionalFormatting sqref="O35 O38 O41 O44 O47">
    <cfRule type="cellIs" dxfId="3621" priority="35" operator="equal">
      <formula>"PENDIENTE POR DESCRIPCIÓN"</formula>
    </cfRule>
    <cfRule type="cellIs" dxfId="3620" priority="36" operator="equal">
      <formula>"DESCRIPCIÓN INSUFICIENTE"</formula>
    </cfRule>
    <cfRule type="cellIs" dxfId="3619" priority="37" operator="equal">
      <formula>"NO ESTÁ ACORDE A ITEM 5.2.2 (T.R.)"</formula>
    </cfRule>
    <cfRule type="cellIs" dxfId="3618" priority="38" operator="equal">
      <formula>"ACORDE A ITEM 5.2.2 (T.R.)"</formula>
    </cfRule>
    <cfRule type="cellIs" dxfId="3617" priority="39" operator="equal">
      <formula>"PENDIENTE POR DESCRIPCIÓN"</formula>
    </cfRule>
    <cfRule type="cellIs" dxfId="3616" priority="40" operator="equal">
      <formula>"DESCRIPCIÓN INSUFICIENTE"</formula>
    </cfRule>
    <cfRule type="cellIs" dxfId="3615" priority="41" operator="equal">
      <formula>"NO ESTÁ ACORDE A ITEM 5.2.1 (T.R.)"</formula>
    </cfRule>
    <cfRule type="cellIs" dxfId="3614" priority="42" operator="equal">
      <formula>"ACORDE A ITEM 5.2.1 (T.R.)"</formula>
    </cfRule>
  </conditionalFormatting>
  <conditionalFormatting sqref="O57 O60 O63 O66 O69">
    <cfRule type="cellIs" dxfId="3613" priority="27" operator="equal">
      <formula>"PENDIENTE POR DESCRIPCIÓN"</formula>
    </cfRule>
    <cfRule type="cellIs" dxfId="3612" priority="28" operator="equal">
      <formula>"DESCRIPCIÓN INSUFICIENTE"</formula>
    </cfRule>
    <cfRule type="cellIs" dxfId="3611" priority="29" operator="equal">
      <formula>"NO ESTÁ ACORDE A ITEM 5.2.2 (T.R.)"</formula>
    </cfRule>
    <cfRule type="cellIs" dxfId="3610" priority="30" operator="equal">
      <formula>"ACORDE A ITEM 5.2.2 (T.R.)"</formula>
    </cfRule>
    <cfRule type="cellIs" dxfId="3609" priority="31" operator="equal">
      <formula>"PENDIENTE POR DESCRIPCIÓN"</formula>
    </cfRule>
    <cfRule type="cellIs" dxfId="3608" priority="32" operator="equal">
      <formula>"DESCRIPCIÓN INSUFICIENTE"</formula>
    </cfRule>
    <cfRule type="cellIs" dxfId="3607" priority="33" operator="equal">
      <formula>"NO ESTÁ ACORDE A ITEM 5.2.1 (T.R.)"</formula>
    </cfRule>
    <cfRule type="cellIs" dxfId="3606" priority="34" operator="equal">
      <formula>"ACORDE A ITEM 5.2.1 (T.R.)"</formula>
    </cfRule>
  </conditionalFormatting>
  <conditionalFormatting sqref="O79 O82 O85 O88 O91">
    <cfRule type="cellIs" dxfId="3605" priority="11" operator="equal">
      <formula>"PENDIENTE POR DESCRIPCIÓN"</formula>
    </cfRule>
    <cfRule type="cellIs" dxfId="3604" priority="12" operator="equal">
      <formula>"DESCRIPCIÓN INSUFICIENTE"</formula>
    </cfRule>
    <cfRule type="cellIs" dxfId="3603" priority="13" operator="equal">
      <formula>"NO ESTÁ ACORDE A ITEM 5.2.2 (T.R.)"</formula>
    </cfRule>
    <cfRule type="cellIs" dxfId="3602" priority="14" operator="equal">
      <formula>"ACORDE A ITEM 5.2.2 (T.R.)"</formula>
    </cfRule>
    <cfRule type="cellIs" dxfId="3601" priority="15" operator="equal">
      <formula>"PENDIENTE POR DESCRIPCIÓN"</formula>
    </cfRule>
    <cfRule type="cellIs" dxfId="3600" priority="16" operator="equal">
      <formula>"DESCRIPCIÓN INSUFICIENTE"</formula>
    </cfRule>
    <cfRule type="cellIs" dxfId="3599" priority="17" operator="equal">
      <formula>"NO ESTÁ ACORDE A ITEM 5.2.1 (T.R.)"</formula>
    </cfRule>
    <cfRule type="cellIs" dxfId="3598" priority="18" operator="equal">
      <formula>"ACORDE A ITEM 5.2.1 (T.R.)"</formula>
    </cfRule>
  </conditionalFormatting>
  <conditionalFormatting sqref="S16 S19 S22 S25">
    <cfRule type="cellIs" dxfId="3597" priority="9" operator="greaterThan">
      <formula>0</formula>
    </cfRule>
    <cfRule type="top10" dxfId="3596" priority="10" rank="10"/>
  </conditionalFormatting>
  <conditionalFormatting sqref="S35">
    <cfRule type="cellIs" dxfId="3595" priority="7" operator="greaterThan">
      <formula>0</formula>
    </cfRule>
    <cfRule type="top10" dxfId="3594" priority="8" rank="10"/>
  </conditionalFormatting>
  <conditionalFormatting sqref="S38 S41 S44 S47">
    <cfRule type="cellIs" dxfId="3593" priority="5" operator="greaterThan">
      <formula>0</formula>
    </cfRule>
    <cfRule type="top10" dxfId="3592" priority="6" rank="10"/>
  </conditionalFormatting>
  <conditionalFormatting sqref="S57 S60 S63 S66 S69">
    <cfRule type="cellIs" dxfId="3591" priority="3" operator="greaterThan">
      <formula>0</formula>
    </cfRule>
    <cfRule type="top10" dxfId="3590" priority="4" rank="10"/>
  </conditionalFormatting>
  <conditionalFormatting sqref="S79 S82 S85 S88 S91">
    <cfRule type="cellIs" dxfId="3589" priority="1" operator="greaterThan">
      <formula>0</formula>
    </cfRule>
    <cfRule type="top10" dxfId="3588" priority="2" rank="10"/>
  </conditionalFormatting>
  <dataValidations count="8">
    <dataValidation type="list" allowBlank="1" showInputMessage="1" showErrorMessage="1" sqref="B10 B32 B54 B76 B98 B120 B142 B164 B186 B208 B230 B252 B274 B296" xr:uid="{00000000-0002-0000-0300-000000000000}">
      <formula1>"1,2,3,4,5,6,7,8,9,10,11,12,13,14,15,16,17"</formula1>
    </dataValidation>
    <dataValidation type="list" allowBlank="1" showInputMessage="1" showErrorMessage="1" sqref="O113 O264 O261 O245 O236 O302 O201 O242 O289 O286 O277 O311 O308 O299 O305 O198 O280 O255 O283 O267 O233 O132 O101 O104 O107 O211 O192 O195 O258 O110 O135 O173 O145 O151 O157 O170 O179 O176 O167 O189 O148 O123 O126 O129 O154 O223 O220 O239 O214 O217" xr:uid="{00000000-0002-0000-0300-000001000000}">
      <formula1>"ACORDE A ITEM 5.2.2 (T.R.),NO ESTÁ ACORDE A ITEM 5.2.2 (T.R.),DESCRIPCIÓN INSUFICIENTE,PENDIENTE POR DESCRIPCIÓN"</formula1>
    </dataValidation>
    <dataValidation type="list" allowBlank="1" showInputMessage="1" showErrorMessage="1" sqref="L22:L23 L60:L61 J167:J181 L63:L64 L47:L48 L189:L190 L151:L152 L113:L114 J35:J49 L38:L39 L85:L86 L66:L67 L123:L124 L170:L171 L25:L26 L104:L105 L88:L89 L154:L155 L13:L14 L16:L17 L19:L20 L41:L42 L44:L45 L35:L36 J101:J115 J123:J137 L57:L58 L179:L180 J233:J247 L69:L70 L79:L80 J13:J27 L82:L83 L107:L108 L110:L111 L91:L92 L101:L102 J57:J71 L126:L127 L129:L130 L132:L133 L135:L136 L145:L146 J145:J159 L148:L149 L173:L174 L176:L177 L157:L158 L167:L168 L192:L193 L201:L202 L195:L196 L198:L199 J189:J203 L211:L212 L214:L215 L223:L224 L217:L218 L220:L221 J211:J225 L233:L234 L236:L237 L245:L246 L239:L240 L242:L243 J255:J269 L255:L256 L258:L259 L267:L268 L261:L262 L264:L265 J277:J291 L277:L278 L280:L281 L289:L290 L283:L284 L286:L287 J299:J313 L299:L300 L302:L303 L311:L312 L305:L306 L308:L309 J79:J93" xr:uid="{00000000-0002-0000-0300-000002000000}">
      <formula1>",CUMPLE,NO CUMPLE"</formula1>
    </dataValidation>
    <dataValidation type="list" allowBlank="1" showInputMessage="1" showErrorMessage="1" sqref="H107 H16 H19 H22 H25 H104 H13 H41 H44 H47 H299 H258 H261 H35 H38 H79 H82 H85 H88 H91 H101 H126 H129 H110 H113 H123 H170 H173 H132 H135 H145 H148 H151 H154 H157 H167 H264 H267 H176 H179 H189 H192 H195 H198 H201 H211 H214 H217 H220 H223 H233 H236 H239 H242 H245 H255 H302 H305 H308 H311 H277 H280 H283 H286 H289 H57 H60 H63 H66 H69" xr:uid="{00000000-0002-0000-0300-000003000000}">
      <formula1>"I,C,UT"</formula1>
    </dataValidation>
    <dataValidation type="list" allowBlank="1" showInputMessage="1" showErrorMessage="1" sqref="N113 N19 N22 N16 N305 N25 N13 N41 N44 N47 N311 N299 N302 N35 N201 N38 N66 N69 N88 N91 N132 N101 N104 N107 N148 N123 N110 N126 N129 N135 N173 N145 N151 N157 N170 N179 N176 N167 N189 N211 N192 N195 N198 N63 N154 N223 N239 N214 N217 N220 N245 N267 N233 N236 N242 N264 N255 N283 N258 N261 N289 N277 N308 N280 N286 N57 N60 N82 N85 N79" xr:uid="{00000000-0002-0000-0300-000004000000}">
      <formula1>"PRESENTÓ CERTIFICADO,NO PRESENTÓ CERTIFICADO"</formula1>
    </dataValidation>
    <dataValidation type="list" allowBlank="1" showInputMessage="1" showErrorMessage="1" sqref="Q113 Q19 Q22 Q25 Q311 Q16 Q13 Q41 Q44 Q299 Q305 Q308 Q35 Q47 Q211 Q66 Q63 Q88 Q38 Q132 Q101 Q104 Q107 Q91 Q195 Q198 Q201 Q69 Q110 Q173 Q145 Q151 Q157 Q135 Q179 Q176 Q167 Q189 Q170 Q192 Q148 Q85 Q126 Q129 Q154 Q239 Q217 Q220 Q223 Q214 Q267 Q236 Q242 Q245 Q233 Q255 Q258 Q261 Q264 Q280 Q277 Q283 Q286 Q289 Q302 Q57 Q60 Q82 Q79 Q123" xr:uid="{00000000-0002-0000-0300-000005000000}">
      <formula1>"SIN OBSERVACIÓN, PENDIENTES POR SUBSANAR, REQUERIMIENTOS SUBSANADOS, NO SUBSANABLE"</formula1>
    </dataValidation>
    <dataValidation type="list" allowBlank="1" showInputMessage="1" showErrorMessage="1" sqref="R113 R19 R22 R25 R308 R16 R13 R41 R44 R47 R311 R302 R305 R35 R201 R38 R66 R63 R88 R91 R132 R101 R104 R107 R192 R195 R198 R69 R110 R135 R173 R145 R151 R157 R170 R179 R176 R167 R189 R211 R148 R85 R126 R129 R154 R223 R214 R217 R220 R239 R245 R233 R236 R242 R267 R264 R280 R258 R261 R255 R289 R277 R283 R286 R299 R57 R60 R82 R79 R123" xr:uid="{00000000-0002-0000-0300-000006000000}">
      <formula1>"NINGUNO, PENDIENTES, CUMPLEN CON LO SOLICITADO, NO CUMPLEN CON LO SOLICITADO"</formula1>
    </dataValidation>
    <dataValidation type="list" allowBlank="1" showInputMessage="1" showErrorMessage="1" sqref="O13:O27 O35:O49 O57:O71 O79:O93" xr:uid="{00000000-0002-0000-0300-000007000000}">
      <formula1>"ACORDE A ITEM 6.2.2.1 (T.R.),NO ESTÁ ACORDE A ITEM 6.2.2.1 (T.R.),DESCRIPCIÓN INSUFICIENTE,PENDIENTE POR DESCRIPCIÓN"</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5"/>
  <sheetViews>
    <sheetView topLeftCell="A78" zoomScale="70" zoomScaleNormal="70" workbookViewId="0">
      <selection activeCell="W1" sqref="W1:AI1048576"/>
    </sheetView>
  </sheetViews>
  <sheetFormatPr baseColWidth="10" defaultColWidth="11.5" defaultRowHeight="16"/>
  <cols>
    <col min="1" max="1" width="6" style="12" customWidth="1"/>
    <col min="2" max="2" width="6.83203125" style="12" bestFit="1" customWidth="1"/>
    <col min="3" max="3" width="27.83203125" style="13" customWidth="1"/>
    <col min="4" max="4" width="17" style="13" customWidth="1"/>
    <col min="5" max="5" width="23.1640625" style="24" customWidth="1"/>
    <col min="6" max="6" width="29.5" style="25" customWidth="1"/>
    <col min="7" max="7" width="17.5" style="25" customWidth="1"/>
    <col min="8" max="9" width="16.6640625" style="13" customWidth="1"/>
    <col min="10" max="10" width="18.5" style="13" hidden="1" customWidth="1"/>
    <col min="11" max="11" width="11.33203125" style="13" hidden="1" customWidth="1"/>
    <col min="12" max="12" width="18.5" style="13" hidden="1" customWidth="1"/>
    <col min="13" max="13" width="12" style="13" hidden="1" customWidth="1"/>
    <col min="14" max="14" width="24.6640625" style="13" customWidth="1"/>
    <col min="15" max="15" width="25.5" style="13" customWidth="1"/>
    <col min="16" max="16" width="47.6640625" style="13" customWidth="1"/>
    <col min="17" max="17" width="32.33203125" style="13" customWidth="1"/>
    <col min="18" max="18" width="24.5" style="13" customWidth="1"/>
    <col min="19" max="19" width="22.1640625" style="13" hidden="1" customWidth="1"/>
    <col min="20" max="20" width="65.1640625" style="13" customWidth="1"/>
    <col min="21" max="21" width="19" style="13" hidden="1" customWidth="1"/>
    <col min="22" max="22" width="11.5" style="13"/>
    <col min="23" max="23" width="11.5" style="29" hidden="1" customWidth="1"/>
    <col min="24" max="24" width="39.5" style="29" hidden="1" customWidth="1"/>
    <col min="25" max="25" width="22.83203125" style="29" hidden="1" customWidth="1"/>
    <col min="26" max="26" width="32.5" style="29" hidden="1" customWidth="1"/>
    <col min="27" max="29" width="11.5" style="13" hidden="1" customWidth="1"/>
    <col min="30" max="30" width="35.1640625" style="13" hidden="1" customWidth="1"/>
    <col min="31" max="31" width="23.5" style="13" hidden="1" customWidth="1"/>
    <col min="32" max="35" width="11.5" style="13" hidden="1" customWidth="1"/>
    <col min="36" max="36" width="11.5" style="13" customWidth="1"/>
    <col min="37" max="16384" width="11.5" style="13"/>
  </cols>
  <sheetData>
    <row r="1" spans="1:35" ht="40" customHeight="1">
      <c r="B1" s="632" t="s">
        <v>190</v>
      </c>
      <c r="C1" s="633"/>
      <c r="D1" s="633"/>
      <c r="E1" s="633"/>
      <c r="F1" s="633"/>
      <c r="G1" s="633"/>
      <c r="H1" s="633"/>
      <c r="I1" s="633"/>
      <c r="J1" s="633"/>
      <c r="K1" s="633"/>
      <c r="L1" s="633"/>
      <c r="M1" s="633"/>
      <c r="N1" s="633"/>
      <c r="O1" s="633"/>
      <c r="P1" s="633"/>
      <c r="Q1" s="633"/>
      <c r="R1" s="633"/>
      <c r="S1" s="634"/>
      <c r="W1" s="13"/>
      <c r="X1" s="13"/>
      <c r="Y1" s="13"/>
      <c r="Z1" s="13"/>
    </row>
    <row r="2" spans="1:35" s="16" customFormat="1" ht="12.75" customHeight="1">
      <c r="A2" s="14"/>
      <c r="B2" s="14"/>
      <c r="C2" s="15"/>
      <c r="D2" s="15"/>
      <c r="E2" s="15"/>
      <c r="F2" s="15"/>
      <c r="G2" s="15"/>
      <c r="H2" s="15"/>
      <c r="I2" s="13"/>
      <c r="J2" s="13"/>
      <c r="K2" s="13"/>
      <c r="L2" s="13"/>
      <c r="M2" s="13"/>
    </row>
    <row r="3" spans="1:35" s="16" customFormat="1" ht="279" customHeight="1">
      <c r="B3" s="635" t="s">
        <v>192</v>
      </c>
      <c r="C3" s="636"/>
      <c r="D3" s="636"/>
      <c r="E3" s="636"/>
      <c r="F3" s="636"/>
      <c r="G3" s="636"/>
      <c r="H3" s="636"/>
      <c r="I3" s="636"/>
      <c r="J3" s="636"/>
      <c r="K3" s="636"/>
      <c r="L3" s="636"/>
      <c r="M3" s="636"/>
      <c r="N3" s="636"/>
      <c r="O3" s="636"/>
      <c r="P3" s="636"/>
      <c r="Q3" s="636"/>
      <c r="R3" s="636"/>
      <c r="S3" s="637"/>
    </row>
    <row r="4" spans="1:35" s="16" customFormat="1" ht="12.75" customHeight="1">
      <c r="F4" s="624"/>
      <c r="G4" s="624"/>
      <c r="H4" s="624"/>
      <c r="I4" s="624"/>
      <c r="J4" s="624"/>
      <c r="K4" s="624"/>
      <c r="L4" s="624"/>
      <c r="M4" s="624"/>
      <c r="N4" s="624"/>
      <c r="O4" s="13"/>
      <c r="P4" s="13"/>
    </row>
    <row r="5" spans="1:35" s="16" customFormat="1" ht="30.75" customHeight="1">
      <c r="F5" s="625" t="s">
        <v>133</v>
      </c>
      <c r="G5" s="626"/>
      <c r="H5" s="17" t="s">
        <v>21</v>
      </c>
      <c r="L5" s="638" t="s">
        <v>22</v>
      </c>
      <c r="M5" s="638"/>
      <c r="N5" s="639" t="s">
        <v>23</v>
      </c>
      <c r="O5" s="639"/>
      <c r="P5" s="287" t="s">
        <v>24</v>
      </c>
    </row>
    <row r="6" spans="1:35" s="16" customFormat="1" ht="18">
      <c r="F6" s="640">
        <v>908526</v>
      </c>
      <c r="G6" s="641"/>
      <c r="H6" s="182">
        <v>1.5</v>
      </c>
      <c r="L6" s="638"/>
      <c r="M6" s="638"/>
      <c r="N6" s="642">
        <v>672323975</v>
      </c>
      <c r="O6" s="642"/>
      <c r="P6" s="18">
        <f>+ROUND(N6/$F$6,0)</f>
        <v>740</v>
      </c>
    </row>
    <row r="7" spans="1:35" s="16" customFormat="1" ht="12.75" customHeight="1">
      <c r="A7" s="19"/>
      <c r="B7" s="19"/>
      <c r="C7" s="20"/>
      <c r="D7" s="21"/>
      <c r="E7" s="22"/>
      <c r="F7" s="281"/>
      <c r="G7" s="13"/>
      <c r="H7" s="13"/>
      <c r="I7" s="23"/>
      <c r="J7" s="13"/>
      <c r="K7" s="13"/>
      <c r="L7" s="13"/>
      <c r="M7" s="13"/>
    </row>
    <row r="8" spans="1:35">
      <c r="W8" s="13"/>
      <c r="X8" s="13"/>
      <c r="Y8" s="13"/>
      <c r="Z8" s="13"/>
    </row>
    <row r="9" spans="1:35">
      <c r="W9" s="13"/>
      <c r="X9" s="13"/>
      <c r="Y9" s="13"/>
      <c r="Z9" s="13"/>
    </row>
    <row r="10" spans="1:35" ht="74.25" customHeight="1">
      <c r="B10" s="26">
        <v>1</v>
      </c>
      <c r="C10" s="660" t="s">
        <v>193</v>
      </c>
      <c r="D10" s="661"/>
      <c r="E10" s="662"/>
      <c r="F10" s="663" t="str">
        <f>IFERROR(VLOOKUP(B10,LISTA_OFERENTES,2,FALSE)," ")</f>
        <v>KER INGENIERIA S.A.S.</v>
      </c>
      <c r="G10" s="664"/>
      <c r="H10" s="664"/>
      <c r="I10" s="664"/>
      <c r="J10" s="664"/>
      <c r="K10" s="664"/>
      <c r="L10" s="664"/>
      <c r="M10" s="664"/>
      <c r="N10" s="664"/>
      <c r="O10" s="665"/>
      <c r="P10" s="666" t="s">
        <v>26</v>
      </c>
      <c r="Q10" s="667"/>
      <c r="R10" s="668"/>
      <c r="S10" s="27">
        <f>5-(INT(COUNTBLANK(C13:C27))-10)</f>
        <v>0</v>
      </c>
      <c r="T10" s="28"/>
    </row>
    <row r="11" spans="1:35" s="30" customFormat="1" ht="33.75" customHeight="1">
      <c r="B11" s="669" t="s">
        <v>27</v>
      </c>
      <c r="C11" s="643" t="s">
        <v>28</v>
      </c>
      <c r="D11" s="643" t="s">
        <v>29</v>
      </c>
      <c r="E11" s="643" t="s">
        <v>30</v>
      </c>
      <c r="F11" s="643" t="s">
        <v>31</v>
      </c>
      <c r="G11" s="643" t="s">
        <v>32</v>
      </c>
      <c r="H11" s="643" t="s">
        <v>33</v>
      </c>
      <c r="I11" s="643" t="s">
        <v>34</v>
      </c>
      <c r="J11" s="657" t="s">
        <v>35</v>
      </c>
      <c r="K11" s="658"/>
      <c r="L11" s="658"/>
      <c r="M11" s="659"/>
      <c r="N11" s="643" t="s">
        <v>36</v>
      </c>
      <c r="O11" s="643" t="s">
        <v>37</v>
      </c>
      <c r="P11" s="657" t="s">
        <v>38</v>
      </c>
      <c r="Q11" s="659"/>
      <c r="R11" s="643" t="s">
        <v>39</v>
      </c>
      <c r="S11" s="643" t="s">
        <v>40</v>
      </c>
      <c r="T11" s="643" t="s">
        <v>194</v>
      </c>
      <c r="U11" s="643" t="s">
        <v>134</v>
      </c>
      <c r="V11" s="31"/>
      <c r="W11" s="645" t="s">
        <v>41</v>
      </c>
      <c r="X11" s="646"/>
      <c r="Y11" s="647"/>
      <c r="Z11" s="32" t="s">
        <v>42</v>
      </c>
    </row>
    <row r="12" spans="1:35" s="30" customFormat="1" ht="63" customHeight="1">
      <c r="B12" s="670"/>
      <c r="C12" s="644"/>
      <c r="D12" s="644"/>
      <c r="E12" s="644"/>
      <c r="F12" s="644"/>
      <c r="G12" s="644"/>
      <c r="H12" s="644"/>
      <c r="I12" s="644"/>
      <c r="J12" s="648" t="s">
        <v>43</v>
      </c>
      <c r="K12" s="649"/>
      <c r="L12" s="649"/>
      <c r="M12" s="650"/>
      <c r="N12" s="644"/>
      <c r="O12" s="644"/>
      <c r="P12" s="33" t="s">
        <v>10</v>
      </c>
      <c r="Q12" s="33" t="s">
        <v>44</v>
      </c>
      <c r="R12" s="644"/>
      <c r="S12" s="644"/>
      <c r="T12" s="644"/>
      <c r="U12" s="644"/>
      <c r="V12" s="31"/>
      <c r="W12" s="34">
        <v>1</v>
      </c>
      <c r="X12" s="35" t="str">
        <f>IFERROR(VLOOKUP(W12,LISTA_OFERENTES,2,FALSE)," ")</f>
        <v>KER INGENIERIA S.A.S.</v>
      </c>
      <c r="Y12" s="35" t="str">
        <f ca="1">VLOOKUP(X12,BANDERA,2,FALSE)</f>
        <v>NO CUMPLE</v>
      </c>
      <c r="Z12" s="36" t="str">
        <f ca="1">IF(Y12="CUMPLE","H","NH")</f>
        <v>NH</v>
      </c>
      <c r="AD12" s="35" t="str">
        <f>X12</f>
        <v>KER INGENIERIA S.A.S.</v>
      </c>
      <c r="AE12" s="37" t="str">
        <f ca="1">INDIRECT("T"&amp;AH12)</f>
        <v>NO CUMPLE</v>
      </c>
      <c r="AG12" s="36" t="s">
        <v>45</v>
      </c>
      <c r="AH12" s="38">
        <v>28</v>
      </c>
      <c r="AI12" s="39"/>
    </row>
    <row r="13" spans="1:35" s="41" customFormat="1" ht="25" hidden="1" customHeight="1">
      <c r="A13" s="40"/>
      <c r="B13" s="651">
        <v>1</v>
      </c>
      <c r="C13" s="654"/>
      <c r="D13" s="654"/>
      <c r="E13" s="654"/>
      <c r="F13" s="654"/>
      <c r="G13" s="681"/>
      <c r="H13" s="684"/>
      <c r="I13" s="687"/>
      <c r="J13" s="183"/>
      <c r="K13" s="38"/>
      <c r="L13" s="183"/>
      <c r="M13" s="38"/>
      <c r="N13" s="690"/>
      <c r="O13" s="690"/>
      <c r="P13" s="693"/>
      <c r="Q13" s="544"/>
      <c r="R13" s="544"/>
      <c r="S13" s="671">
        <f>IF(COUNTIF(J13:K15,"CUMPLE")&gt;=1,(G13*I13),0)* (IF(N13="PRESENTÓ CERTIFICADO",1,0))* (IF(O13="ACORDE A ITEM 6.2.2.1 (T.R.)",1,0) )* ( IF(OR(Q13="SIN OBSERVACIÓN", Q13="REQUERIMIENTOS SUBSANADOS"),1,0)) *(IF(OR(R13="NINGUNO", R13="CUMPLEN CON LO SOLICITADO"),1,0))</f>
        <v>0</v>
      </c>
      <c r="T13" s="674"/>
      <c r="U13" s="677">
        <f t="shared" ref="U13" si="0">IF(COUNTIF(J13:K15,"CUMPLE")&gt;=1,1,0)</f>
        <v>0</v>
      </c>
      <c r="W13" s="34">
        <v>2</v>
      </c>
      <c r="X13" s="35" t="str">
        <f t="shared" ref="X13:X28" si="1">IFERROR(VLOOKUP(W13,LISTA_OFERENTES,2,FALSE)," ")</f>
        <v>UNIÓN TEMPORAL SUPERVISOR 2021</v>
      </c>
      <c r="Y13" s="35" t="str">
        <f t="shared" ref="Y13:Y27" ca="1" si="2">VLOOKUP(X13,BANDERA,2,FALSE)</f>
        <v>NO CUMPLE</v>
      </c>
      <c r="Z13" s="36" t="str">
        <f t="shared" ref="Z13:Z25" ca="1" si="3">IF(Y13="CUMPLE","H","NH")</f>
        <v>NH</v>
      </c>
      <c r="AD13" s="35" t="str">
        <f t="shared" ref="AD13:AD28" si="4">X13</f>
        <v>UNIÓN TEMPORAL SUPERVISOR 2021</v>
      </c>
      <c r="AE13" s="37" t="str">
        <f ca="1">INDIRECT("T"&amp;AH13)</f>
        <v>NO CUMPLE</v>
      </c>
      <c r="AF13" s="42"/>
      <c r="AG13" s="36" t="s">
        <v>45</v>
      </c>
      <c r="AH13" s="38">
        <f>AH12+AI$13</f>
        <v>50</v>
      </c>
      <c r="AI13" s="678">
        <v>22</v>
      </c>
    </row>
    <row r="14" spans="1:35" s="41" customFormat="1" ht="25" hidden="1" customHeight="1">
      <c r="A14" s="40"/>
      <c r="B14" s="652"/>
      <c r="C14" s="655"/>
      <c r="D14" s="655"/>
      <c r="E14" s="655"/>
      <c r="F14" s="655"/>
      <c r="G14" s="682"/>
      <c r="H14" s="685"/>
      <c r="I14" s="688"/>
      <c r="J14" s="183"/>
      <c r="K14" s="38"/>
      <c r="L14" s="696"/>
      <c r="M14" s="678"/>
      <c r="N14" s="691"/>
      <c r="O14" s="691"/>
      <c r="P14" s="694"/>
      <c r="Q14" s="567"/>
      <c r="R14" s="567"/>
      <c r="S14" s="672"/>
      <c r="T14" s="675"/>
      <c r="U14" s="677"/>
      <c r="W14" s="34">
        <v>3</v>
      </c>
      <c r="X14" s="35" t="str">
        <f t="shared" si="1"/>
        <v>PreVeo S.A.S.</v>
      </c>
      <c r="Y14" s="35" t="str">
        <f t="shared" ca="1" si="2"/>
        <v xml:space="preserve">CUMPLE </v>
      </c>
      <c r="Z14" s="36" t="str">
        <f t="shared" ca="1" si="3"/>
        <v>NH</v>
      </c>
      <c r="AD14" s="35" t="str">
        <f t="shared" si="4"/>
        <v>PreVeo S.A.S.</v>
      </c>
      <c r="AE14" s="37" t="str">
        <f t="shared" ref="AE14:AE28" ca="1" si="5">INDIRECT("T"&amp;AH14)</f>
        <v xml:space="preserve">CUMPLE </v>
      </c>
      <c r="AF14" s="42"/>
      <c r="AG14" s="36" t="s">
        <v>45</v>
      </c>
      <c r="AH14" s="38">
        <f>AH13+AI$13</f>
        <v>72</v>
      </c>
      <c r="AI14" s="679"/>
    </row>
    <row r="15" spans="1:35" s="41" customFormat="1" ht="25" hidden="1" customHeight="1">
      <c r="A15" s="40"/>
      <c r="B15" s="653"/>
      <c r="C15" s="656"/>
      <c r="D15" s="656"/>
      <c r="E15" s="656"/>
      <c r="F15" s="656"/>
      <c r="G15" s="683"/>
      <c r="H15" s="686"/>
      <c r="I15" s="689"/>
      <c r="J15" s="183"/>
      <c r="K15" s="38"/>
      <c r="L15" s="697"/>
      <c r="M15" s="680"/>
      <c r="N15" s="692"/>
      <c r="O15" s="692"/>
      <c r="P15" s="695"/>
      <c r="Q15" s="545"/>
      <c r="R15" s="545"/>
      <c r="S15" s="673"/>
      <c r="T15" s="675"/>
      <c r="U15" s="677"/>
      <c r="W15" s="34">
        <v>4</v>
      </c>
      <c r="X15" s="35" t="str">
        <f t="shared" si="1"/>
        <v>INTERVE S.A.S.</v>
      </c>
      <c r="Y15" s="35" t="str">
        <f t="shared" ca="1" si="2"/>
        <v xml:space="preserve">CUMPLE </v>
      </c>
      <c r="Z15" s="36" t="str">
        <f t="shared" ca="1" si="3"/>
        <v>NH</v>
      </c>
      <c r="AD15" s="35" t="str">
        <f t="shared" si="4"/>
        <v>INTERVE S.A.S.</v>
      </c>
      <c r="AE15" s="37" t="str">
        <f t="shared" ca="1" si="5"/>
        <v xml:space="preserve">CUMPLE </v>
      </c>
      <c r="AF15" s="42"/>
      <c r="AG15" s="36" t="s">
        <v>45</v>
      </c>
      <c r="AH15" s="38">
        <f>AH14+AI$13</f>
        <v>94</v>
      </c>
      <c r="AI15" s="679"/>
    </row>
    <row r="16" spans="1:35" s="41" customFormat="1" ht="25" hidden="1" customHeight="1">
      <c r="A16" s="40"/>
      <c r="B16" s="651">
        <v>2</v>
      </c>
      <c r="C16" s="712"/>
      <c r="D16" s="712"/>
      <c r="E16" s="712"/>
      <c r="F16" s="712"/>
      <c r="G16" s="715"/>
      <c r="H16" s="684"/>
      <c r="I16" s="709"/>
      <c r="J16" s="183"/>
      <c r="K16" s="38"/>
      <c r="L16" s="183"/>
      <c r="M16" s="38"/>
      <c r="N16" s="690"/>
      <c r="O16" s="690"/>
      <c r="P16" s="693"/>
      <c r="Q16" s="544"/>
      <c r="R16" s="544"/>
      <c r="S16" s="671">
        <f t="shared" ref="S16" si="6">IF(COUNTIF(J16:K18,"CUMPLE")&gt;=1,(G16*I16),0)* (IF(N16="PRESENTÓ CERTIFICADO",1,0))* (IF(O16="ACORDE A ITEM 6.2.2.1 (T.R.)",1,0) )* ( IF(OR(Q16="SIN OBSERVACIÓN", Q16="REQUERIMIENTOS SUBSANADOS"),1,0)) *(IF(OR(R16="NINGUNO", R16="CUMPLEN CON LO SOLICITADO"),1,0))</f>
        <v>0</v>
      </c>
      <c r="T16" s="675"/>
      <c r="U16" s="677">
        <f>IF(COUNTIF(L16:M18,"CUMPLE")&gt;=1,1,0)</f>
        <v>0</v>
      </c>
      <c r="W16" s="34">
        <v>5</v>
      </c>
      <c r="X16" s="35">
        <f t="shared" si="1"/>
        <v>0</v>
      </c>
      <c r="Y16" s="35" t="str">
        <f t="shared" ca="1" si="2"/>
        <v>NO CUMPLE</v>
      </c>
      <c r="Z16" s="36" t="str">
        <f t="shared" ca="1" si="3"/>
        <v>NH</v>
      </c>
      <c r="AD16" s="35">
        <f t="shared" si="4"/>
        <v>0</v>
      </c>
      <c r="AE16" s="37" t="str">
        <f t="shared" ca="1" si="5"/>
        <v>NO CUMPLE</v>
      </c>
      <c r="AF16" s="42"/>
      <c r="AG16" s="36" t="s">
        <v>45</v>
      </c>
      <c r="AH16" s="38">
        <f>AH15+AI$13</f>
        <v>116</v>
      </c>
      <c r="AI16" s="679"/>
    </row>
    <row r="17" spans="1:35" s="41" customFormat="1" ht="25" hidden="1" customHeight="1">
      <c r="A17" s="40"/>
      <c r="B17" s="652"/>
      <c r="C17" s="713"/>
      <c r="D17" s="713"/>
      <c r="E17" s="713"/>
      <c r="F17" s="713"/>
      <c r="G17" s="716"/>
      <c r="H17" s="685"/>
      <c r="I17" s="710"/>
      <c r="J17" s="183"/>
      <c r="K17" s="38"/>
      <c r="L17" s="696"/>
      <c r="M17" s="678"/>
      <c r="N17" s="691"/>
      <c r="O17" s="691"/>
      <c r="P17" s="694"/>
      <c r="Q17" s="567"/>
      <c r="R17" s="567"/>
      <c r="S17" s="672"/>
      <c r="T17" s="675"/>
      <c r="U17" s="677"/>
      <c r="W17" s="34">
        <v>6</v>
      </c>
      <c r="X17" s="35">
        <f t="shared" si="1"/>
        <v>0</v>
      </c>
      <c r="Y17" s="35" t="str">
        <f t="shared" ca="1" si="2"/>
        <v>NO CUMPLE</v>
      </c>
      <c r="Z17" s="36" t="str">
        <f t="shared" ca="1" si="3"/>
        <v>NH</v>
      </c>
      <c r="AD17" s="35">
        <f t="shared" si="4"/>
        <v>0</v>
      </c>
      <c r="AE17" s="37" t="str">
        <f t="shared" ca="1" si="5"/>
        <v>NO CUMPLE</v>
      </c>
      <c r="AF17" s="42"/>
      <c r="AG17" s="36" t="s">
        <v>45</v>
      </c>
      <c r="AH17" s="38">
        <f>AH16+AI$13</f>
        <v>138</v>
      </c>
      <c r="AI17" s="679"/>
    </row>
    <row r="18" spans="1:35" s="41" customFormat="1" ht="25" hidden="1" customHeight="1">
      <c r="A18" s="40"/>
      <c r="B18" s="653"/>
      <c r="C18" s="714"/>
      <c r="D18" s="714"/>
      <c r="E18" s="714"/>
      <c r="F18" s="714"/>
      <c r="G18" s="717"/>
      <c r="H18" s="686"/>
      <c r="I18" s="711"/>
      <c r="J18" s="183"/>
      <c r="K18" s="38"/>
      <c r="L18" s="697"/>
      <c r="M18" s="680"/>
      <c r="N18" s="692"/>
      <c r="O18" s="692"/>
      <c r="P18" s="695"/>
      <c r="Q18" s="545"/>
      <c r="R18" s="545"/>
      <c r="S18" s="673"/>
      <c r="T18" s="675"/>
      <c r="U18" s="677"/>
      <c r="W18" s="34">
        <v>7</v>
      </c>
      <c r="X18" s="35">
        <f t="shared" si="1"/>
        <v>0</v>
      </c>
      <c r="Y18" s="35" t="str">
        <f t="shared" ca="1" si="2"/>
        <v>NO CUMPLE</v>
      </c>
      <c r="Z18" s="36" t="str">
        <f t="shared" ca="1" si="3"/>
        <v>NH</v>
      </c>
      <c r="AD18" s="35">
        <f t="shared" si="4"/>
        <v>0</v>
      </c>
      <c r="AE18" s="37" t="str">
        <f t="shared" ca="1" si="5"/>
        <v>NO CUMPLE</v>
      </c>
      <c r="AF18" s="43"/>
      <c r="AG18" s="36" t="s">
        <v>45</v>
      </c>
      <c r="AH18" s="38">
        <f t="shared" ref="AH18:AH28" si="7">AH17+AI$13</f>
        <v>160</v>
      </c>
      <c r="AI18" s="679"/>
    </row>
    <row r="19" spans="1:35" s="41" customFormat="1" ht="25" hidden="1" customHeight="1">
      <c r="A19" s="40"/>
      <c r="B19" s="651">
        <v>3</v>
      </c>
      <c r="C19" s="654"/>
      <c r="D19" s="654"/>
      <c r="E19" s="654"/>
      <c r="F19" s="654"/>
      <c r="G19" s="681"/>
      <c r="H19" s="684"/>
      <c r="I19" s="687"/>
      <c r="J19" s="183"/>
      <c r="K19" s="38"/>
      <c r="L19" s="183"/>
      <c r="M19" s="38"/>
      <c r="N19" s="690"/>
      <c r="O19" s="690"/>
      <c r="P19" s="693"/>
      <c r="Q19" s="544"/>
      <c r="R19" s="544"/>
      <c r="S19" s="671">
        <f t="shared" ref="S19" si="8">IF(COUNTIF(J19:K21,"CUMPLE")&gt;=1,(G19*I19),0)* (IF(N19="PRESENTÓ CERTIFICADO",1,0))* (IF(O19="ACORDE A ITEM 6.2.2.1 (T.R.)",1,0) )* ( IF(OR(Q19="SIN OBSERVACIÓN", Q19="REQUERIMIENTOS SUBSANADOS"),1,0)) *(IF(OR(R19="NINGUNO", R19="CUMPLEN CON LO SOLICITADO"),1,0))</f>
        <v>0</v>
      </c>
      <c r="T19" s="675"/>
      <c r="U19" s="677">
        <f>IF(COUNTIF(L19:M21,"CUMPLE")&gt;=1,1,0)</f>
        <v>0</v>
      </c>
      <c r="W19" s="34">
        <v>8</v>
      </c>
      <c r="X19" s="35">
        <f t="shared" si="1"/>
        <v>0</v>
      </c>
      <c r="Y19" s="35" t="str">
        <f t="shared" ca="1" si="2"/>
        <v>NO CUMPLE</v>
      </c>
      <c r="Z19" s="36" t="str">
        <f t="shared" ca="1" si="3"/>
        <v>NH</v>
      </c>
      <c r="AD19" s="35">
        <f t="shared" si="4"/>
        <v>0</v>
      </c>
      <c r="AE19" s="37" t="str">
        <f t="shared" ca="1" si="5"/>
        <v>NO CUMPLE</v>
      </c>
      <c r="AF19" s="43"/>
      <c r="AG19" s="36" t="s">
        <v>45</v>
      </c>
      <c r="AH19" s="38">
        <f t="shared" si="7"/>
        <v>182</v>
      </c>
      <c r="AI19" s="679"/>
    </row>
    <row r="20" spans="1:35" s="41" customFormat="1" ht="25" hidden="1" customHeight="1">
      <c r="A20" s="40"/>
      <c r="B20" s="652"/>
      <c r="C20" s="655"/>
      <c r="D20" s="655"/>
      <c r="E20" s="655"/>
      <c r="F20" s="655"/>
      <c r="G20" s="682"/>
      <c r="H20" s="685"/>
      <c r="I20" s="688"/>
      <c r="J20" s="183"/>
      <c r="K20" s="38"/>
      <c r="L20" s="696"/>
      <c r="M20" s="678"/>
      <c r="N20" s="691"/>
      <c r="O20" s="691"/>
      <c r="P20" s="694"/>
      <c r="Q20" s="567"/>
      <c r="R20" s="567"/>
      <c r="S20" s="672"/>
      <c r="T20" s="675"/>
      <c r="U20" s="677"/>
      <c r="W20" s="34">
        <v>9</v>
      </c>
      <c r="X20" s="35">
        <f t="shared" si="1"/>
        <v>0</v>
      </c>
      <c r="Y20" s="35" t="str">
        <f t="shared" ca="1" si="2"/>
        <v>NO CUMPLE</v>
      </c>
      <c r="Z20" s="36" t="str">
        <f t="shared" ca="1" si="3"/>
        <v>NH</v>
      </c>
      <c r="AD20" s="35">
        <f t="shared" si="4"/>
        <v>0</v>
      </c>
      <c r="AE20" s="37" t="str">
        <f t="shared" ca="1" si="5"/>
        <v>CUMPLE</v>
      </c>
      <c r="AF20" s="43"/>
      <c r="AG20" s="36" t="s">
        <v>45</v>
      </c>
      <c r="AH20" s="38">
        <f t="shared" si="7"/>
        <v>204</v>
      </c>
      <c r="AI20" s="679"/>
    </row>
    <row r="21" spans="1:35" s="41" customFormat="1" ht="25" hidden="1" customHeight="1">
      <c r="A21" s="40"/>
      <c r="B21" s="653"/>
      <c r="C21" s="656"/>
      <c r="D21" s="656"/>
      <c r="E21" s="656"/>
      <c r="F21" s="656"/>
      <c r="G21" s="683"/>
      <c r="H21" s="686"/>
      <c r="I21" s="689"/>
      <c r="J21" s="183"/>
      <c r="K21" s="38"/>
      <c r="L21" s="697"/>
      <c r="M21" s="680"/>
      <c r="N21" s="692"/>
      <c r="O21" s="692"/>
      <c r="P21" s="695"/>
      <c r="Q21" s="545"/>
      <c r="R21" s="545"/>
      <c r="S21" s="673"/>
      <c r="T21" s="675"/>
      <c r="U21" s="677"/>
      <c r="W21" s="34">
        <v>10</v>
      </c>
      <c r="X21" s="35">
        <f t="shared" si="1"/>
        <v>0</v>
      </c>
      <c r="Y21" s="35" t="str">
        <f t="shared" ca="1" si="2"/>
        <v>NO CUMPLE</v>
      </c>
      <c r="Z21" s="36" t="str">
        <f t="shared" ca="1" si="3"/>
        <v>NH</v>
      </c>
      <c r="AD21" s="35">
        <f t="shared" si="4"/>
        <v>0</v>
      </c>
      <c r="AE21" s="37" t="str">
        <f t="shared" ca="1" si="5"/>
        <v>NO CUMPLE</v>
      </c>
      <c r="AF21" s="43"/>
      <c r="AG21" s="36" t="s">
        <v>45</v>
      </c>
      <c r="AH21" s="38">
        <f t="shared" si="7"/>
        <v>226</v>
      </c>
      <c r="AI21" s="679"/>
    </row>
    <row r="22" spans="1:35" s="41" customFormat="1" ht="25" hidden="1" customHeight="1">
      <c r="A22" s="40"/>
      <c r="B22" s="651">
        <v>4</v>
      </c>
      <c r="C22" s="712"/>
      <c r="D22" s="712"/>
      <c r="E22" s="712"/>
      <c r="F22" s="712"/>
      <c r="G22" s="715"/>
      <c r="H22" s="684"/>
      <c r="I22" s="709"/>
      <c r="J22" s="183"/>
      <c r="K22" s="38">
        <f>+$K$13</f>
        <v>0</v>
      </c>
      <c r="L22" s="183"/>
      <c r="M22" s="38"/>
      <c r="N22" s="690"/>
      <c r="O22" s="690"/>
      <c r="P22" s="693"/>
      <c r="Q22" s="544"/>
      <c r="R22" s="544"/>
      <c r="S22" s="671">
        <f t="shared" ref="S22" si="9">IF(COUNTIF(J22:K24,"CUMPLE")&gt;=1,(G22*I22),0)* (IF(N22="PRESENTÓ CERTIFICADO",1,0))* (IF(O22="ACORDE A ITEM 6.2.2.1 (T.R.)",1,0) )* ( IF(OR(Q22="SIN OBSERVACIÓN", Q22="REQUERIMIENTOS SUBSANADOS"),1,0)) *(IF(OR(R22="NINGUNO", R22="CUMPLEN CON LO SOLICITADO"),1,0))</f>
        <v>0</v>
      </c>
      <c r="T22" s="675"/>
      <c r="U22" s="677">
        <f>IF(COUNTIF(L22:M24,"CUMPLE")&gt;=1,1,0)</f>
        <v>0</v>
      </c>
      <c r="W22" s="34">
        <v>11</v>
      </c>
      <c r="X22" s="35">
        <f t="shared" si="1"/>
        <v>0</v>
      </c>
      <c r="Y22" s="35" t="str">
        <f t="shared" ca="1" si="2"/>
        <v>NO CUMPLE</v>
      </c>
      <c r="Z22" s="36" t="str">
        <f t="shared" ca="1" si="3"/>
        <v>NH</v>
      </c>
      <c r="AD22" s="35">
        <f t="shared" si="4"/>
        <v>0</v>
      </c>
      <c r="AE22" s="37" t="str">
        <f t="shared" ca="1" si="5"/>
        <v>NO CUMPLE</v>
      </c>
      <c r="AF22" s="43"/>
      <c r="AG22" s="36" t="s">
        <v>45</v>
      </c>
      <c r="AH22" s="38">
        <f t="shared" si="7"/>
        <v>248</v>
      </c>
      <c r="AI22" s="679"/>
    </row>
    <row r="23" spans="1:35" s="41" customFormat="1" ht="25" hidden="1" customHeight="1">
      <c r="A23" s="40"/>
      <c r="B23" s="652"/>
      <c r="C23" s="713"/>
      <c r="D23" s="713"/>
      <c r="E23" s="713"/>
      <c r="F23" s="713"/>
      <c r="G23" s="716"/>
      <c r="H23" s="685"/>
      <c r="I23" s="710"/>
      <c r="J23" s="183"/>
      <c r="K23" s="38">
        <f>+$K$14</f>
        <v>0</v>
      </c>
      <c r="L23" s="696"/>
      <c r="M23" s="678"/>
      <c r="N23" s="691"/>
      <c r="O23" s="691"/>
      <c r="P23" s="694"/>
      <c r="Q23" s="567"/>
      <c r="R23" s="567"/>
      <c r="S23" s="672"/>
      <c r="T23" s="675"/>
      <c r="U23" s="677"/>
      <c r="W23" s="34">
        <v>12</v>
      </c>
      <c r="X23" s="35">
        <f t="shared" si="1"/>
        <v>0</v>
      </c>
      <c r="Y23" s="35" t="str">
        <f t="shared" ca="1" si="2"/>
        <v>NO CUMPLE</v>
      </c>
      <c r="Z23" s="36" t="str">
        <f t="shared" ca="1" si="3"/>
        <v>NH</v>
      </c>
      <c r="AD23" s="35">
        <f t="shared" si="4"/>
        <v>0</v>
      </c>
      <c r="AE23" s="37" t="str">
        <f t="shared" ca="1" si="5"/>
        <v>NO CUMPLE</v>
      </c>
      <c r="AF23" s="43"/>
      <c r="AG23" s="36" t="s">
        <v>45</v>
      </c>
      <c r="AH23" s="38">
        <f t="shared" si="7"/>
        <v>270</v>
      </c>
      <c r="AI23" s="679"/>
    </row>
    <row r="24" spans="1:35" s="41" customFormat="1" ht="25" hidden="1" customHeight="1">
      <c r="A24" s="40"/>
      <c r="B24" s="653"/>
      <c r="C24" s="714"/>
      <c r="D24" s="714"/>
      <c r="E24" s="714"/>
      <c r="F24" s="714"/>
      <c r="G24" s="717"/>
      <c r="H24" s="686"/>
      <c r="I24" s="711"/>
      <c r="J24" s="183"/>
      <c r="K24" s="38">
        <f>+$K$15</f>
        <v>0</v>
      </c>
      <c r="L24" s="697"/>
      <c r="M24" s="680"/>
      <c r="N24" s="692"/>
      <c r="O24" s="692"/>
      <c r="P24" s="695"/>
      <c r="Q24" s="545"/>
      <c r="R24" s="545"/>
      <c r="S24" s="673"/>
      <c r="T24" s="675"/>
      <c r="U24" s="677"/>
      <c r="W24" s="34">
        <v>13</v>
      </c>
      <c r="X24" s="35">
        <f t="shared" si="1"/>
        <v>0</v>
      </c>
      <c r="Y24" s="35" t="str">
        <f t="shared" ca="1" si="2"/>
        <v>NO CUMPLE</v>
      </c>
      <c r="Z24" s="36" t="str">
        <f t="shared" ca="1" si="3"/>
        <v>NH</v>
      </c>
      <c r="AD24" s="35">
        <f t="shared" si="4"/>
        <v>0</v>
      </c>
      <c r="AE24" s="37" t="str">
        <f t="shared" ca="1" si="5"/>
        <v>NO CUMPLE</v>
      </c>
      <c r="AF24" s="43"/>
      <c r="AG24" s="36" t="s">
        <v>45</v>
      </c>
      <c r="AH24" s="38">
        <f t="shared" si="7"/>
        <v>292</v>
      </c>
      <c r="AI24" s="679"/>
    </row>
    <row r="25" spans="1:35" s="41" customFormat="1" ht="25" hidden="1" customHeight="1">
      <c r="A25" s="40"/>
      <c r="B25" s="651">
        <v>5</v>
      </c>
      <c r="C25" s="654"/>
      <c r="D25" s="654"/>
      <c r="E25" s="654"/>
      <c r="F25" s="654"/>
      <c r="G25" s="681"/>
      <c r="H25" s="684"/>
      <c r="I25" s="687"/>
      <c r="J25" s="183"/>
      <c r="K25" s="38">
        <f>+$K$13</f>
        <v>0</v>
      </c>
      <c r="L25" s="183"/>
      <c r="M25" s="38"/>
      <c r="N25" s="690"/>
      <c r="O25" s="690"/>
      <c r="P25" s="693"/>
      <c r="Q25" s="544"/>
      <c r="R25" s="544"/>
      <c r="S25" s="671">
        <f t="shared" ref="S25" si="10">IF(COUNTIF(J25:K27,"CUMPLE")&gt;=1,(G25*I25),0)* (IF(N25="PRESENTÓ CERTIFICADO",1,0))* (IF(O25="ACORDE A ITEM 6.2.2.1 (T.R.)",1,0) )* ( IF(OR(Q25="SIN OBSERVACIÓN", Q25="REQUERIMIENTOS SUBSANADOS"),1,0)) *(IF(OR(R25="NINGUNO", R25="CUMPLEN CON LO SOLICITADO"),1,0))</f>
        <v>0</v>
      </c>
      <c r="T25" s="675"/>
      <c r="U25" s="677">
        <f>IF(COUNTIF(L25:M27,"CUMPLE")&gt;=1,1,0)</f>
        <v>0</v>
      </c>
      <c r="W25" s="34">
        <v>14</v>
      </c>
      <c r="X25" s="35">
        <f t="shared" si="1"/>
        <v>0</v>
      </c>
      <c r="Y25" s="35" t="str">
        <f t="shared" ca="1" si="2"/>
        <v>NO CUMPLE</v>
      </c>
      <c r="Z25" s="36" t="str">
        <f t="shared" ca="1" si="3"/>
        <v>NH</v>
      </c>
      <c r="AD25" s="35">
        <f t="shared" si="4"/>
        <v>0</v>
      </c>
      <c r="AE25" s="37" t="str">
        <f t="shared" ca="1" si="5"/>
        <v>NO CUMPLE</v>
      </c>
      <c r="AF25" s="43"/>
      <c r="AG25" s="36" t="s">
        <v>45</v>
      </c>
      <c r="AH25" s="38">
        <f t="shared" si="7"/>
        <v>314</v>
      </c>
      <c r="AI25" s="679"/>
    </row>
    <row r="26" spans="1:35" s="41" customFormat="1" ht="25" hidden="1" customHeight="1">
      <c r="A26" s="40"/>
      <c r="B26" s="652"/>
      <c r="C26" s="655"/>
      <c r="D26" s="655"/>
      <c r="E26" s="655"/>
      <c r="F26" s="655"/>
      <c r="G26" s="682"/>
      <c r="H26" s="685"/>
      <c r="I26" s="688"/>
      <c r="J26" s="183"/>
      <c r="K26" s="38">
        <f>+$K$14</f>
        <v>0</v>
      </c>
      <c r="L26" s="696"/>
      <c r="M26" s="678"/>
      <c r="N26" s="691"/>
      <c r="O26" s="691"/>
      <c r="P26" s="694"/>
      <c r="Q26" s="567"/>
      <c r="R26" s="567"/>
      <c r="S26" s="672"/>
      <c r="T26" s="675"/>
      <c r="U26" s="677"/>
      <c r="W26" s="34">
        <v>15</v>
      </c>
      <c r="X26" s="35">
        <f t="shared" si="1"/>
        <v>0</v>
      </c>
      <c r="Y26" s="35" t="str">
        <f t="shared" ca="1" si="2"/>
        <v>NO CUMPLE</v>
      </c>
      <c r="Z26" s="36" t="str">
        <f ca="1">IF(Y26="CUMPLE","H","NH")</f>
        <v>NH</v>
      </c>
      <c r="AD26" s="35">
        <f t="shared" si="4"/>
        <v>0</v>
      </c>
      <c r="AE26" s="37">
        <f t="shared" ca="1" si="5"/>
        <v>0</v>
      </c>
      <c r="AF26" s="43"/>
      <c r="AG26" s="36" t="s">
        <v>45</v>
      </c>
      <c r="AH26" s="38">
        <f t="shared" si="7"/>
        <v>336</v>
      </c>
      <c r="AI26" s="679"/>
    </row>
    <row r="27" spans="1:35" s="41" customFormat="1" ht="25" hidden="1" customHeight="1">
      <c r="A27" s="40"/>
      <c r="B27" s="653"/>
      <c r="C27" s="656"/>
      <c r="D27" s="656"/>
      <c r="E27" s="656"/>
      <c r="F27" s="656"/>
      <c r="G27" s="683"/>
      <c r="H27" s="686"/>
      <c r="I27" s="689"/>
      <c r="J27" s="183"/>
      <c r="K27" s="38">
        <f>+$K$15</f>
        <v>0</v>
      </c>
      <c r="L27" s="697"/>
      <c r="M27" s="680"/>
      <c r="N27" s="692"/>
      <c r="O27" s="692"/>
      <c r="P27" s="695"/>
      <c r="Q27" s="545"/>
      <c r="R27" s="545"/>
      <c r="S27" s="673"/>
      <c r="T27" s="676"/>
      <c r="U27" s="677"/>
      <c r="W27" s="34">
        <v>16</v>
      </c>
      <c r="X27" s="35">
        <f t="shared" si="1"/>
        <v>0</v>
      </c>
      <c r="Y27" s="35" t="str">
        <f t="shared" ca="1" si="2"/>
        <v>NO CUMPLE</v>
      </c>
      <c r="Z27" s="36" t="str">
        <f ca="1">IF(Y27="CUMPLE","H","NH")</f>
        <v>NH</v>
      </c>
      <c r="AD27" s="35">
        <f t="shared" si="4"/>
        <v>0</v>
      </c>
      <c r="AE27" s="37">
        <f t="shared" ca="1" si="5"/>
        <v>0</v>
      </c>
      <c r="AG27" s="36" t="s">
        <v>45</v>
      </c>
      <c r="AH27" s="38">
        <f t="shared" si="7"/>
        <v>358</v>
      </c>
      <c r="AI27" s="679"/>
    </row>
    <row r="28" spans="1:35" s="28" customFormat="1" ht="25" customHeight="1">
      <c r="B28" s="698" t="str">
        <f>IF(S29=" "," ",IF(S29&gt;=$H$6,"CUMPLE CON LA EXPERIENCIA REQUERIDA","NO CUMPLE CON LA EXPERIENCIA REQUERIDA"))</f>
        <v>NO CUMPLE CON LA EXPERIENCIA REQUERIDA</v>
      </c>
      <c r="C28" s="699"/>
      <c r="D28" s="699"/>
      <c r="E28" s="699"/>
      <c r="F28" s="699"/>
      <c r="G28" s="699"/>
      <c r="H28" s="699"/>
      <c r="I28" s="699"/>
      <c r="J28" s="699"/>
      <c r="K28" s="699"/>
      <c r="L28" s="699"/>
      <c r="M28" s="699"/>
      <c r="N28" s="699"/>
      <c r="O28" s="700"/>
      <c r="P28" s="704" t="s">
        <v>46</v>
      </c>
      <c r="Q28" s="705"/>
      <c r="R28" s="706"/>
      <c r="S28" s="44">
        <f>IF(T13="SI",SUM(S13:S27),0)</f>
        <v>0</v>
      </c>
      <c r="T28" s="707" t="str">
        <f>IF(S29=" "," ",IF(S29&gt;=$H$6,"CUMPLE","NO CUMPLE"))</f>
        <v>NO CUMPLE</v>
      </c>
      <c r="W28" s="34">
        <v>17</v>
      </c>
      <c r="X28" s="35">
        <f t="shared" si="1"/>
        <v>0</v>
      </c>
      <c r="Y28" s="35" t="str">
        <f t="shared" ref="Y28" ca="1" si="11">VLOOKUP(X28,BANDERA,2,FALSE)</f>
        <v>NO CUMPLE</v>
      </c>
      <c r="Z28" s="36" t="str">
        <f t="shared" ref="Z28" ca="1" si="12">IF(Y28="CUMPLE","H","NH")</f>
        <v>NH</v>
      </c>
      <c r="AA28" s="41"/>
      <c r="AB28" s="41"/>
      <c r="AC28" s="41"/>
      <c r="AD28" s="35">
        <f t="shared" si="4"/>
        <v>0</v>
      </c>
      <c r="AE28" s="37">
        <f t="shared" ca="1" si="5"/>
        <v>0</v>
      </c>
      <c r="AF28" s="41"/>
      <c r="AG28" s="36" t="s">
        <v>45</v>
      </c>
      <c r="AH28" s="38">
        <f t="shared" si="7"/>
        <v>380</v>
      </c>
      <c r="AI28" s="680"/>
    </row>
    <row r="29" spans="1:35" s="41" customFormat="1" ht="25" customHeight="1">
      <c r="B29" s="701"/>
      <c r="C29" s="702"/>
      <c r="D29" s="702"/>
      <c r="E29" s="702"/>
      <c r="F29" s="702"/>
      <c r="G29" s="702"/>
      <c r="H29" s="702"/>
      <c r="I29" s="702"/>
      <c r="J29" s="702"/>
      <c r="K29" s="702"/>
      <c r="L29" s="702"/>
      <c r="M29" s="702"/>
      <c r="N29" s="702"/>
      <c r="O29" s="703"/>
      <c r="P29" s="704" t="s">
        <v>47</v>
      </c>
      <c r="Q29" s="705"/>
      <c r="R29" s="706"/>
      <c r="S29" s="44">
        <f>IFERROR((S28/$P$6)," ")</f>
        <v>0</v>
      </c>
      <c r="T29" s="708"/>
      <c r="W29" s="29"/>
      <c r="X29" s="29"/>
      <c r="Y29" s="29"/>
      <c r="Z29" s="29"/>
      <c r="AD29" s="13"/>
      <c r="AE29" s="13"/>
      <c r="AF29" s="13"/>
      <c r="AG29" s="13"/>
      <c r="AH29" s="13"/>
      <c r="AI29" s="13"/>
    </row>
    <row r="30" spans="1:35" s="41" customFormat="1" ht="30" customHeight="1">
      <c r="W30" s="29"/>
      <c r="X30" s="29"/>
      <c r="Y30" s="29"/>
      <c r="Z30" s="29"/>
      <c r="AD30" s="13"/>
      <c r="AE30" s="13"/>
      <c r="AF30" s="13"/>
      <c r="AG30" s="13"/>
      <c r="AH30" s="13"/>
      <c r="AI30" s="13"/>
    </row>
    <row r="31" spans="1:35" ht="30" customHeight="1">
      <c r="AA31" s="41"/>
      <c r="AB31" s="41"/>
      <c r="AC31" s="41"/>
    </row>
    <row r="32" spans="1:35" ht="56.25" customHeight="1">
      <c r="B32" s="26">
        <v>2</v>
      </c>
      <c r="C32" s="660" t="str">
        <f>+C10</f>
        <v>EXPERIENCIA ESPECÍFICA</v>
      </c>
      <c r="D32" s="661"/>
      <c r="E32" s="662"/>
      <c r="F32" s="663" t="str">
        <f>IFERROR(VLOOKUP(B32,LISTA_OFERENTES,2,FALSE)," ")</f>
        <v>UNIÓN TEMPORAL SUPERVISOR 2021</v>
      </c>
      <c r="G32" s="664"/>
      <c r="H32" s="664"/>
      <c r="I32" s="664"/>
      <c r="J32" s="664"/>
      <c r="K32" s="664"/>
      <c r="L32" s="664"/>
      <c r="M32" s="664"/>
      <c r="N32" s="664"/>
      <c r="O32" s="665"/>
      <c r="P32" s="666" t="s">
        <v>26</v>
      </c>
      <c r="Q32" s="667"/>
      <c r="R32" s="668"/>
      <c r="S32" s="27">
        <f>5-(INT(COUNTBLANK(C35:C49))-10)</f>
        <v>0</v>
      </c>
      <c r="T32" s="28"/>
      <c r="AA32" s="41"/>
      <c r="AB32" s="41"/>
      <c r="AC32" s="41"/>
    </row>
    <row r="33" spans="1:35" s="42" customFormat="1" ht="38.25" customHeight="1">
      <c r="B33" s="669" t="s">
        <v>27</v>
      </c>
      <c r="C33" s="643" t="s">
        <v>28</v>
      </c>
      <c r="D33" s="643" t="s">
        <v>29</v>
      </c>
      <c r="E33" s="643" t="s">
        <v>30</v>
      </c>
      <c r="F33" s="643" t="s">
        <v>31</v>
      </c>
      <c r="G33" s="643" t="s">
        <v>32</v>
      </c>
      <c r="H33" s="643" t="s">
        <v>33</v>
      </c>
      <c r="I33" s="643" t="s">
        <v>34</v>
      </c>
      <c r="J33" s="657" t="s">
        <v>35</v>
      </c>
      <c r="K33" s="658"/>
      <c r="L33" s="658"/>
      <c r="M33" s="659"/>
      <c r="N33" s="643" t="s">
        <v>36</v>
      </c>
      <c r="O33" s="643" t="s">
        <v>37</v>
      </c>
      <c r="P33" s="657" t="s">
        <v>38</v>
      </c>
      <c r="Q33" s="659"/>
      <c r="R33" s="643" t="s">
        <v>39</v>
      </c>
      <c r="S33" s="643" t="s">
        <v>40</v>
      </c>
      <c r="T33" s="643" t="str">
        <f>+$T$11</f>
        <v>Cumple con el requerimiento del numeral 6.2.2.2.1</v>
      </c>
      <c r="U33" s="643" t="str">
        <f>+$U$11</f>
        <v xml:space="preserve">VERIFICACIÓN CONDICIÓN DE EXPERIENCIA  </v>
      </c>
      <c r="V33" s="45"/>
      <c r="W33" s="29"/>
      <c r="X33" s="29"/>
      <c r="Y33" s="29"/>
      <c r="Z33" s="29"/>
      <c r="AA33" s="41"/>
      <c r="AB33" s="41"/>
      <c r="AC33" s="41"/>
      <c r="AD33" s="13"/>
      <c r="AE33" s="13"/>
      <c r="AF33" s="13"/>
      <c r="AG33" s="13"/>
      <c r="AH33" s="13"/>
      <c r="AI33" s="13"/>
    </row>
    <row r="34" spans="1:35" s="42" customFormat="1" ht="59.25" customHeight="1">
      <c r="B34" s="670"/>
      <c r="C34" s="644"/>
      <c r="D34" s="644"/>
      <c r="E34" s="644"/>
      <c r="F34" s="644"/>
      <c r="G34" s="644"/>
      <c r="H34" s="644"/>
      <c r="I34" s="644"/>
      <c r="J34" s="648" t="s">
        <v>43</v>
      </c>
      <c r="K34" s="649"/>
      <c r="L34" s="649"/>
      <c r="M34" s="650"/>
      <c r="N34" s="644"/>
      <c r="O34" s="644"/>
      <c r="P34" s="33" t="s">
        <v>10</v>
      </c>
      <c r="Q34" s="33" t="s">
        <v>44</v>
      </c>
      <c r="R34" s="644"/>
      <c r="S34" s="644"/>
      <c r="T34" s="644"/>
      <c r="U34" s="644"/>
      <c r="V34" s="45"/>
      <c r="W34" s="29"/>
      <c r="X34" s="29"/>
      <c r="Y34" s="29"/>
      <c r="Z34" s="29"/>
      <c r="AA34" s="41"/>
      <c r="AB34" s="41"/>
      <c r="AC34" s="41"/>
      <c r="AD34" s="13"/>
      <c r="AE34" s="13"/>
      <c r="AF34" s="13"/>
      <c r="AG34" s="13"/>
      <c r="AH34" s="13"/>
      <c r="AI34" s="13"/>
    </row>
    <row r="35" spans="1:35" s="41" customFormat="1" ht="30.75" hidden="1" customHeight="1">
      <c r="A35" s="40"/>
      <c r="B35" s="651">
        <v>1</v>
      </c>
      <c r="C35" s="654"/>
      <c r="D35" s="654"/>
      <c r="E35" s="654"/>
      <c r="F35" s="654"/>
      <c r="G35" s="681"/>
      <c r="H35" s="684"/>
      <c r="I35" s="687"/>
      <c r="J35" s="183"/>
      <c r="K35" s="38">
        <f>+$K$13</f>
        <v>0</v>
      </c>
      <c r="L35" s="183"/>
      <c r="M35" s="38">
        <f t="shared" ref="M35" si="13">+$M$13</f>
        <v>0</v>
      </c>
      <c r="N35" s="690"/>
      <c r="O35" s="690"/>
      <c r="P35" s="693"/>
      <c r="Q35" s="544"/>
      <c r="R35" s="544"/>
      <c r="S35" s="671">
        <f>IF(COUNTIF(J35:K37,"CUMPLE")&gt;=1,(G35*I35),0)* (IF(N35="PRESENTÓ CERTIFICADO",1,0))* (IF(O35="ACORDE A ITEM 6.2.2.1 (T.R.)",1,0) )* ( IF(OR(Q35="SIN OBSERVACIÓN", Q35="REQUERIMIENTOS SUBSANADOS"),1,0)) *(IF(OR(R35="NINGUNO", R35="CUMPLEN CON LO SOLICITADO"),1,0))</f>
        <v>0</v>
      </c>
      <c r="T35" s="674"/>
      <c r="U35" s="677">
        <f t="shared" ref="U35:U47" si="14">IF(COUNTIF(J35:K37,"CUMPLE")&gt;=1,1,0)</f>
        <v>0</v>
      </c>
      <c r="W35" s="29"/>
      <c r="X35" s="29"/>
      <c r="Y35" s="29"/>
      <c r="Z35" s="29"/>
      <c r="AD35" s="13"/>
      <c r="AE35" s="13"/>
      <c r="AF35" s="13"/>
      <c r="AG35" s="13"/>
      <c r="AH35" s="13"/>
      <c r="AI35" s="13"/>
    </row>
    <row r="36" spans="1:35" s="41" customFormat="1" ht="30.75" hidden="1" customHeight="1">
      <c r="A36" s="40"/>
      <c r="B36" s="652"/>
      <c r="C36" s="655"/>
      <c r="D36" s="655"/>
      <c r="E36" s="655"/>
      <c r="F36" s="655"/>
      <c r="G36" s="682"/>
      <c r="H36" s="685"/>
      <c r="I36" s="688"/>
      <c r="J36" s="183"/>
      <c r="K36" s="38">
        <f>+$K$14</f>
        <v>0</v>
      </c>
      <c r="L36" s="696"/>
      <c r="M36" s="678">
        <f t="shared" ref="M36" si="15">+$M$14</f>
        <v>0</v>
      </c>
      <c r="N36" s="691"/>
      <c r="O36" s="691"/>
      <c r="P36" s="694"/>
      <c r="Q36" s="567"/>
      <c r="R36" s="567"/>
      <c r="S36" s="672"/>
      <c r="T36" s="675"/>
      <c r="U36" s="677"/>
      <c r="W36" s="29"/>
      <c r="X36" s="29"/>
      <c r="Y36" s="29"/>
      <c r="Z36" s="29"/>
      <c r="AD36" s="13"/>
      <c r="AE36" s="13"/>
      <c r="AF36" s="13"/>
      <c r="AG36" s="13"/>
      <c r="AH36" s="13"/>
      <c r="AI36" s="13"/>
    </row>
    <row r="37" spans="1:35" s="41" customFormat="1" ht="30.75" hidden="1" customHeight="1">
      <c r="A37" s="40"/>
      <c r="B37" s="653"/>
      <c r="C37" s="656"/>
      <c r="D37" s="656"/>
      <c r="E37" s="656"/>
      <c r="F37" s="656"/>
      <c r="G37" s="683"/>
      <c r="H37" s="686"/>
      <c r="I37" s="689"/>
      <c r="J37" s="183"/>
      <c r="K37" s="38">
        <f>+$K$15</f>
        <v>0</v>
      </c>
      <c r="L37" s="697"/>
      <c r="M37" s="680"/>
      <c r="N37" s="692"/>
      <c r="O37" s="692"/>
      <c r="P37" s="695"/>
      <c r="Q37" s="545"/>
      <c r="R37" s="545"/>
      <c r="S37" s="673"/>
      <c r="T37" s="675"/>
      <c r="U37" s="677"/>
      <c r="W37" s="29"/>
      <c r="X37" s="29"/>
      <c r="Y37" s="29"/>
      <c r="Z37" s="29"/>
      <c r="AD37" s="13"/>
      <c r="AE37" s="13"/>
      <c r="AF37" s="13"/>
      <c r="AG37" s="13"/>
      <c r="AH37" s="13"/>
      <c r="AI37" s="13"/>
    </row>
    <row r="38" spans="1:35" s="41" customFormat="1" ht="25.5" hidden="1" customHeight="1">
      <c r="A38" s="40"/>
      <c r="B38" s="651">
        <v>2</v>
      </c>
      <c r="C38" s="712"/>
      <c r="D38" s="712"/>
      <c r="E38" s="718"/>
      <c r="F38" s="712"/>
      <c r="G38" s="715"/>
      <c r="H38" s="684"/>
      <c r="I38" s="709"/>
      <c r="J38" s="183"/>
      <c r="K38" s="38">
        <f>+$K$13</f>
        <v>0</v>
      </c>
      <c r="L38" s="183"/>
      <c r="M38" s="38">
        <f t="shared" ref="M38" si="16">+$M$13</f>
        <v>0</v>
      </c>
      <c r="N38" s="690"/>
      <c r="O38" s="690"/>
      <c r="P38" s="693"/>
      <c r="Q38" s="544"/>
      <c r="R38" s="544"/>
      <c r="S38" s="671">
        <f t="shared" ref="S38" si="17">IF(COUNTIF(J38:K40,"CUMPLE")&gt;=1,(G38*I38),0)* (IF(N38="PRESENTÓ CERTIFICADO",1,0))* (IF(O38="ACORDE A ITEM 6.2.2.1 (T.R.)",1,0) )* ( IF(OR(Q38="SIN OBSERVACIÓN", Q38="REQUERIMIENTOS SUBSANADOS"),1,0)) *(IF(OR(R38="NINGUNO", R38="CUMPLEN CON LO SOLICITADO"),1,0))</f>
        <v>0</v>
      </c>
      <c r="T38" s="675"/>
      <c r="U38" s="677">
        <f t="shared" si="14"/>
        <v>0</v>
      </c>
      <c r="W38" s="29"/>
      <c r="X38" s="29"/>
      <c r="Y38" s="29"/>
      <c r="Z38" s="29"/>
      <c r="AD38" s="13"/>
      <c r="AE38" s="13"/>
      <c r="AF38" s="13"/>
      <c r="AG38" s="13"/>
      <c r="AH38" s="13"/>
      <c r="AI38" s="13"/>
    </row>
    <row r="39" spans="1:35" s="41" customFormat="1" ht="25.5" hidden="1" customHeight="1">
      <c r="A39" s="40"/>
      <c r="B39" s="652"/>
      <c r="C39" s="713"/>
      <c r="D39" s="713"/>
      <c r="E39" s="719"/>
      <c r="F39" s="713"/>
      <c r="G39" s="716"/>
      <c r="H39" s="685"/>
      <c r="I39" s="710"/>
      <c r="J39" s="183"/>
      <c r="K39" s="38">
        <f>+$K$14</f>
        <v>0</v>
      </c>
      <c r="L39" s="696"/>
      <c r="M39" s="678">
        <f t="shared" ref="M39" si="18">+$M$14</f>
        <v>0</v>
      </c>
      <c r="N39" s="691"/>
      <c r="O39" s="691"/>
      <c r="P39" s="694"/>
      <c r="Q39" s="567"/>
      <c r="R39" s="567"/>
      <c r="S39" s="672"/>
      <c r="T39" s="675"/>
      <c r="U39" s="677"/>
      <c r="W39" s="29"/>
      <c r="X39" s="29"/>
      <c r="Y39" s="29"/>
      <c r="Z39" s="29"/>
      <c r="AD39" s="13"/>
      <c r="AE39" s="13"/>
      <c r="AF39" s="13"/>
      <c r="AG39" s="13"/>
      <c r="AH39" s="13"/>
      <c r="AI39" s="13"/>
    </row>
    <row r="40" spans="1:35" s="41" customFormat="1" ht="25.5" hidden="1" customHeight="1">
      <c r="A40" s="40"/>
      <c r="B40" s="653"/>
      <c r="C40" s="714"/>
      <c r="D40" s="714"/>
      <c r="E40" s="720"/>
      <c r="F40" s="714"/>
      <c r="G40" s="717"/>
      <c r="H40" s="686"/>
      <c r="I40" s="711"/>
      <c r="J40" s="183"/>
      <c r="K40" s="38">
        <f>+$K$15</f>
        <v>0</v>
      </c>
      <c r="L40" s="697"/>
      <c r="M40" s="680"/>
      <c r="N40" s="692"/>
      <c r="O40" s="692"/>
      <c r="P40" s="695"/>
      <c r="Q40" s="545"/>
      <c r="R40" s="545"/>
      <c r="S40" s="673"/>
      <c r="T40" s="675"/>
      <c r="U40" s="677"/>
      <c r="W40" s="29"/>
      <c r="X40" s="29"/>
      <c r="Y40" s="29"/>
      <c r="Z40" s="29"/>
      <c r="AD40" s="13"/>
      <c r="AE40" s="13"/>
      <c r="AF40" s="13"/>
      <c r="AG40" s="13"/>
      <c r="AH40" s="13"/>
      <c r="AI40" s="13"/>
    </row>
    <row r="41" spans="1:35" s="41" customFormat="1" ht="25" hidden="1" customHeight="1">
      <c r="A41" s="40"/>
      <c r="B41" s="651">
        <v>3</v>
      </c>
      <c r="C41" s="654"/>
      <c r="D41" s="654"/>
      <c r="E41" s="654"/>
      <c r="F41" s="654"/>
      <c r="G41" s="681"/>
      <c r="H41" s="684"/>
      <c r="I41" s="687"/>
      <c r="J41" s="183"/>
      <c r="K41" s="38">
        <f>+$K$13</f>
        <v>0</v>
      </c>
      <c r="L41" s="183"/>
      <c r="M41" s="38">
        <f t="shared" ref="M41" si="19">+$M$13</f>
        <v>0</v>
      </c>
      <c r="N41" s="690"/>
      <c r="O41" s="690"/>
      <c r="P41" s="693"/>
      <c r="Q41" s="544"/>
      <c r="R41" s="544"/>
      <c r="S41" s="671">
        <f t="shared" ref="S41" si="20">IF(COUNTIF(J41:K43,"CUMPLE")&gt;=1,(G41*I41),0)* (IF(N41="PRESENTÓ CERTIFICADO",1,0))* (IF(O41="ACORDE A ITEM 6.2.2.1 (T.R.)",1,0) )* ( IF(OR(Q41="SIN OBSERVACIÓN", Q41="REQUERIMIENTOS SUBSANADOS"),1,0)) *(IF(OR(R41="NINGUNO", R41="CUMPLEN CON LO SOLICITADO"),1,0))</f>
        <v>0</v>
      </c>
      <c r="T41" s="675"/>
      <c r="U41" s="677">
        <f t="shared" si="14"/>
        <v>0</v>
      </c>
      <c r="W41" s="29"/>
      <c r="X41" s="29"/>
      <c r="Y41" s="29"/>
      <c r="Z41" s="29"/>
      <c r="AA41" s="28"/>
      <c r="AB41" s="28"/>
      <c r="AC41" s="28"/>
      <c r="AD41" s="13"/>
      <c r="AE41" s="13"/>
      <c r="AF41" s="13"/>
      <c r="AG41" s="13"/>
      <c r="AH41" s="13"/>
      <c r="AI41" s="13"/>
    </row>
    <row r="42" spans="1:35" s="41" customFormat="1" ht="25" hidden="1" customHeight="1">
      <c r="A42" s="40"/>
      <c r="B42" s="652"/>
      <c r="C42" s="655"/>
      <c r="D42" s="655"/>
      <c r="E42" s="655"/>
      <c r="F42" s="655"/>
      <c r="G42" s="682"/>
      <c r="H42" s="685"/>
      <c r="I42" s="688"/>
      <c r="J42" s="183"/>
      <c r="K42" s="38">
        <f>+$K$14</f>
        <v>0</v>
      </c>
      <c r="L42" s="696"/>
      <c r="M42" s="678">
        <f t="shared" ref="M42" si="21">+$M$14</f>
        <v>0</v>
      </c>
      <c r="N42" s="691"/>
      <c r="O42" s="691"/>
      <c r="P42" s="694"/>
      <c r="Q42" s="567"/>
      <c r="R42" s="567"/>
      <c r="S42" s="672"/>
      <c r="T42" s="675"/>
      <c r="U42" s="677"/>
      <c r="W42" s="29"/>
      <c r="X42" s="29"/>
      <c r="Y42" s="29"/>
      <c r="Z42" s="29"/>
      <c r="AH42" s="13"/>
      <c r="AI42" s="13"/>
    </row>
    <row r="43" spans="1:35" s="41" customFormat="1" ht="25" hidden="1" customHeight="1">
      <c r="A43" s="40"/>
      <c r="B43" s="653"/>
      <c r="C43" s="656"/>
      <c r="D43" s="656"/>
      <c r="E43" s="656"/>
      <c r="F43" s="656"/>
      <c r="G43" s="683"/>
      <c r="H43" s="686"/>
      <c r="I43" s="689"/>
      <c r="J43" s="183"/>
      <c r="K43" s="38">
        <f>+$K$15</f>
        <v>0</v>
      </c>
      <c r="L43" s="697"/>
      <c r="M43" s="680"/>
      <c r="N43" s="692"/>
      <c r="O43" s="692"/>
      <c r="P43" s="695"/>
      <c r="Q43" s="545"/>
      <c r="R43" s="545"/>
      <c r="S43" s="673"/>
      <c r="T43" s="675"/>
      <c r="U43" s="677"/>
      <c r="W43" s="29"/>
      <c r="X43" s="29"/>
      <c r="Y43" s="29"/>
      <c r="Z43" s="29"/>
    </row>
    <row r="44" spans="1:35" s="41" customFormat="1" ht="25" hidden="1" customHeight="1">
      <c r="A44" s="40"/>
      <c r="B44" s="651">
        <v>4</v>
      </c>
      <c r="C44" s="712"/>
      <c r="D44" s="712"/>
      <c r="E44" s="712"/>
      <c r="F44" s="712"/>
      <c r="G44" s="715"/>
      <c r="H44" s="684"/>
      <c r="I44" s="709"/>
      <c r="J44" s="183"/>
      <c r="K44" s="38">
        <f>+$K$13</f>
        <v>0</v>
      </c>
      <c r="L44" s="183"/>
      <c r="M44" s="38">
        <f t="shared" ref="M44" si="22">+$M$13</f>
        <v>0</v>
      </c>
      <c r="N44" s="690"/>
      <c r="O44" s="690"/>
      <c r="P44" s="693"/>
      <c r="Q44" s="544"/>
      <c r="R44" s="544"/>
      <c r="S44" s="671">
        <f t="shared" ref="S44" si="23">IF(COUNTIF(J44:K46,"CUMPLE")&gt;=1,(G44*I44),0)* (IF(N44="PRESENTÓ CERTIFICADO",1,0))* (IF(O44="ACORDE A ITEM 6.2.2.1 (T.R.)",1,0) )* ( IF(OR(Q44="SIN OBSERVACIÓN", Q44="REQUERIMIENTOS SUBSANADOS"),1,0)) *(IF(OR(R44="NINGUNO", R44="CUMPLEN CON LO SOLICITADO"),1,0))</f>
        <v>0</v>
      </c>
      <c r="T44" s="675"/>
      <c r="U44" s="677">
        <f t="shared" si="14"/>
        <v>0</v>
      </c>
      <c r="W44" s="29"/>
      <c r="X44" s="29"/>
      <c r="Y44" s="29"/>
      <c r="Z44" s="29"/>
      <c r="AA44" s="13"/>
      <c r="AB44" s="13"/>
      <c r="AC44" s="13"/>
      <c r="AD44" s="13"/>
      <c r="AE44" s="13"/>
      <c r="AF44" s="13"/>
      <c r="AG44" s="13"/>
    </row>
    <row r="45" spans="1:35" s="41" customFormat="1" ht="25" hidden="1" customHeight="1">
      <c r="A45" s="40"/>
      <c r="B45" s="652"/>
      <c r="C45" s="713"/>
      <c r="D45" s="713"/>
      <c r="E45" s="713"/>
      <c r="F45" s="713"/>
      <c r="G45" s="716"/>
      <c r="H45" s="685"/>
      <c r="I45" s="710"/>
      <c r="J45" s="183"/>
      <c r="K45" s="38">
        <f>+$K$14</f>
        <v>0</v>
      </c>
      <c r="L45" s="696"/>
      <c r="M45" s="678">
        <f t="shared" ref="M45" si="24">+$M$14</f>
        <v>0</v>
      </c>
      <c r="N45" s="691"/>
      <c r="O45" s="691"/>
      <c r="P45" s="694"/>
      <c r="Q45" s="567"/>
      <c r="R45" s="567"/>
      <c r="S45" s="672"/>
      <c r="T45" s="675"/>
      <c r="U45" s="677"/>
      <c r="W45" s="29"/>
      <c r="X45" s="29"/>
      <c r="Y45" s="29"/>
      <c r="Z45" s="29"/>
      <c r="AA45" s="13"/>
      <c r="AB45" s="13"/>
      <c r="AC45" s="13"/>
      <c r="AD45" s="13"/>
      <c r="AE45" s="13"/>
      <c r="AF45" s="13"/>
      <c r="AG45" s="13"/>
    </row>
    <row r="46" spans="1:35" s="41" customFormat="1" ht="25" hidden="1" customHeight="1">
      <c r="A46" s="40"/>
      <c r="B46" s="653"/>
      <c r="C46" s="714"/>
      <c r="D46" s="714"/>
      <c r="E46" s="714"/>
      <c r="F46" s="714"/>
      <c r="G46" s="717"/>
      <c r="H46" s="686"/>
      <c r="I46" s="711"/>
      <c r="J46" s="183"/>
      <c r="K46" s="38">
        <f>+$K$15</f>
        <v>0</v>
      </c>
      <c r="L46" s="697"/>
      <c r="M46" s="680"/>
      <c r="N46" s="692"/>
      <c r="O46" s="692"/>
      <c r="P46" s="695"/>
      <c r="Q46" s="545"/>
      <c r="R46" s="545"/>
      <c r="S46" s="673"/>
      <c r="T46" s="675"/>
      <c r="U46" s="677"/>
      <c r="W46" s="29"/>
      <c r="X46" s="29"/>
      <c r="Y46" s="29"/>
      <c r="Z46" s="29"/>
      <c r="AA46" s="29"/>
      <c r="AB46" s="29"/>
      <c r="AC46" s="29"/>
      <c r="AD46" s="42"/>
      <c r="AE46" s="42"/>
      <c r="AF46" s="42"/>
      <c r="AG46" s="42"/>
    </row>
    <row r="47" spans="1:35" s="41" customFormat="1" ht="25" hidden="1" customHeight="1">
      <c r="A47" s="40"/>
      <c r="B47" s="651">
        <v>5</v>
      </c>
      <c r="C47" s="654"/>
      <c r="D47" s="654"/>
      <c r="E47" s="654"/>
      <c r="F47" s="654"/>
      <c r="G47" s="681"/>
      <c r="H47" s="684"/>
      <c r="I47" s="687"/>
      <c r="J47" s="183"/>
      <c r="K47" s="38">
        <f>+$K$13</f>
        <v>0</v>
      </c>
      <c r="L47" s="183"/>
      <c r="M47" s="38">
        <f t="shared" ref="M47" si="25">+$M$13</f>
        <v>0</v>
      </c>
      <c r="N47" s="690"/>
      <c r="O47" s="690"/>
      <c r="P47" s="693"/>
      <c r="Q47" s="544"/>
      <c r="R47" s="544"/>
      <c r="S47" s="671">
        <f t="shared" ref="S47" si="26">IF(COUNTIF(J47:K49,"CUMPLE")&gt;=1,(G47*I47),0)* (IF(N47="PRESENTÓ CERTIFICADO",1,0))* (IF(O47="ACORDE A ITEM 6.2.2.1 (T.R.)",1,0) )* ( IF(OR(Q47="SIN OBSERVACIÓN", Q47="REQUERIMIENTOS SUBSANADOS"),1,0)) *(IF(OR(R47="NINGUNO", R47="CUMPLEN CON LO SOLICITADO"),1,0))</f>
        <v>0</v>
      </c>
      <c r="T47" s="675"/>
      <c r="U47" s="677">
        <f t="shared" si="14"/>
        <v>0</v>
      </c>
      <c r="W47" s="29"/>
      <c r="X47" s="29"/>
      <c r="Y47" s="29"/>
      <c r="Z47" s="29"/>
      <c r="AA47" s="29"/>
      <c r="AB47" s="29"/>
      <c r="AC47" s="29"/>
      <c r="AD47" s="42"/>
      <c r="AE47" s="42"/>
      <c r="AF47" s="42"/>
      <c r="AG47" s="42"/>
    </row>
    <row r="48" spans="1:35" s="41" customFormat="1" ht="25" hidden="1" customHeight="1">
      <c r="A48" s="40"/>
      <c r="B48" s="652"/>
      <c r="C48" s="655"/>
      <c r="D48" s="655"/>
      <c r="E48" s="655"/>
      <c r="F48" s="655"/>
      <c r="G48" s="682"/>
      <c r="H48" s="685"/>
      <c r="I48" s="688"/>
      <c r="J48" s="183"/>
      <c r="K48" s="38">
        <f>+$K$14</f>
        <v>0</v>
      </c>
      <c r="L48" s="696"/>
      <c r="M48" s="678">
        <f t="shared" ref="M48" si="27">+$M$14</f>
        <v>0</v>
      </c>
      <c r="N48" s="691"/>
      <c r="O48" s="691"/>
      <c r="P48" s="694"/>
      <c r="Q48" s="567"/>
      <c r="R48" s="567"/>
      <c r="S48" s="672"/>
      <c r="T48" s="675"/>
      <c r="U48" s="677"/>
      <c r="W48" s="29"/>
      <c r="X48" s="29"/>
      <c r="Y48" s="29"/>
      <c r="Z48" s="29"/>
      <c r="AA48" s="29"/>
      <c r="AB48" s="29"/>
      <c r="AC48" s="29"/>
    </row>
    <row r="49" spans="1:35" s="41" customFormat="1" ht="25" hidden="1" customHeight="1">
      <c r="A49" s="40"/>
      <c r="B49" s="653"/>
      <c r="C49" s="656"/>
      <c r="D49" s="656"/>
      <c r="E49" s="656"/>
      <c r="F49" s="656"/>
      <c r="G49" s="683"/>
      <c r="H49" s="686"/>
      <c r="I49" s="689"/>
      <c r="J49" s="183"/>
      <c r="K49" s="38">
        <f>+$K$15</f>
        <v>0</v>
      </c>
      <c r="L49" s="697"/>
      <c r="M49" s="680"/>
      <c r="N49" s="692"/>
      <c r="O49" s="692"/>
      <c r="P49" s="695"/>
      <c r="Q49" s="545"/>
      <c r="R49" s="545"/>
      <c r="S49" s="673"/>
      <c r="T49" s="676"/>
      <c r="U49" s="677"/>
      <c r="W49" s="29"/>
      <c r="X49" s="29"/>
      <c r="Y49" s="29"/>
      <c r="Z49" s="29"/>
      <c r="AA49" s="29"/>
      <c r="AB49" s="29"/>
      <c r="AC49" s="29"/>
    </row>
    <row r="50" spans="1:35" s="28" customFormat="1" ht="25" customHeight="1">
      <c r="B50" s="698" t="str">
        <f>IF(S51=" "," ",IF(S51&gt;=$H$6,"CUMPLE CON LA EXPERIENCIA REQUERIDA","NO CUMPLE CON LA EXPERIENCIA REQUERIDA"))</f>
        <v>NO CUMPLE CON LA EXPERIENCIA REQUERIDA</v>
      </c>
      <c r="C50" s="699"/>
      <c r="D50" s="699"/>
      <c r="E50" s="699"/>
      <c r="F50" s="699"/>
      <c r="G50" s="699"/>
      <c r="H50" s="699"/>
      <c r="I50" s="699"/>
      <c r="J50" s="699"/>
      <c r="K50" s="699"/>
      <c r="L50" s="699"/>
      <c r="M50" s="699"/>
      <c r="N50" s="699"/>
      <c r="O50" s="700"/>
      <c r="P50" s="704" t="s">
        <v>46</v>
      </c>
      <c r="Q50" s="705"/>
      <c r="R50" s="706"/>
      <c r="S50" s="44">
        <f>IF(T35="SI",SUM(S35:S49),0)</f>
        <v>0</v>
      </c>
      <c r="T50" s="707" t="str">
        <f>IF(S51=" "," ",IF(S51&gt;=$H$6,"CUMPLE","NO CUMPLE"))</f>
        <v>NO CUMPLE</v>
      </c>
      <c r="W50" s="29"/>
      <c r="X50" s="29"/>
      <c r="Y50" s="29"/>
      <c r="Z50" s="29"/>
      <c r="AA50" s="29"/>
      <c r="AB50" s="29"/>
      <c r="AC50" s="29"/>
      <c r="AD50" s="41"/>
      <c r="AE50" s="41"/>
      <c r="AF50" s="41"/>
      <c r="AG50" s="41"/>
      <c r="AH50" s="41"/>
    </row>
    <row r="51" spans="1:35" s="41" customFormat="1" ht="25" customHeight="1">
      <c r="B51" s="701"/>
      <c r="C51" s="702"/>
      <c r="D51" s="702"/>
      <c r="E51" s="702"/>
      <c r="F51" s="702"/>
      <c r="G51" s="702"/>
      <c r="H51" s="702"/>
      <c r="I51" s="702"/>
      <c r="J51" s="702"/>
      <c r="K51" s="702"/>
      <c r="L51" s="702"/>
      <c r="M51" s="702"/>
      <c r="N51" s="702"/>
      <c r="O51" s="703"/>
      <c r="P51" s="704" t="s">
        <v>47</v>
      </c>
      <c r="Q51" s="705"/>
      <c r="R51" s="706"/>
      <c r="S51" s="44">
        <f>IFERROR((S50/$P$6)," ")</f>
        <v>0</v>
      </c>
      <c r="T51" s="708"/>
      <c r="W51" s="29"/>
      <c r="X51" s="29"/>
      <c r="Y51" s="29"/>
      <c r="Z51" s="29"/>
      <c r="AA51" s="29"/>
      <c r="AB51" s="29"/>
      <c r="AC51" s="29"/>
    </row>
    <row r="52" spans="1:35" ht="30" customHeight="1">
      <c r="AA52" s="29"/>
      <c r="AB52" s="29"/>
      <c r="AC52" s="29"/>
      <c r="AD52" s="41"/>
      <c r="AE52" s="41"/>
      <c r="AF52" s="41"/>
      <c r="AG52" s="41"/>
      <c r="AH52" s="28"/>
    </row>
    <row r="53" spans="1:35" ht="30" customHeight="1">
      <c r="AA53" s="29"/>
      <c r="AB53" s="29"/>
      <c r="AC53" s="29"/>
      <c r="AD53" s="41"/>
      <c r="AE53" s="41"/>
      <c r="AF53" s="41"/>
      <c r="AG53" s="41"/>
      <c r="AH53" s="41"/>
    </row>
    <row r="54" spans="1:35" ht="61.5" customHeight="1">
      <c r="B54" s="26">
        <v>3</v>
      </c>
      <c r="C54" s="660" t="str">
        <f>+C32</f>
        <v>EXPERIENCIA ESPECÍFICA</v>
      </c>
      <c r="D54" s="661"/>
      <c r="E54" s="662"/>
      <c r="F54" s="663" t="str">
        <f>IFERROR(VLOOKUP(B54,LISTA_OFERENTES,2,FALSE)," ")</f>
        <v>PreVeo S.A.S.</v>
      </c>
      <c r="G54" s="664"/>
      <c r="H54" s="664"/>
      <c r="I54" s="664"/>
      <c r="J54" s="664"/>
      <c r="K54" s="664"/>
      <c r="L54" s="664"/>
      <c r="M54" s="664"/>
      <c r="N54" s="664"/>
      <c r="O54" s="665"/>
      <c r="P54" s="666" t="s">
        <v>26</v>
      </c>
      <c r="Q54" s="667"/>
      <c r="R54" s="668"/>
      <c r="S54" s="27">
        <f>5-(INT(COUNTBLANK(C57:C71))-10)</f>
        <v>3</v>
      </c>
      <c r="T54" s="28"/>
      <c r="AA54" s="29"/>
      <c r="AB54" s="29"/>
      <c r="AC54" s="29"/>
      <c r="AD54" s="41"/>
      <c r="AE54" s="41"/>
      <c r="AF54" s="41"/>
      <c r="AG54" s="41"/>
    </row>
    <row r="55" spans="1:35" s="42" customFormat="1" ht="30" customHeight="1">
      <c r="B55" s="669" t="s">
        <v>27</v>
      </c>
      <c r="C55" s="643" t="s">
        <v>28</v>
      </c>
      <c r="D55" s="643" t="s">
        <v>29</v>
      </c>
      <c r="E55" s="643" t="s">
        <v>30</v>
      </c>
      <c r="F55" s="643" t="s">
        <v>31</v>
      </c>
      <c r="G55" s="643" t="s">
        <v>32</v>
      </c>
      <c r="H55" s="643" t="s">
        <v>33</v>
      </c>
      <c r="I55" s="643" t="s">
        <v>34</v>
      </c>
      <c r="J55" s="657" t="s">
        <v>35</v>
      </c>
      <c r="K55" s="658"/>
      <c r="L55" s="658"/>
      <c r="M55" s="659"/>
      <c r="N55" s="643" t="s">
        <v>36</v>
      </c>
      <c r="O55" s="643" t="s">
        <v>37</v>
      </c>
      <c r="P55" s="657" t="s">
        <v>38</v>
      </c>
      <c r="Q55" s="659"/>
      <c r="R55" s="643" t="s">
        <v>39</v>
      </c>
      <c r="S55" s="643" t="s">
        <v>40</v>
      </c>
      <c r="T55" s="643" t="str">
        <f>+$T$11</f>
        <v>Cumple con el requerimiento del numeral 6.2.2.2.1</v>
      </c>
      <c r="U55" s="643" t="str">
        <f>+$U$11</f>
        <v xml:space="preserve">VERIFICACIÓN CONDICIÓN DE EXPERIENCIA  </v>
      </c>
      <c r="V55" s="45"/>
      <c r="W55" s="29"/>
      <c r="X55" s="29"/>
      <c r="Y55" s="29"/>
      <c r="Z55" s="29"/>
      <c r="AA55" s="29"/>
      <c r="AB55" s="29"/>
      <c r="AC55" s="29"/>
      <c r="AD55" s="41"/>
      <c r="AE55" s="41"/>
      <c r="AF55" s="41"/>
      <c r="AG55" s="41"/>
      <c r="AH55" s="13"/>
    </row>
    <row r="56" spans="1:35" s="42" customFormat="1" ht="59.25" customHeight="1">
      <c r="B56" s="670"/>
      <c r="C56" s="644"/>
      <c r="D56" s="644"/>
      <c r="E56" s="644"/>
      <c r="F56" s="644"/>
      <c r="G56" s="644"/>
      <c r="H56" s="644"/>
      <c r="I56" s="644"/>
      <c r="J56" s="648" t="s">
        <v>43</v>
      </c>
      <c r="K56" s="649"/>
      <c r="L56" s="649"/>
      <c r="M56" s="650"/>
      <c r="N56" s="644"/>
      <c r="O56" s="644"/>
      <c r="P56" s="33" t="s">
        <v>10</v>
      </c>
      <c r="Q56" s="33" t="s">
        <v>44</v>
      </c>
      <c r="R56" s="644"/>
      <c r="S56" s="644"/>
      <c r="T56" s="644"/>
      <c r="U56" s="644"/>
      <c r="V56" s="45"/>
      <c r="W56" s="29"/>
      <c r="X56" s="29"/>
      <c r="Y56" s="29"/>
      <c r="Z56" s="29"/>
      <c r="AA56" s="29"/>
      <c r="AB56" s="29"/>
      <c r="AC56" s="29"/>
      <c r="AD56" s="41"/>
      <c r="AE56" s="41"/>
      <c r="AF56" s="41"/>
      <c r="AG56" s="41"/>
      <c r="AH56" s="13"/>
    </row>
    <row r="57" spans="1:35" s="41" customFormat="1" ht="25" customHeight="1">
      <c r="A57" s="40"/>
      <c r="B57" s="651">
        <v>1</v>
      </c>
      <c r="C57" s="654">
        <v>42</v>
      </c>
      <c r="D57" s="654">
        <v>22</v>
      </c>
      <c r="E57" s="654"/>
      <c r="F57" s="654" t="s">
        <v>277</v>
      </c>
      <c r="G57" s="681">
        <v>92.51</v>
      </c>
      <c r="H57" s="684" t="s">
        <v>274</v>
      </c>
      <c r="I57" s="687">
        <v>1</v>
      </c>
      <c r="J57" s="183"/>
      <c r="K57" s="38">
        <f>+$K$13</f>
        <v>0</v>
      </c>
      <c r="L57" s="183"/>
      <c r="M57" s="38">
        <f>+$M$13</f>
        <v>0</v>
      </c>
      <c r="N57" s="690" t="s">
        <v>151</v>
      </c>
      <c r="O57" s="690" t="s">
        <v>294</v>
      </c>
      <c r="P57" s="693" t="s">
        <v>301</v>
      </c>
      <c r="Q57" s="544" t="s">
        <v>153</v>
      </c>
      <c r="R57" s="544" t="s">
        <v>295</v>
      </c>
      <c r="S57" s="671">
        <f t="shared" ref="S57" si="28">IF(COUNTIF(J57:K59,"CUMPLE")&gt;=1,(G57*I57),0)* (IF(N57="PRESENTÓ CERTIFICADO",1,0))* (IF(O57="ACORDE A ITEM 6.2.2.1 (T.R.)",1,0) )* ( IF(OR(Q57="SIN OBSERVACIÓN", Q57="REQUERIMIENTOS SUBSANADOS"),1,0)) *(IF(OR(R57="NINGUNO", R57="CUMPLEN CON LO SOLICITADO"),1,0))</f>
        <v>0</v>
      </c>
      <c r="T57" s="674" t="s">
        <v>155</v>
      </c>
      <c r="U57" s="677">
        <f>IF(COUNTIF(J57:K59,"CUMPLE")&gt;=1,1,0)</f>
        <v>0</v>
      </c>
      <c r="W57" s="29"/>
      <c r="X57" s="29"/>
      <c r="Y57" s="29"/>
      <c r="Z57" s="29"/>
      <c r="AD57" s="13"/>
      <c r="AE57" s="13"/>
      <c r="AF57" s="13"/>
      <c r="AG57" s="13"/>
      <c r="AH57" s="13"/>
      <c r="AI57" s="13"/>
    </row>
    <row r="58" spans="1:35" s="41" customFormat="1" ht="25" customHeight="1">
      <c r="A58" s="40"/>
      <c r="B58" s="652"/>
      <c r="C58" s="655"/>
      <c r="D58" s="655"/>
      <c r="E58" s="655"/>
      <c r="F58" s="655"/>
      <c r="G58" s="682"/>
      <c r="H58" s="685"/>
      <c r="I58" s="688"/>
      <c r="J58" s="183"/>
      <c r="K58" s="38">
        <f>+$K$14</f>
        <v>0</v>
      </c>
      <c r="L58" s="696"/>
      <c r="M58" s="678">
        <f>+$M$14</f>
        <v>0</v>
      </c>
      <c r="N58" s="691"/>
      <c r="O58" s="691"/>
      <c r="P58" s="694"/>
      <c r="Q58" s="567"/>
      <c r="R58" s="567"/>
      <c r="S58" s="672"/>
      <c r="T58" s="675"/>
      <c r="U58" s="677"/>
      <c r="W58" s="29"/>
      <c r="X58" s="29"/>
      <c r="Y58" s="29"/>
      <c r="Z58" s="29"/>
      <c r="AD58" s="13"/>
      <c r="AE58" s="13"/>
      <c r="AF58" s="13"/>
      <c r="AG58" s="13"/>
      <c r="AH58" s="13"/>
      <c r="AI58" s="13"/>
    </row>
    <row r="59" spans="1:35" s="41" customFormat="1" ht="25" customHeight="1">
      <c r="A59" s="40"/>
      <c r="B59" s="653"/>
      <c r="C59" s="656"/>
      <c r="D59" s="656"/>
      <c r="E59" s="656"/>
      <c r="F59" s="656"/>
      <c r="G59" s="683"/>
      <c r="H59" s="686"/>
      <c r="I59" s="689"/>
      <c r="J59" s="183"/>
      <c r="K59" s="38">
        <f>+$K$15</f>
        <v>0</v>
      </c>
      <c r="L59" s="697"/>
      <c r="M59" s="680"/>
      <c r="N59" s="692"/>
      <c r="O59" s="692"/>
      <c r="P59" s="695"/>
      <c r="Q59" s="545"/>
      <c r="R59" s="545"/>
      <c r="S59" s="673"/>
      <c r="T59" s="675"/>
      <c r="U59" s="677"/>
      <c r="W59" s="29"/>
      <c r="X59" s="29"/>
      <c r="Y59" s="29"/>
      <c r="Z59" s="29"/>
      <c r="AD59" s="13"/>
      <c r="AE59" s="13"/>
      <c r="AF59" s="13"/>
      <c r="AG59" s="13"/>
      <c r="AH59" s="13"/>
      <c r="AI59" s="13"/>
    </row>
    <row r="60" spans="1:35" s="41" customFormat="1" ht="25" customHeight="1">
      <c r="A60" s="40"/>
      <c r="B60" s="651">
        <v>2</v>
      </c>
      <c r="C60" s="712">
        <v>57</v>
      </c>
      <c r="D60" s="712">
        <v>23</v>
      </c>
      <c r="E60" s="712" t="s">
        <v>275</v>
      </c>
      <c r="F60" s="712" t="s">
        <v>278</v>
      </c>
      <c r="G60" s="715">
        <v>791.89</v>
      </c>
      <c r="H60" s="684" t="s">
        <v>274</v>
      </c>
      <c r="I60" s="709">
        <v>1</v>
      </c>
      <c r="J60" s="183"/>
      <c r="K60" s="38">
        <f>+$K$13</f>
        <v>0</v>
      </c>
      <c r="L60" s="183"/>
      <c r="M60" s="38">
        <f>+$M$13</f>
        <v>0</v>
      </c>
      <c r="N60" s="690" t="s">
        <v>151</v>
      </c>
      <c r="O60" s="690" t="s">
        <v>294</v>
      </c>
      <c r="P60" s="693" t="s">
        <v>301</v>
      </c>
      <c r="Q60" s="544" t="s">
        <v>153</v>
      </c>
      <c r="R60" s="544" t="s">
        <v>295</v>
      </c>
      <c r="S60" s="671">
        <f t="shared" ref="S60" si="29">IF(COUNTIF(J60:K62,"CUMPLE")&gt;=1,(G60*I60),0)* (IF(N60="PRESENTÓ CERTIFICADO",1,0))* (IF(O60="ACORDE A ITEM 6.2.2.1 (T.R.)",1,0) )* ( IF(OR(Q60="SIN OBSERVACIÓN", Q60="REQUERIMIENTOS SUBSANADOS"),1,0)) *(IF(OR(R60="NINGUNO", R60="CUMPLEN CON LO SOLICITADO"),1,0))</f>
        <v>0</v>
      </c>
      <c r="T60" s="675"/>
      <c r="U60" s="677">
        <f t="shared" ref="U60:U69" si="30">IF(COUNTIF(J60:K62,"CUMPLE")&gt;=1,1,0)</f>
        <v>0</v>
      </c>
      <c r="W60" s="29"/>
      <c r="X60" s="29"/>
      <c r="Y60" s="29"/>
      <c r="Z60" s="29"/>
      <c r="AD60" s="13"/>
      <c r="AE60" s="13"/>
      <c r="AF60" s="13"/>
      <c r="AG60" s="13"/>
      <c r="AH60" s="13"/>
      <c r="AI60" s="13"/>
    </row>
    <row r="61" spans="1:35" s="41" customFormat="1" ht="25" customHeight="1">
      <c r="A61" s="40"/>
      <c r="B61" s="652"/>
      <c r="C61" s="713"/>
      <c r="D61" s="713"/>
      <c r="E61" s="713"/>
      <c r="F61" s="713"/>
      <c r="G61" s="716"/>
      <c r="H61" s="685"/>
      <c r="I61" s="710"/>
      <c r="J61" s="183"/>
      <c r="K61" s="38">
        <f>+$K$14</f>
        <v>0</v>
      </c>
      <c r="L61" s="696"/>
      <c r="M61" s="678">
        <f>+$M$14</f>
        <v>0</v>
      </c>
      <c r="N61" s="691"/>
      <c r="O61" s="691"/>
      <c r="P61" s="694"/>
      <c r="Q61" s="567"/>
      <c r="R61" s="567"/>
      <c r="S61" s="672"/>
      <c r="T61" s="675"/>
      <c r="U61" s="677"/>
      <c r="W61" s="29"/>
      <c r="X61" s="29"/>
      <c r="Y61" s="29"/>
      <c r="Z61" s="29"/>
      <c r="AD61" s="13"/>
      <c r="AE61" s="13"/>
      <c r="AF61" s="13"/>
      <c r="AG61" s="13"/>
      <c r="AH61" s="13"/>
      <c r="AI61" s="13"/>
    </row>
    <row r="62" spans="1:35" s="41" customFormat="1" ht="25" customHeight="1">
      <c r="A62" s="40"/>
      <c r="B62" s="653"/>
      <c r="C62" s="714"/>
      <c r="D62" s="714"/>
      <c r="E62" s="714"/>
      <c r="F62" s="714"/>
      <c r="G62" s="717"/>
      <c r="H62" s="686"/>
      <c r="I62" s="711"/>
      <c r="J62" s="183"/>
      <c r="K62" s="38">
        <f>+$K$15</f>
        <v>0</v>
      </c>
      <c r="L62" s="697"/>
      <c r="M62" s="680"/>
      <c r="N62" s="692"/>
      <c r="O62" s="692"/>
      <c r="P62" s="695"/>
      <c r="Q62" s="545"/>
      <c r="R62" s="545"/>
      <c r="S62" s="673"/>
      <c r="T62" s="675"/>
      <c r="U62" s="677"/>
      <c r="W62" s="29"/>
      <c r="X62" s="29"/>
      <c r="Y62" s="29"/>
      <c r="Z62" s="29"/>
      <c r="AD62" s="13"/>
      <c r="AE62" s="13"/>
      <c r="AF62" s="13"/>
      <c r="AG62" s="13"/>
      <c r="AH62" s="13"/>
      <c r="AI62" s="13"/>
    </row>
    <row r="63" spans="1:35" s="41" customFormat="1" ht="25" customHeight="1">
      <c r="A63" s="40"/>
      <c r="B63" s="651">
        <v>3</v>
      </c>
      <c r="C63" s="654">
        <v>67</v>
      </c>
      <c r="D63" s="654">
        <v>24</v>
      </c>
      <c r="E63" s="654" t="s">
        <v>276</v>
      </c>
      <c r="F63" s="654" t="s">
        <v>279</v>
      </c>
      <c r="G63" s="681">
        <v>89.99</v>
      </c>
      <c r="H63" s="684" t="s">
        <v>274</v>
      </c>
      <c r="I63" s="687">
        <v>1</v>
      </c>
      <c r="J63" s="183"/>
      <c r="K63" s="38">
        <f>+$K$13</f>
        <v>0</v>
      </c>
      <c r="L63" s="183"/>
      <c r="M63" s="38">
        <f>+$M$13</f>
        <v>0</v>
      </c>
      <c r="N63" s="690" t="s">
        <v>151</v>
      </c>
      <c r="O63" s="690" t="s">
        <v>294</v>
      </c>
      <c r="P63" s="693" t="s">
        <v>301</v>
      </c>
      <c r="Q63" s="544" t="s">
        <v>153</v>
      </c>
      <c r="R63" s="544" t="s">
        <v>295</v>
      </c>
      <c r="S63" s="671">
        <f t="shared" ref="S63" si="31">IF(COUNTIF(J63:K65,"CUMPLE")&gt;=1,(G63*I63),0)* (IF(N63="PRESENTÓ CERTIFICADO",1,0))* (IF(O63="ACORDE A ITEM 6.2.2.1 (T.R.)",1,0) )* ( IF(OR(Q63="SIN OBSERVACIÓN", Q63="REQUERIMIENTOS SUBSANADOS"),1,0)) *(IF(OR(R63="NINGUNO", R63="CUMPLEN CON LO SOLICITADO"),1,0))</f>
        <v>0</v>
      </c>
      <c r="T63" s="675"/>
      <c r="U63" s="677">
        <f t="shared" si="30"/>
        <v>0</v>
      </c>
      <c r="W63" s="29"/>
      <c r="X63" s="29"/>
      <c r="Y63" s="29"/>
      <c r="Z63" s="29"/>
      <c r="AA63" s="28"/>
      <c r="AB63" s="28"/>
      <c r="AC63" s="28"/>
      <c r="AD63" s="13"/>
      <c r="AE63" s="13"/>
      <c r="AF63" s="13"/>
      <c r="AG63" s="13"/>
      <c r="AH63" s="13"/>
      <c r="AI63" s="13"/>
    </row>
    <row r="64" spans="1:35" s="41" customFormat="1" ht="25" customHeight="1">
      <c r="A64" s="40"/>
      <c r="B64" s="652"/>
      <c r="C64" s="655"/>
      <c r="D64" s="655"/>
      <c r="E64" s="655"/>
      <c r="F64" s="655"/>
      <c r="G64" s="682"/>
      <c r="H64" s="685"/>
      <c r="I64" s="688"/>
      <c r="J64" s="183"/>
      <c r="K64" s="38">
        <f>+$K$14</f>
        <v>0</v>
      </c>
      <c r="L64" s="696"/>
      <c r="M64" s="678">
        <f>+$M$14</f>
        <v>0</v>
      </c>
      <c r="N64" s="691"/>
      <c r="O64" s="691"/>
      <c r="P64" s="694"/>
      <c r="Q64" s="567"/>
      <c r="R64" s="567"/>
      <c r="S64" s="672"/>
      <c r="T64" s="675"/>
      <c r="U64" s="677"/>
      <c r="W64" s="29"/>
      <c r="X64" s="29"/>
      <c r="Y64" s="29"/>
      <c r="Z64" s="29"/>
      <c r="AH64" s="13"/>
      <c r="AI64" s="13"/>
    </row>
    <row r="65" spans="1:35" s="41" customFormat="1" ht="30" customHeight="1">
      <c r="A65" s="40"/>
      <c r="B65" s="653"/>
      <c r="C65" s="656"/>
      <c r="D65" s="656"/>
      <c r="E65" s="656"/>
      <c r="F65" s="656"/>
      <c r="G65" s="683"/>
      <c r="H65" s="686"/>
      <c r="I65" s="689"/>
      <c r="J65" s="183"/>
      <c r="K65" s="38">
        <f>+$K$15</f>
        <v>0</v>
      </c>
      <c r="L65" s="697"/>
      <c r="M65" s="680"/>
      <c r="N65" s="692"/>
      <c r="O65" s="692"/>
      <c r="P65" s="695"/>
      <c r="Q65" s="545"/>
      <c r="R65" s="545"/>
      <c r="S65" s="673"/>
      <c r="T65" s="675"/>
      <c r="U65" s="677"/>
      <c r="W65" s="29"/>
      <c r="X65" s="29"/>
      <c r="Y65" s="29"/>
      <c r="Z65" s="29"/>
    </row>
    <row r="66" spans="1:35" s="41" customFormat="1" ht="25" hidden="1" customHeight="1">
      <c r="A66" s="40"/>
      <c r="B66" s="651">
        <v>4</v>
      </c>
      <c r="C66" s="712"/>
      <c r="D66" s="712"/>
      <c r="E66" s="712"/>
      <c r="F66" s="712"/>
      <c r="G66" s="715"/>
      <c r="H66" s="684"/>
      <c r="I66" s="709"/>
      <c r="J66" s="183"/>
      <c r="K66" s="38">
        <f>+$K$13</f>
        <v>0</v>
      </c>
      <c r="L66" s="183"/>
      <c r="M66" s="38">
        <f>+$M$13</f>
        <v>0</v>
      </c>
      <c r="N66" s="690"/>
      <c r="O66" s="690"/>
      <c r="P66" s="693"/>
      <c r="Q66" s="544"/>
      <c r="R66" s="544"/>
      <c r="S66" s="671">
        <f t="shared" ref="S66" si="32">IF(COUNTIF(J66:K68,"CUMPLE")&gt;=1,(G66*I66),0)* (IF(N66="PRESENTÓ CERTIFICADO",1,0))* (IF(O66="ACORDE A ITEM 6.2.2.1 (T.R.)",1,0) )* ( IF(OR(Q66="SIN OBSERVACIÓN", Q66="REQUERIMIENTOS SUBSANADOS"),1,0)) *(IF(OR(R66="NINGUNO", R66="CUMPLEN CON LO SOLICITADO"),1,0))</f>
        <v>0</v>
      </c>
      <c r="T66" s="675"/>
      <c r="U66" s="677">
        <f t="shared" si="30"/>
        <v>0</v>
      </c>
      <c r="W66" s="29"/>
      <c r="X66" s="29"/>
      <c r="Y66" s="29"/>
      <c r="Z66" s="29"/>
      <c r="AA66" s="13"/>
      <c r="AB66" s="13"/>
      <c r="AC66" s="13"/>
      <c r="AD66" s="13"/>
      <c r="AE66" s="13"/>
      <c r="AF66" s="13"/>
      <c r="AG66" s="13"/>
    </row>
    <row r="67" spans="1:35" s="41" customFormat="1" ht="25" hidden="1" customHeight="1">
      <c r="A67" s="40"/>
      <c r="B67" s="652"/>
      <c r="C67" s="713"/>
      <c r="D67" s="713"/>
      <c r="E67" s="713"/>
      <c r="F67" s="713"/>
      <c r="G67" s="716"/>
      <c r="H67" s="685"/>
      <c r="I67" s="710"/>
      <c r="J67" s="183"/>
      <c r="K67" s="38">
        <f>+$K$14</f>
        <v>0</v>
      </c>
      <c r="L67" s="696"/>
      <c r="M67" s="678">
        <f>+$M$14</f>
        <v>0</v>
      </c>
      <c r="N67" s="691"/>
      <c r="O67" s="691"/>
      <c r="P67" s="694"/>
      <c r="Q67" s="567"/>
      <c r="R67" s="567"/>
      <c r="S67" s="672"/>
      <c r="T67" s="675"/>
      <c r="U67" s="677"/>
      <c r="W67" s="29"/>
      <c r="X67" s="29"/>
      <c r="Y67" s="29"/>
      <c r="Z67" s="29"/>
      <c r="AA67" s="13"/>
      <c r="AB67" s="13"/>
      <c r="AC67" s="13"/>
      <c r="AD67" s="13"/>
      <c r="AE67" s="13"/>
      <c r="AF67" s="13"/>
      <c r="AG67" s="13"/>
    </row>
    <row r="68" spans="1:35" s="41" customFormat="1" ht="25" hidden="1" customHeight="1">
      <c r="A68" s="40"/>
      <c r="B68" s="653"/>
      <c r="C68" s="714"/>
      <c r="D68" s="714"/>
      <c r="E68" s="714"/>
      <c r="F68" s="714"/>
      <c r="G68" s="717"/>
      <c r="H68" s="686"/>
      <c r="I68" s="711"/>
      <c r="J68" s="183"/>
      <c r="K68" s="38">
        <f>+$K$15</f>
        <v>0</v>
      </c>
      <c r="L68" s="697"/>
      <c r="M68" s="680"/>
      <c r="N68" s="692"/>
      <c r="O68" s="692"/>
      <c r="P68" s="695"/>
      <c r="Q68" s="545"/>
      <c r="R68" s="545"/>
      <c r="S68" s="673"/>
      <c r="T68" s="675"/>
      <c r="U68" s="677"/>
      <c r="W68" s="29"/>
      <c r="X68" s="29"/>
      <c r="Y68" s="29"/>
      <c r="Z68" s="29"/>
      <c r="AA68" s="29"/>
      <c r="AB68" s="29"/>
      <c r="AC68" s="29"/>
      <c r="AD68" s="42"/>
      <c r="AE68" s="42"/>
      <c r="AF68" s="42"/>
      <c r="AG68" s="42"/>
    </row>
    <row r="69" spans="1:35" s="41" customFormat="1" ht="25" hidden="1" customHeight="1">
      <c r="A69" s="40"/>
      <c r="B69" s="651">
        <v>5</v>
      </c>
      <c r="C69" s="654"/>
      <c r="D69" s="654"/>
      <c r="E69" s="654"/>
      <c r="F69" s="654"/>
      <c r="G69" s="681"/>
      <c r="H69" s="684"/>
      <c r="I69" s="687"/>
      <c r="J69" s="183"/>
      <c r="K69" s="38">
        <f>+$K$13</f>
        <v>0</v>
      </c>
      <c r="L69" s="183"/>
      <c r="M69" s="38">
        <f>+$M$13</f>
        <v>0</v>
      </c>
      <c r="N69" s="690"/>
      <c r="O69" s="690"/>
      <c r="P69" s="693"/>
      <c r="Q69" s="544"/>
      <c r="R69" s="544"/>
      <c r="S69" s="671">
        <f t="shared" ref="S69" si="33">IF(COUNTIF(J69:K71,"CUMPLE")&gt;=1,(G69*I69),0)* (IF(N69="PRESENTÓ CERTIFICADO",1,0))* (IF(O69="ACORDE A ITEM 6.2.2.1 (T.R.)",1,0) )* ( IF(OR(Q69="SIN OBSERVACIÓN", Q69="REQUERIMIENTOS SUBSANADOS"),1,0)) *(IF(OR(R69="NINGUNO", R69="CUMPLEN CON LO SOLICITADO"),1,0))</f>
        <v>0</v>
      </c>
      <c r="T69" s="675"/>
      <c r="U69" s="677">
        <f t="shared" si="30"/>
        <v>0</v>
      </c>
      <c r="W69" s="29"/>
      <c r="X69" s="29"/>
      <c r="Y69" s="29"/>
      <c r="Z69" s="29"/>
      <c r="AA69" s="29"/>
      <c r="AB69" s="29"/>
      <c r="AC69" s="29"/>
      <c r="AD69" s="42"/>
      <c r="AE69" s="42"/>
      <c r="AF69" s="42"/>
      <c r="AG69" s="42"/>
    </row>
    <row r="70" spans="1:35" s="41" customFormat="1" ht="25" hidden="1" customHeight="1">
      <c r="A70" s="40"/>
      <c r="B70" s="652"/>
      <c r="C70" s="655"/>
      <c r="D70" s="655"/>
      <c r="E70" s="655"/>
      <c r="F70" s="655"/>
      <c r="G70" s="682"/>
      <c r="H70" s="685"/>
      <c r="I70" s="688"/>
      <c r="J70" s="183"/>
      <c r="K70" s="38">
        <f>+$K$14</f>
        <v>0</v>
      </c>
      <c r="L70" s="696"/>
      <c r="M70" s="678">
        <f>+$M$14</f>
        <v>0</v>
      </c>
      <c r="N70" s="691"/>
      <c r="O70" s="691"/>
      <c r="P70" s="694"/>
      <c r="Q70" s="567"/>
      <c r="R70" s="567"/>
      <c r="S70" s="672"/>
      <c r="T70" s="675"/>
      <c r="U70" s="677"/>
      <c r="W70" s="29"/>
      <c r="X70" s="29"/>
      <c r="Y70" s="29"/>
      <c r="Z70" s="29"/>
      <c r="AA70" s="29"/>
      <c r="AB70" s="29"/>
      <c r="AC70" s="29"/>
    </row>
    <row r="71" spans="1:35" s="41" customFormat="1" ht="25" hidden="1" customHeight="1">
      <c r="A71" s="40"/>
      <c r="B71" s="653"/>
      <c r="C71" s="656"/>
      <c r="D71" s="656"/>
      <c r="E71" s="656"/>
      <c r="F71" s="656"/>
      <c r="G71" s="683"/>
      <c r="H71" s="686"/>
      <c r="I71" s="689"/>
      <c r="J71" s="183"/>
      <c r="K71" s="38">
        <f>+$K$15</f>
        <v>0</v>
      </c>
      <c r="L71" s="697"/>
      <c r="M71" s="680"/>
      <c r="N71" s="692"/>
      <c r="O71" s="692"/>
      <c r="P71" s="695"/>
      <c r="Q71" s="545"/>
      <c r="R71" s="545"/>
      <c r="S71" s="673"/>
      <c r="T71" s="676"/>
      <c r="U71" s="677"/>
      <c r="W71" s="29"/>
      <c r="X71" s="29"/>
      <c r="Y71" s="29"/>
      <c r="Z71" s="29"/>
      <c r="AA71" s="29"/>
      <c r="AB71" s="29"/>
      <c r="AC71" s="29"/>
    </row>
    <row r="72" spans="1:35" s="28" customFormat="1" ht="25" customHeight="1">
      <c r="B72" s="698" t="str">
        <f>IF(S73=" "," ",IF(S73&gt;=$H$6,"CUMPLE CON LA EXPERIENCIA REQUERIDA","NO CUMPLE CON LA EXPERIENCIA REQUERIDA"))</f>
        <v>NO CUMPLE CON LA EXPERIENCIA REQUERIDA</v>
      </c>
      <c r="C72" s="699"/>
      <c r="D72" s="699"/>
      <c r="E72" s="699"/>
      <c r="F72" s="699"/>
      <c r="G72" s="699"/>
      <c r="H72" s="699"/>
      <c r="I72" s="699"/>
      <c r="J72" s="699"/>
      <c r="K72" s="699"/>
      <c r="L72" s="699"/>
      <c r="M72" s="699"/>
      <c r="N72" s="699"/>
      <c r="O72" s="700"/>
      <c r="P72" s="704" t="s">
        <v>46</v>
      </c>
      <c r="Q72" s="705"/>
      <c r="R72" s="706"/>
      <c r="S72" s="44">
        <f>IF(T57="SI",SUM(S57:S71),0)</f>
        <v>0</v>
      </c>
      <c r="T72" s="707" t="s">
        <v>315</v>
      </c>
      <c r="W72" s="29"/>
      <c r="X72" s="29"/>
      <c r="Y72" s="29"/>
      <c r="Z72" s="29"/>
      <c r="AA72" s="29"/>
      <c r="AB72" s="29"/>
      <c r="AC72" s="29"/>
      <c r="AD72" s="41"/>
      <c r="AE72" s="41"/>
      <c r="AF72" s="41"/>
      <c r="AG72" s="41"/>
      <c r="AH72" s="41"/>
    </row>
    <row r="73" spans="1:35" s="41" customFormat="1" ht="25" customHeight="1">
      <c r="B73" s="701"/>
      <c r="C73" s="702"/>
      <c r="D73" s="702"/>
      <c r="E73" s="702"/>
      <c r="F73" s="702"/>
      <c r="G73" s="702"/>
      <c r="H73" s="702"/>
      <c r="I73" s="702"/>
      <c r="J73" s="702"/>
      <c r="K73" s="702"/>
      <c r="L73" s="702"/>
      <c r="M73" s="702"/>
      <c r="N73" s="702"/>
      <c r="O73" s="703"/>
      <c r="P73" s="704" t="s">
        <v>47</v>
      </c>
      <c r="Q73" s="705"/>
      <c r="R73" s="706"/>
      <c r="S73" s="44">
        <f>IFERROR((S72/$P$6)," ")</f>
        <v>0</v>
      </c>
      <c r="T73" s="708"/>
      <c r="W73" s="29"/>
      <c r="X73" s="29"/>
      <c r="Y73" s="29"/>
      <c r="Z73" s="29"/>
      <c r="AA73" s="29"/>
      <c r="AB73" s="29"/>
      <c r="AC73" s="29"/>
    </row>
    <row r="74" spans="1:35" ht="30" customHeight="1">
      <c r="AA74" s="29"/>
      <c r="AB74" s="29"/>
      <c r="AC74" s="29"/>
      <c r="AD74" s="41"/>
      <c r="AE74" s="41"/>
      <c r="AF74" s="41"/>
      <c r="AG74" s="41"/>
      <c r="AH74" s="28"/>
    </row>
    <row r="75" spans="1:35" ht="30" customHeight="1">
      <c r="AA75" s="29"/>
      <c r="AB75" s="29"/>
      <c r="AC75" s="29"/>
      <c r="AD75" s="41"/>
      <c r="AE75" s="41"/>
      <c r="AF75" s="41"/>
      <c r="AG75" s="41"/>
      <c r="AH75" s="41"/>
    </row>
    <row r="76" spans="1:35" ht="62.25" customHeight="1">
      <c r="B76" s="26">
        <v>4</v>
      </c>
      <c r="C76" s="660" t="str">
        <f>+C54</f>
        <v>EXPERIENCIA ESPECÍFICA</v>
      </c>
      <c r="D76" s="661"/>
      <c r="E76" s="662"/>
      <c r="F76" s="663" t="str">
        <f>IFERROR(VLOOKUP(B76,LISTA_OFERENTES,2,FALSE)," ")</f>
        <v>INTERVE S.A.S.</v>
      </c>
      <c r="G76" s="664"/>
      <c r="H76" s="664"/>
      <c r="I76" s="664"/>
      <c r="J76" s="664"/>
      <c r="K76" s="664"/>
      <c r="L76" s="664"/>
      <c r="M76" s="664"/>
      <c r="N76" s="664"/>
      <c r="O76" s="665"/>
      <c r="P76" s="666" t="s">
        <v>26</v>
      </c>
      <c r="Q76" s="667"/>
      <c r="R76" s="668"/>
      <c r="S76" s="27">
        <f>5-(INT(COUNTBLANK(C79:C93))-10)</f>
        <v>3</v>
      </c>
      <c r="T76" s="28"/>
      <c r="AA76" s="29"/>
      <c r="AB76" s="29"/>
      <c r="AC76" s="29"/>
      <c r="AD76" s="41"/>
      <c r="AE76" s="41"/>
      <c r="AF76" s="41"/>
      <c r="AG76" s="41"/>
    </row>
    <row r="77" spans="1:35" s="42" customFormat="1" ht="30" customHeight="1">
      <c r="B77" s="669" t="s">
        <v>27</v>
      </c>
      <c r="C77" s="643" t="s">
        <v>28</v>
      </c>
      <c r="D77" s="643" t="s">
        <v>29</v>
      </c>
      <c r="E77" s="643" t="s">
        <v>30</v>
      </c>
      <c r="F77" s="643" t="s">
        <v>31</v>
      </c>
      <c r="G77" s="643" t="s">
        <v>32</v>
      </c>
      <c r="H77" s="643" t="s">
        <v>33</v>
      </c>
      <c r="I77" s="643" t="s">
        <v>34</v>
      </c>
      <c r="J77" s="657" t="s">
        <v>35</v>
      </c>
      <c r="K77" s="658"/>
      <c r="L77" s="658"/>
      <c r="M77" s="659"/>
      <c r="N77" s="643" t="s">
        <v>36</v>
      </c>
      <c r="O77" s="643" t="s">
        <v>37</v>
      </c>
      <c r="P77" s="657" t="s">
        <v>38</v>
      </c>
      <c r="Q77" s="659"/>
      <c r="R77" s="643" t="s">
        <v>39</v>
      </c>
      <c r="S77" s="643" t="s">
        <v>40</v>
      </c>
      <c r="T77" s="643" t="str">
        <f>+$T$11</f>
        <v>Cumple con el requerimiento del numeral 6.2.2.2.1</v>
      </c>
      <c r="U77" s="643" t="str">
        <f>+$U$11</f>
        <v xml:space="preserve">VERIFICACIÓN CONDICIÓN DE EXPERIENCIA  </v>
      </c>
      <c r="V77" s="45"/>
      <c r="W77" s="29"/>
      <c r="X77" s="29"/>
      <c r="Y77" s="29"/>
      <c r="Z77" s="29"/>
      <c r="AA77" s="29"/>
      <c r="AB77" s="29"/>
      <c r="AC77" s="29"/>
      <c r="AD77" s="41"/>
      <c r="AE77" s="41"/>
      <c r="AF77" s="41"/>
      <c r="AG77" s="41"/>
      <c r="AH77" s="13"/>
    </row>
    <row r="78" spans="1:35" s="42" customFormat="1" ht="105.75" customHeight="1">
      <c r="B78" s="670"/>
      <c r="C78" s="644"/>
      <c r="D78" s="644"/>
      <c r="E78" s="644"/>
      <c r="F78" s="644"/>
      <c r="G78" s="644"/>
      <c r="H78" s="644"/>
      <c r="I78" s="644"/>
      <c r="J78" s="648" t="s">
        <v>43</v>
      </c>
      <c r="K78" s="649"/>
      <c r="L78" s="649"/>
      <c r="M78" s="650"/>
      <c r="N78" s="644"/>
      <c r="O78" s="644"/>
      <c r="P78" s="33" t="s">
        <v>10</v>
      </c>
      <c r="Q78" s="33" t="s">
        <v>44</v>
      </c>
      <c r="R78" s="644"/>
      <c r="S78" s="644"/>
      <c r="T78" s="644"/>
      <c r="U78" s="644"/>
      <c r="V78" s="45"/>
      <c r="W78" s="29"/>
      <c r="X78" s="29"/>
      <c r="Y78" s="29"/>
      <c r="Z78" s="29"/>
      <c r="AA78" s="29"/>
      <c r="AB78" s="29"/>
      <c r="AC78" s="29"/>
      <c r="AD78" s="41"/>
      <c r="AE78" s="41"/>
      <c r="AF78" s="41"/>
      <c r="AG78" s="41"/>
      <c r="AH78" s="13"/>
    </row>
    <row r="79" spans="1:35" s="41" customFormat="1" ht="25" customHeight="1">
      <c r="A79" s="40"/>
      <c r="B79" s="651">
        <v>1</v>
      </c>
      <c r="C79" s="654">
        <v>64</v>
      </c>
      <c r="D79" s="654">
        <v>108</v>
      </c>
      <c r="E79" s="654" t="s">
        <v>285</v>
      </c>
      <c r="F79" s="654" t="s">
        <v>288</v>
      </c>
      <c r="G79" s="681">
        <v>561.46</v>
      </c>
      <c r="H79" s="684" t="s">
        <v>274</v>
      </c>
      <c r="I79" s="687">
        <v>1</v>
      </c>
      <c r="J79" s="183"/>
      <c r="K79" s="38">
        <f>+$K$13</f>
        <v>0</v>
      </c>
      <c r="L79" s="183"/>
      <c r="M79" s="38">
        <f>+$M$13</f>
        <v>0</v>
      </c>
      <c r="N79" s="690" t="s">
        <v>151</v>
      </c>
      <c r="O79" s="690" t="s">
        <v>294</v>
      </c>
      <c r="P79" s="693" t="s">
        <v>301</v>
      </c>
      <c r="Q79" s="544" t="s">
        <v>153</v>
      </c>
      <c r="R79" s="544" t="s">
        <v>295</v>
      </c>
      <c r="S79" s="671">
        <f t="shared" ref="S79" si="34">IF(COUNTIF(J79:K81,"CUMPLE")&gt;=1,(G79*I79),0)* (IF(N79="PRESENTÓ CERTIFICADO",1,0))* (IF(O79="ACORDE A ITEM 6.2.2.1 (T.R.)",1,0) )* ( IF(OR(Q79="SIN OBSERVACIÓN", Q79="REQUERIMIENTOS SUBSANADOS"),1,0)) *(IF(OR(R79="NINGUNO", R79="CUMPLEN CON LO SOLICITADO"),1,0))</f>
        <v>0</v>
      </c>
      <c r="T79" s="674" t="s">
        <v>155</v>
      </c>
      <c r="U79" s="677">
        <f t="shared" ref="U79:U91" si="35">IF(COUNTIF(J79:K81,"CUMPLE")&gt;=1,1,0)</f>
        <v>0</v>
      </c>
      <c r="W79" s="29"/>
      <c r="X79" s="29"/>
      <c r="Y79" s="29"/>
      <c r="Z79" s="29"/>
      <c r="AD79" s="13"/>
      <c r="AE79" s="13"/>
      <c r="AF79" s="13"/>
      <c r="AG79" s="13"/>
      <c r="AH79" s="13"/>
      <c r="AI79" s="13"/>
    </row>
    <row r="80" spans="1:35" s="41" customFormat="1" ht="25" customHeight="1">
      <c r="A80" s="40"/>
      <c r="B80" s="652"/>
      <c r="C80" s="655"/>
      <c r="D80" s="655"/>
      <c r="E80" s="655"/>
      <c r="F80" s="655"/>
      <c r="G80" s="682"/>
      <c r="H80" s="685"/>
      <c r="I80" s="688"/>
      <c r="J80" s="183"/>
      <c r="K80" s="38">
        <f>+$K$14</f>
        <v>0</v>
      </c>
      <c r="L80" s="696"/>
      <c r="M80" s="678">
        <f>+$M$14</f>
        <v>0</v>
      </c>
      <c r="N80" s="691"/>
      <c r="O80" s="691"/>
      <c r="P80" s="694"/>
      <c r="Q80" s="567"/>
      <c r="R80" s="567"/>
      <c r="S80" s="672"/>
      <c r="T80" s="675"/>
      <c r="U80" s="677"/>
      <c r="W80" s="29"/>
      <c r="X80" s="29"/>
      <c r="Y80" s="29"/>
      <c r="Z80" s="29"/>
      <c r="AD80" s="13"/>
      <c r="AE80" s="13"/>
      <c r="AF80" s="13"/>
      <c r="AG80" s="13"/>
      <c r="AH80" s="13"/>
      <c r="AI80" s="13"/>
    </row>
    <row r="81" spans="1:35" s="41" customFormat="1" ht="25" customHeight="1">
      <c r="A81" s="40"/>
      <c r="B81" s="653"/>
      <c r="C81" s="656"/>
      <c r="D81" s="656"/>
      <c r="E81" s="656"/>
      <c r="F81" s="656"/>
      <c r="G81" s="683"/>
      <c r="H81" s="686"/>
      <c r="I81" s="689"/>
      <c r="J81" s="183"/>
      <c r="K81" s="38">
        <f>+$K$15</f>
        <v>0</v>
      </c>
      <c r="L81" s="697"/>
      <c r="M81" s="680"/>
      <c r="N81" s="692"/>
      <c r="O81" s="692"/>
      <c r="P81" s="695"/>
      <c r="Q81" s="545"/>
      <c r="R81" s="545"/>
      <c r="S81" s="673"/>
      <c r="T81" s="675"/>
      <c r="U81" s="677"/>
      <c r="W81" s="29"/>
      <c r="X81" s="29"/>
      <c r="Y81" s="29"/>
      <c r="Z81" s="29"/>
      <c r="AD81" s="13"/>
      <c r="AE81" s="13"/>
      <c r="AF81" s="13"/>
      <c r="AG81" s="13"/>
      <c r="AH81" s="13"/>
      <c r="AI81" s="13"/>
    </row>
    <row r="82" spans="1:35" s="41" customFormat="1" ht="25" customHeight="1">
      <c r="A82" s="40"/>
      <c r="B82" s="651">
        <v>2</v>
      </c>
      <c r="C82" s="712">
        <v>65</v>
      </c>
      <c r="D82" s="712">
        <v>109</v>
      </c>
      <c r="E82" s="712" t="s">
        <v>286</v>
      </c>
      <c r="F82" s="712" t="s">
        <v>288</v>
      </c>
      <c r="G82" s="715">
        <v>168.58</v>
      </c>
      <c r="H82" s="684" t="s">
        <v>274</v>
      </c>
      <c r="I82" s="709">
        <v>1</v>
      </c>
      <c r="J82" s="183"/>
      <c r="K82" s="38">
        <f>+$K$13</f>
        <v>0</v>
      </c>
      <c r="L82" s="183"/>
      <c r="M82" s="38">
        <f>+$M$13</f>
        <v>0</v>
      </c>
      <c r="N82" s="690" t="s">
        <v>151</v>
      </c>
      <c r="O82" s="690" t="s">
        <v>294</v>
      </c>
      <c r="P82" s="693"/>
      <c r="Q82" s="544" t="s">
        <v>153</v>
      </c>
      <c r="R82" s="544" t="s">
        <v>295</v>
      </c>
      <c r="S82" s="671">
        <f t="shared" ref="S82" si="36">IF(COUNTIF(J82:K84,"CUMPLE")&gt;=1,(G82*I82),0)* (IF(N82="PRESENTÓ CERTIFICADO",1,0))* (IF(O82="ACORDE A ITEM 6.2.2.1 (T.R.)",1,0) )* ( IF(OR(Q82="SIN OBSERVACIÓN", Q82="REQUERIMIENTOS SUBSANADOS"),1,0)) *(IF(OR(R82="NINGUNO", R82="CUMPLEN CON LO SOLICITADO"),1,0))</f>
        <v>0</v>
      </c>
      <c r="T82" s="675"/>
      <c r="U82" s="677">
        <f t="shared" si="35"/>
        <v>0</v>
      </c>
      <c r="W82" s="29"/>
      <c r="X82" s="29"/>
      <c r="Y82" s="29"/>
      <c r="Z82" s="29"/>
      <c r="AD82" s="13"/>
      <c r="AE82" s="13"/>
      <c r="AF82" s="13"/>
      <c r="AG82" s="13"/>
      <c r="AH82" s="13"/>
      <c r="AI82" s="13"/>
    </row>
    <row r="83" spans="1:35" s="41" customFormat="1" ht="25" customHeight="1">
      <c r="A83" s="40"/>
      <c r="B83" s="652"/>
      <c r="C83" s="713"/>
      <c r="D83" s="713"/>
      <c r="E83" s="713"/>
      <c r="F83" s="713"/>
      <c r="G83" s="716"/>
      <c r="H83" s="685"/>
      <c r="I83" s="710"/>
      <c r="J83" s="183"/>
      <c r="K83" s="38">
        <f>+$K$14</f>
        <v>0</v>
      </c>
      <c r="L83" s="696"/>
      <c r="M83" s="678">
        <f>+$M$14</f>
        <v>0</v>
      </c>
      <c r="N83" s="691"/>
      <c r="O83" s="691"/>
      <c r="P83" s="694"/>
      <c r="Q83" s="567"/>
      <c r="R83" s="567"/>
      <c r="S83" s="672"/>
      <c r="T83" s="675"/>
      <c r="U83" s="677"/>
      <c r="W83" s="29"/>
      <c r="X83" s="29"/>
      <c r="Y83" s="29"/>
      <c r="Z83" s="29"/>
      <c r="AD83" s="13"/>
      <c r="AE83" s="13"/>
      <c r="AF83" s="13"/>
      <c r="AG83" s="13"/>
      <c r="AH83" s="13"/>
      <c r="AI83" s="13"/>
    </row>
    <row r="84" spans="1:35" s="41" customFormat="1" ht="25" customHeight="1">
      <c r="A84" s="40"/>
      <c r="B84" s="653"/>
      <c r="C84" s="714"/>
      <c r="D84" s="714"/>
      <c r="E84" s="714"/>
      <c r="F84" s="714"/>
      <c r="G84" s="717"/>
      <c r="H84" s="686"/>
      <c r="I84" s="711"/>
      <c r="J84" s="183"/>
      <c r="K84" s="38">
        <f>+$K$15</f>
        <v>0</v>
      </c>
      <c r="L84" s="697"/>
      <c r="M84" s="680"/>
      <c r="N84" s="692"/>
      <c r="O84" s="692"/>
      <c r="P84" s="695"/>
      <c r="Q84" s="545"/>
      <c r="R84" s="545"/>
      <c r="S84" s="673"/>
      <c r="T84" s="675"/>
      <c r="U84" s="677"/>
      <c r="W84" s="29"/>
      <c r="X84" s="29"/>
      <c r="Y84" s="29"/>
      <c r="Z84" s="29"/>
      <c r="AD84" s="13"/>
      <c r="AE84" s="13"/>
      <c r="AF84" s="13"/>
      <c r="AG84" s="13"/>
      <c r="AH84" s="13"/>
      <c r="AI84" s="13"/>
    </row>
    <row r="85" spans="1:35" s="41" customFormat="1" ht="25" customHeight="1">
      <c r="A85" s="40"/>
      <c r="B85" s="651">
        <v>3</v>
      </c>
      <c r="C85" s="654">
        <v>66</v>
      </c>
      <c r="D85" s="654">
        <v>110</v>
      </c>
      <c r="E85" s="654" t="s">
        <v>287</v>
      </c>
      <c r="F85" s="654" t="s">
        <v>289</v>
      </c>
      <c r="G85" s="681">
        <v>803.76</v>
      </c>
      <c r="H85" s="684" t="s">
        <v>274</v>
      </c>
      <c r="I85" s="687">
        <v>1</v>
      </c>
      <c r="J85" s="183"/>
      <c r="K85" s="38">
        <f>+$K$13</f>
        <v>0</v>
      </c>
      <c r="L85" s="183"/>
      <c r="M85" s="38">
        <f>+$M$13</f>
        <v>0</v>
      </c>
      <c r="N85" s="690" t="s">
        <v>151</v>
      </c>
      <c r="O85" s="690" t="s">
        <v>294</v>
      </c>
      <c r="P85" s="693" t="s">
        <v>301</v>
      </c>
      <c r="Q85" s="544" t="s">
        <v>153</v>
      </c>
      <c r="R85" s="544" t="s">
        <v>295</v>
      </c>
      <c r="S85" s="671">
        <f t="shared" ref="S85" si="37">IF(COUNTIF(J85:K87,"CUMPLE")&gt;=1,(G85*I85),0)* (IF(N85="PRESENTÓ CERTIFICADO",1,0))* (IF(O85="ACORDE A ITEM 6.2.2.1 (T.R.)",1,0) )* ( IF(OR(Q85="SIN OBSERVACIÓN", Q85="REQUERIMIENTOS SUBSANADOS"),1,0)) *(IF(OR(R85="NINGUNO", R85="CUMPLEN CON LO SOLICITADO"),1,0))</f>
        <v>0</v>
      </c>
      <c r="T85" s="675"/>
      <c r="U85" s="677">
        <f t="shared" si="35"/>
        <v>0</v>
      </c>
      <c r="W85" s="29"/>
      <c r="X85" s="29"/>
      <c r="Y85" s="29"/>
      <c r="Z85" s="29"/>
      <c r="AA85" s="28"/>
      <c r="AB85" s="28"/>
      <c r="AC85" s="28"/>
      <c r="AD85" s="13"/>
      <c r="AE85" s="13"/>
      <c r="AF85" s="13"/>
      <c r="AG85" s="13"/>
      <c r="AH85" s="13"/>
      <c r="AI85" s="13"/>
    </row>
    <row r="86" spans="1:35" s="41" customFormat="1" ht="25" customHeight="1">
      <c r="A86" s="40"/>
      <c r="B86" s="652"/>
      <c r="C86" s="655"/>
      <c r="D86" s="655"/>
      <c r="E86" s="655"/>
      <c r="F86" s="655"/>
      <c r="G86" s="682"/>
      <c r="H86" s="685"/>
      <c r="I86" s="688"/>
      <c r="J86" s="183"/>
      <c r="K86" s="38">
        <f>+$K$14</f>
        <v>0</v>
      </c>
      <c r="L86" s="696"/>
      <c r="M86" s="678">
        <f>+$M$14</f>
        <v>0</v>
      </c>
      <c r="N86" s="691"/>
      <c r="O86" s="691"/>
      <c r="P86" s="694"/>
      <c r="Q86" s="567"/>
      <c r="R86" s="567"/>
      <c r="S86" s="672"/>
      <c r="T86" s="675"/>
      <c r="U86" s="677"/>
      <c r="W86" s="29"/>
      <c r="X86" s="29"/>
      <c r="Y86" s="29"/>
      <c r="Z86" s="29"/>
      <c r="AH86" s="13"/>
      <c r="AI86" s="13"/>
    </row>
    <row r="87" spans="1:35" s="41" customFormat="1" ht="25" customHeight="1">
      <c r="A87" s="40"/>
      <c r="B87" s="653"/>
      <c r="C87" s="656"/>
      <c r="D87" s="656"/>
      <c r="E87" s="656"/>
      <c r="F87" s="656"/>
      <c r="G87" s="683"/>
      <c r="H87" s="686"/>
      <c r="I87" s="689"/>
      <c r="J87" s="183"/>
      <c r="K87" s="38">
        <f>+$K$15</f>
        <v>0</v>
      </c>
      <c r="L87" s="697"/>
      <c r="M87" s="680"/>
      <c r="N87" s="692"/>
      <c r="O87" s="692"/>
      <c r="P87" s="695"/>
      <c r="Q87" s="545"/>
      <c r="R87" s="545"/>
      <c r="S87" s="673"/>
      <c r="T87" s="675"/>
      <c r="U87" s="677"/>
      <c r="W87" s="29"/>
      <c r="X87" s="29"/>
      <c r="Y87" s="29"/>
      <c r="Z87" s="29"/>
    </row>
    <row r="88" spans="1:35" s="41" customFormat="1" ht="25" hidden="1" customHeight="1">
      <c r="A88" s="40"/>
      <c r="B88" s="651">
        <v>4</v>
      </c>
      <c r="C88" s="712"/>
      <c r="D88" s="712"/>
      <c r="E88" s="712"/>
      <c r="F88" s="712"/>
      <c r="G88" s="715"/>
      <c r="H88" s="684"/>
      <c r="I88" s="709"/>
      <c r="J88" s="183"/>
      <c r="K88" s="38">
        <f>+$K$13</f>
        <v>0</v>
      </c>
      <c r="L88" s="183"/>
      <c r="M88" s="38">
        <f>+$M$13</f>
        <v>0</v>
      </c>
      <c r="N88" s="690"/>
      <c r="O88" s="690"/>
      <c r="P88" s="693"/>
      <c r="Q88" s="544"/>
      <c r="R88" s="544"/>
      <c r="S88" s="671">
        <f t="shared" ref="S88" si="38">IF(COUNTIF(J88:K90,"CUMPLE")&gt;=1,(G88*I88),0)* (IF(N88="PRESENTÓ CERTIFICADO",1,0))* (IF(O88="ACORDE A ITEM 6.2.2.1 (T.R.)",1,0) )* ( IF(OR(Q88="SIN OBSERVACIÓN", Q88="REQUERIMIENTOS SUBSANADOS"),1,0)) *(IF(OR(R88="NINGUNO", R88="CUMPLEN CON LO SOLICITADO"),1,0))</f>
        <v>0</v>
      </c>
      <c r="T88" s="675"/>
      <c r="U88" s="677">
        <f t="shared" si="35"/>
        <v>0</v>
      </c>
      <c r="W88" s="29"/>
      <c r="X88" s="29"/>
      <c r="Y88" s="29"/>
      <c r="Z88" s="29"/>
      <c r="AA88" s="13"/>
      <c r="AB88" s="13"/>
      <c r="AC88" s="13"/>
      <c r="AD88" s="13"/>
      <c r="AE88" s="13"/>
      <c r="AF88" s="13"/>
      <c r="AG88" s="13"/>
    </row>
    <row r="89" spans="1:35" s="41" customFormat="1" ht="25" hidden="1" customHeight="1">
      <c r="A89" s="40"/>
      <c r="B89" s="652"/>
      <c r="C89" s="713"/>
      <c r="D89" s="713"/>
      <c r="E89" s="713"/>
      <c r="F89" s="713"/>
      <c r="G89" s="716"/>
      <c r="H89" s="685"/>
      <c r="I89" s="710"/>
      <c r="J89" s="183"/>
      <c r="K89" s="38">
        <f>+$K$14</f>
        <v>0</v>
      </c>
      <c r="L89" s="696"/>
      <c r="M89" s="678">
        <f>+$M$14</f>
        <v>0</v>
      </c>
      <c r="N89" s="691"/>
      <c r="O89" s="691"/>
      <c r="P89" s="694"/>
      <c r="Q89" s="567"/>
      <c r="R89" s="567"/>
      <c r="S89" s="672"/>
      <c r="T89" s="675"/>
      <c r="U89" s="677"/>
      <c r="W89" s="29"/>
      <c r="X89" s="29"/>
      <c r="Y89" s="29"/>
      <c r="Z89" s="29"/>
      <c r="AA89" s="13"/>
      <c r="AB89" s="13"/>
      <c r="AC89" s="13"/>
      <c r="AD89" s="13"/>
      <c r="AE89" s="13"/>
      <c r="AF89" s="13"/>
      <c r="AG89" s="13"/>
    </row>
    <row r="90" spans="1:35" s="41" customFormat="1" ht="25" hidden="1" customHeight="1">
      <c r="A90" s="40"/>
      <c r="B90" s="653"/>
      <c r="C90" s="714"/>
      <c r="D90" s="714"/>
      <c r="E90" s="714"/>
      <c r="F90" s="714"/>
      <c r="G90" s="717"/>
      <c r="H90" s="686"/>
      <c r="I90" s="711"/>
      <c r="J90" s="183"/>
      <c r="K90" s="38">
        <f>+$K$15</f>
        <v>0</v>
      </c>
      <c r="L90" s="697"/>
      <c r="M90" s="680"/>
      <c r="N90" s="692"/>
      <c r="O90" s="692"/>
      <c r="P90" s="695"/>
      <c r="Q90" s="545"/>
      <c r="R90" s="545"/>
      <c r="S90" s="673"/>
      <c r="T90" s="675"/>
      <c r="U90" s="677"/>
      <c r="W90" s="29"/>
      <c r="X90" s="29"/>
      <c r="Y90" s="29"/>
      <c r="Z90" s="29"/>
      <c r="AA90" s="29"/>
      <c r="AB90" s="29"/>
      <c r="AC90" s="29"/>
      <c r="AD90" s="42"/>
      <c r="AE90" s="42"/>
      <c r="AF90" s="42"/>
      <c r="AG90" s="42"/>
    </row>
    <row r="91" spans="1:35" s="41" customFormat="1" ht="25" hidden="1" customHeight="1">
      <c r="A91" s="40"/>
      <c r="B91" s="651">
        <v>5</v>
      </c>
      <c r="C91" s="654"/>
      <c r="D91" s="654"/>
      <c r="E91" s="654"/>
      <c r="F91" s="654"/>
      <c r="G91" s="681"/>
      <c r="H91" s="684"/>
      <c r="I91" s="687"/>
      <c r="J91" s="183"/>
      <c r="K91" s="38">
        <f>+$K$13</f>
        <v>0</v>
      </c>
      <c r="L91" s="183"/>
      <c r="M91" s="38">
        <f>+$M$13</f>
        <v>0</v>
      </c>
      <c r="N91" s="690"/>
      <c r="O91" s="690"/>
      <c r="P91" s="693"/>
      <c r="Q91" s="544"/>
      <c r="R91" s="544"/>
      <c r="S91" s="671">
        <f t="shared" ref="S91" si="39">IF(COUNTIF(J91:K93,"CUMPLE")&gt;=1,(G91*I91),0)* (IF(N91="PRESENTÓ CERTIFICADO",1,0))* (IF(O91="ACORDE A ITEM 6.2.2.1 (T.R.)",1,0) )* ( IF(OR(Q91="SIN OBSERVACIÓN", Q91="REQUERIMIENTOS SUBSANADOS"),1,0)) *(IF(OR(R91="NINGUNO", R91="CUMPLEN CON LO SOLICITADO"),1,0))</f>
        <v>0</v>
      </c>
      <c r="T91" s="675"/>
      <c r="U91" s="677">
        <f t="shared" si="35"/>
        <v>0</v>
      </c>
      <c r="W91" s="29"/>
      <c r="X91" s="29"/>
      <c r="Y91" s="29"/>
      <c r="Z91" s="29"/>
      <c r="AA91" s="29"/>
      <c r="AB91" s="29"/>
      <c r="AC91" s="29"/>
      <c r="AD91" s="42"/>
      <c r="AE91" s="42"/>
      <c r="AF91" s="42"/>
      <c r="AG91" s="42"/>
    </row>
    <row r="92" spans="1:35" s="41" customFormat="1" ht="25" hidden="1" customHeight="1">
      <c r="A92" s="40"/>
      <c r="B92" s="652"/>
      <c r="C92" s="655"/>
      <c r="D92" s="655"/>
      <c r="E92" s="655"/>
      <c r="F92" s="655"/>
      <c r="G92" s="682"/>
      <c r="H92" s="685"/>
      <c r="I92" s="688"/>
      <c r="J92" s="183"/>
      <c r="K92" s="38">
        <f>+$K$14</f>
        <v>0</v>
      </c>
      <c r="L92" s="696"/>
      <c r="M92" s="678">
        <f>+$M$14</f>
        <v>0</v>
      </c>
      <c r="N92" s="691"/>
      <c r="O92" s="691"/>
      <c r="P92" s="694"/>
      <c r="Q92" s="567"/>
      <c r="R92" s="567"/>
      <c r="S92" s="672"/>
      <c r="T92" s="675"/>
      <c r="U92" s="677"/>
      <c r="W92" s="29"/>
      <c r="X92" s="29"/>
      <c r="Y92" s="29"/>
      <c r="Z92" s="29"/>
      <c r="AA92" s="29"/>
      <c r="AB92" s="29"/>
      <c r="AC92" s="29"/>
    </row>
    <row r="93" spans="1:35" s="41" customFormat="1" ht="25" hidden="1" customHeight="1">
      <c r="A93" s="40"/>
      <c r="B93" s="653"/>
      <c r="C93" s="656"/>
      <c r="D93" s="656"/>
      <c r="E93" s="656"/>
      <c r="F93" s="656"/>
      <c r="G93" s="683"/>
      <c r="H93" s="686"/>
      <c r="I93" s="689"/>
      <c r="J93" s="183"/>
      <c r="K93" s="38">
        <f>+$K$15</f>
        <v>0</v>
      </c>
      <c r="L93" s="697"/>
      <c r="M93" s="680"/>
      <c r="N93" s="692"/>
      <c r="O93" s="692"/>
      <c r="P93" s="695"/>
      <c r="Q93" s="545"/>
      <c r="R93" s="545"/>
      <c r="S93" s="673"/>
      <c r="T93" s="676"/>
      <c r="U93" s="677"/>
      <c r="W93" s="29"/>
      <c r="X93" s="29"/>
      <c r="Y93" s="29"/>
      <c r="Z93" s="29"/>
      <c r="AA93" s="29"/>
      <c r="AB93" s="29"/>
      <c r="AC93" s="29"/>
    </row>
    <row r="94" spans="1:35" s="28" customFormat="1" ht="25" customHeight="1">
      <c r="B94" s="698" t="str">
        <f>IF(S95=" "," ",IF(S95&gt;=$H$6,"CUMPLE CON LA EXPERIENCIA REQUERIDA","NO CUMPLE CON LA EXPERIENCIA REQUERIDA"))</f>
        <v>NO CUMPLE CON LA EXPERIENCIA REQUERIDA</v>
      </c>
      <c r="C94" s="699"/>
      <c r="D94" s="699"/>
      <c r="E94" s="699"/>
      <c r="F94" s="699"/>
      <c r="G94" s="699"/>
      <c r="H94" s="699"/>
      <c r="I94" s="699"/>
      <c r="J94" s="699"/>
      <c r="K94" s="699"/>
      <c r="L94" s="699"/>
      <c r="M94" s="699"/>
      <c r="N94" s="699"/>
      <c r="O94" s="700"/>
      <c r="P94" s="704" t="s">
        <v>46</v>
      </c>
      <c r="Q94" s="705"/>
      <c r="R94" s="706"/>
      <c r="S94" s="44">
        <f>IF(T79="SI",SUM(S79:S93),0)</f>
        <v>0</v>
      </c>
      <c r="T94" s="707" t="s">
        <v>315</v>
      </c>
      <c r="W94" s="29"/>
      <c r="X94" s="29"/>
      <c r="Y94" s="29"/>
      <c r="Z94" s="29"/>
      <c r="AA94" s="29"/>
      <c r="AB94" s="29"/>
      <c r="AC94" s="29"/>
      <c r="AD94" s="41"/>
      <c r="AE94" s="41"/>
      <c r="AF94" s="41"/>
      <c r="AG94" s="41"/>
      <c r="AH94" s="41"/>
    </row>
    <row r="95" spans="1:35" s="41" customFormat="1" ht="25" customHeight="1">
      <c r="B95" s="701"/>
      <c r="C95" s="702"/>
      <c r="D95" s="702"/>
      <c r="E95" s="702"/>
      <c r="F95" s="702"/>
      <c r="G95" s="702"/>
      <c r="H95" s="702"/>
      <c r="I95" s="702"/>
      <c r="J95" s="702"/>
      <c r="K95" s="702"/>
      <c r="L95" s="702"/>
      <c r="M95" s="702"/>
      <c r="N95" s="702"/>
      <c r="O95" s="703"/>
      <c r="P95" s="704" t="s">
        <v>47</v>
      </c>
      <c r="Q95" s="705"/>
      <c r="R95" s="706"/>
      <c r="S95" s="44">
        <f>IFERROR((S94/$P$6)," ")</f>
        <v>0</v>
      </c>
      <c r="T95" s="708"/>
      <c r="W95" s="29"/>
      <c r="X95" s="29"/>
      <c r="Y95" s="29"/>
      <c r="Z95" s="29"/>
      <c r="AA95" s="29"/>
      <c r="AB95" s="29"/>
      <c r="AC95" s="29"/>
    </row>
    <row r="96" spans="1:35" ht="30" customHeight="1">
      <c r="AA96" s="29"/>
      <c r="AB96" s="29"/>
      <c r="AC96" s="29"/>
      <c r="AD96" s="41"/>
      <c r="AE96" s="41"/>
      <c r="AF96" s="41"/>
      <c r="AG96" s="41"/>
      <c r="AH96" s="28"/>
    </row>
    <row r="97" spans="1:35" ht="30" customHeight="1">
      <c r="AA97" s="29"/>
      <c r="AB97" s="29"/>
      <c r="AC97" s="29"/>
      <c r="AD97" s="41"/>
      <c r="AE97" s="41"/>
      <c r="AF97" s="41"/>
      <c r="AG97" s="41"/>
      <c r="AH97" s="41"/>
    </row>
    <row r="98" spans="1:35" ht="63.75" hidden="1" customHeight="1">
      <c r="B98" s="26">
        <v>5</v>
      </c>
      <c r="C98" s="660" t="s">
        <v>25</v>
      </c>
      <c r="D98" s="661"/>
      <c r="E98" s="662"/>
      <c r="F98" s="663">
        <f>IFERROR(VLOOKUP(B98,LISTA_OFERENTES,2,FALSE)," ")</f>
        <v>0</v>
      </c>
      <c r="G98" s="664"/>
      <c r="H98" s="664"/>
      <c r="I98" s="664"/>
      <c r="J98" s="664"/>
      <c r="K98" s="664"/>
      <c r="L98" s="664"/>
      <c r="M98" s="664"/>
      <c r="N98" s="664"/>
      <c r="O98" s="665"/>
      <c r="P98" s="666" t="s">
        <v>26</v>
      </c>
      <c r="Q98" s="667"/>
      <c r="R98" s="668"/>
      <c r="S98" s="27">
        <f>5-(INT(COUNTBLANK(C101:C115))-10)</f>
        <v>0</v>
      </c>
      <c r="T98" s="28"/>
      <c r="AA98" s="29"/>
      <c r="AB98" s="29"/>
      <c r="AC98" s="29"/>
      <c r="AD98" s="41"/>
      <c r="AE98" s="41"/>
      <c r="AF98" s="41"/>
      <c r="AG98" s="41"/>
    </row>
    <row r="99" spans="1:35" s="42" customFormat="1" ht="30" hidden="1" customHeight="1">
      <c r="B99" s="669" t="s">
        <v>27</v>
      </c>
      <c r="C99" s="643" t="s">
        <v>28</v>
      </c>
      <c r="D99" s="643" t="s">
        <v>29</v>
      </c>
      <c r="E99" s="643" t="s">
        <v>30</v>
      </c>
      <c r="F99" s="643" t="s">
        <v>31</v>
      </c>
      <c r="G99" s="643" t="s">
        <v>32</v>
      </c>
      <c r="H99" s="643" t="s">
        <v>33</v>
      </c>
      <c r="I99" s="643" t="s">
        <v>34</v>
      </c>
      <c r="J99" s="657" t="s">
        <v>35</v>
      </c>
      <c r="K99" s="658"/>
      <c r="L99" s="658"/>
      <c r="M99" s="659"/>
      <c r="N99" s="643" t="s">
        <v>36</v>
      </c>
      <c r="O99" s="643" t="s">
        <v>37</v>
      </c>
      <c r="P99" s="657" t="s">
        <v>38</v>
      </c>
      <c r="Q99" s="659"/>
      <c r="R99" s="643" t="s">
        <v>39</v>
      </c>
      <c r="S99" s="643" t="s">
        <v>40</v>
      </c>
      <c r="T99" s="643" t="str">
        <f>+$T$11</f>
        <v>Cumple con el requerimiento del numeral 6.2.2.2.1</v>
      </c>
      <c r="U99" s="643" t="str">
        <f>+$U$11</f>
        <v xml:space="preserve">VERIFICACIÓN CONDICIÓN DE EXPERIENCIA  </v>
      </c>
      <c r="V99" s="45"/>
      <c r="W99" s="29"/>
      <c r="X99" s="29"/>
      <c r="Y99" s="29"/>
      <c r="Z99" s="29"/>
      <c r="AA99" s="29"/>
      <c r="AB99" s="29"/>
      <c r="AC99" s="29"/>
      <c r="AD99" s="41"/>
      <c r="AE99" s="41"/>
      <c r="AF99" s="41"/>
      <c r="AG99" s="41"/>
      <c r="AH99" s="13"/>
    </row>
    <row r="100" spans="1:35" s="42" customFormat="1" ht="90.75" hidden="1" customHeight="1">
      <c r="B100" s="670"/>
      <c r="C100" s="644"/>
      <c r="D100" s="644"/>
      <c r="E100" s="644"/>
      <c r="F100" s="644"/>
      <c r="G100" s="644"/>
      <c r="H100" s="644"/>
      <c r="I100" s="644"/>
      <c r="J100" s="648" t="s">
        <v>43</v>
      </c>
      <c r="K100" s="649"/>
      <c r="L100" s="649"/>
      <c r="M100" s="650"/>
      <c r="N100" s="644"/>
      <c r="O100" s="644"/>
      <c r="P100" s="33" t="s">
        <v>10</v>
      </c>
      <c r="Q100" s="33" t="s">
        <v>44</v>
      </c>
      <c r="R100" s="644"/>
      <c r="S100" s="644"/>
      <c r="T100" s="644"/>
      <c r="U100" s="644"/>
      <c r="V100" s="45"/>
      <c r="W100" s="29"/>
      <c r="X100" s="29"/>
      <c r="Y100" s="29"/>
      <c r="Z100" s="29"/>
      <c r="AA100" s="29"/>
      <c r="AB100" s="29"/>
      <c r="AC100" s="29"/>
      <c r="AD100" s="41"/>
      <c r="AE100" s="41"/>
      <c r="AF100" s="41"/>
      <c r="AG100" s="41"/>
      <c r="AH100" s="13"/>
    </row>
    <row r="101" spans="1:35" s="41" customFormat="1" ht="35" hidden="1" customHeight="1">
      <c r="A101" s="40"/>
      <c r="B101" s="651">
        <v>1</v>
      </c>
      <c r="C101" s="654"/>
      <c r="D101" s="654"/>
      <c r="E101" s="654"/>
      <c r="F101" s="654"/>
      <c r="G101" s="681"/>
      <c r="H101" s="684"/>
      <c r="I101" s="687"/>
      <c r="J101" s="183"/>
      <c r="K101" s="38">
        <f>+$K$13</f>
        <v>0</v>
      </c>
      <c r="L101" s="183"/>
      <c r="M101" s="38">
        <f>+$M$13</f>
        <v>0</v>
      </c>
      <c r="N101" s="690"/>
      <c r="O101" s="690"/>
      <c r="P101" s="693"/>
      <c r="Q101" s="544"/>
      <c r="R101" s="544"/>
      <c r="S101" s="671">
        <f>IF(COUNTIF(J101:K103,"CUMPLE")&gt;=1,(G101*I101),0)* (IF(N101="PRESENTÓ CERTIFICADO",1,0))* (IF(O101="ACORDE A ITEM 5.2.2 (T.R.)",1,0) )* ( IF(OR(Q101="SIN OBSERVACIÓN", Q101="REQUERIMIENTOS SUBSANADOS"),1,0)) *(IF(OR(R101="NINGUNO", R101="CUMPLEN CON LO SOLICITADO"),1,0))</f>
        <v>0</v>
      </c>
      <c r="T101" s="674"/>
      <c r="U101" s="677">
        <f t="shared" ref="U101:U113" si="40">IF(COUNTIF(J101:K103,"CUMPLE")&gt;=1,1,0)</f>
        <v>0</v>
      </c>
      <c r="W101" s="29"/>
      <c r="X101" s="29"/>
      <c r="Y101" s="29"/>
      <c r="Z101" s="29"/>
      <c r="AD101" s="13"/>
      <c r="AE101" s="13"/>
      <c r="AF101" s="13"/>
      <c r="AG101" s="13"/>
      <c r="AH101" s="13"/>
      <c r="AI101" s="13"/>
    </row>
    <row r="102" spans="1:35" s="41" customFormat="1" ht="35" hidden="1" customHeight="1">
      <c r="A102" s="40"/>
      <c r="B102" s="652"/>
      <c r="C102" s="655"/>
      <c r="D102" s="655"/>
      <c r="E102" s="655"/>
      <c r="F102" s="655"/>
      <c r="G102" s="682"/>
      <c r="H102" s="685"/>
      <c r="I102" s="688"/>
      <c r="J102" s="183"/>
      <c r="K102" s="38">
        <f>+$K$14</f>
        <v>0</v>
      </c>
      <c r="L102" s="696"/>
      <c r="M102" s="678">
        <f>+$M$14</f>
        <v>0</v>
      </c>
      <c r="N102" s="691"/>
      <c r="O102" s="691"/>
      <c r="P102" s="694"/>
      <c r="Q102" s="567"/>
      <c r="R102" s="567"/>
      <c r="S102" s="672"/>
      <c r="T102" s="675"/>
      <c r="U102" s="677"/>
      <c r="W102" s="29"/>
      <c r="X102" s="29"/>
      <c r="Y102" s="29"/>
      <c r="Z102" s="29"/>
      <c r="AD102" s="13"/>
      <c r="AE102" s="13"/>
      <c r="AF102" s="13"/>
      <c r="AG102" s="13"/>
      <c r="AH102" s="13"/>
      <c r="AI102" s="13"/>
    </row>
    <row r="103" spans="1:35" s="41" customFormat="1" ht="35" hidden="1" customHeight="1">
      <c r="A103" s="40"/>
      <c r="B103" s="653"/>
      <c r="C103" s="656"/>
      <c r="D103" s="656"/>
      <c r="E103" s="656"/>
      <c r="F103" s="656"/>
      <c r="G103" s="683"/>
      <c r="H103" s="686"/>
      <c r="I103" s="689"/>
      <c r="J103" s="183"/>
      <c r="K103" s="38">
        <f>+$K$15</f>
        <v>0</v>
      </c>
      <c r="L103" s="697"/>
      <c r="M103" s="680"/>
      <c r="N103" s="692"/>
      <c r="O103" s="692"/>
      <c r="P103" s="695"/>
      <c r="Q103" s="545"/>
      <c r="R103" s="545"/>
      <c r="S103" s="673"/>
      <c r="T103" s="675"/>
      <c r="U103" s="677"/>
      <c r="W103" s="29"/>
      <c r="X103" s="29"/>
      <c r="Y103" s="29"/>
      <c r="Z103" s="29"/>
      <c r="AD103" s="13"/>
      <c r="AE103" s="13"/>
      <c r="AF103" s="13"/>
      <c r="AG103" s="13"/>
      <c r="AH103" s="13"/>
      <c r="AI103" s="13"/>
    </row>
    <row r="104" spans="1:35" s="41" customFormat="1" ht="32.25" hidden="1" customHeight="1">
      <c r="A104" s="40"/>
      <c r="B104" s="651">
        <v>2</v>
      </c>
      <c r="C104" s="712"/>
      <c r="D104" s="712"/>
      <c r="E104" s="712"/>
      <c r="F104" s="712"/>
      <c r="G104" s="715"/>
      <c r="H104" s="684"/>
      <c r="I104" s="687"/>
      <c r="J104" s="183"/>
      <c r="K104" s="38">
        <f>+$K$13</f>
        <v>0</v>
      </c>
      <c r="L104" s="183"/>
      <c r="M104" s="38">
        <f>+$M$13</f>
        <v>0</v>
      </c>
      <c r="N104" s="690"/>
      <c r="O104" s="690"/>
      <c r="P104" s="693"/>
      <c r="Q104" s="544"/>
      <c r="R104" s="544"/>
      <c r="S104" s="671">
        <f>IF(COUNTIF(J104:K106,"CUMPLE")&gt;=1,(G104*I104),0)* (IF(N104="PRESENTÓ CERTIFICADO",1,0))* (IF(O104="ACORDE A ITEM 5.2.2 (T.R.)",1,0) )* ( IF(OR(Q104="SIN OBSERVACIÓN", Q104="REQUERIMIENTOS SUBSANADOS"),1,0)) *(IF(OR(R104="NINGUNO", R104="CUMPLEN CON LO SOLICITADO"),1,0))</f>
        <v>0</v>
      </c>
      <c r="T104" s="675"/>
      <c r="U104" s="677">
        <f t="shared" si="40"/>
        <v>0</v>
      </c>
      <c r="W104" s="29"/>
      <c r="X104" s="29"/>
      <c r="Y104" s="29"/>
      <c r="Z104" s="29"/>
      <c r="AD104" s="13"/>
      <c r="AE104" s="13"/>
      <c r="AF104" s="13"/>
      <c r="AG104" s="13"/>
      <c r="AH104" s="13"/>
      <c r="AI104" s="13"/>
    </row>
    <row r="105" spans="1:35" s="41" customFormat="1" ht="30.75" hidden="1" customHeight="1">
      <c r="A105" s="40"/>
      <c r="B105" s="652"/>
      <c r="C105" s="713"/>
      <c r="D105" s="713"/>
      <c r="E105" s="713"/>
      <c r="F105" s="713"/>
      <c r="G105" s="716"/>
      <c r="H105" s="685"/>
      <c r="I105" s="688"/>
      <c r="J105" s="183"/>
      <c r="K105" s="38">
        <f>+$K$14</f>
        <v>0</v>
      </c>
      <c r="L105" s="696"/>
      <c r="M105" s="678">
        <f>+$M$14</f>
        <v>0</v>
      </c>
      <c r="N105" s="691"/>
      <c r="O105" s="691"/>
      <c r="P105" s="694"/>
      <c r="Q105" s="567"/>
      <c r="R105" s="567"/>
      <c r="S105" s="672"/>
      <c r="T105" s="675"/>
      <c r="U105" s="677"/>
      <c r="W105" s="29"/>
      <c r="X105" s="29"/>
      <c r="Y105" s="29"/>
      <c r="Z105" s="29"/>
      <c r="AD105" s="13"/>
      <c r="AE105" s="13"/>
      <c r="AF105" s="13"/>
      <c r="AG105" s="13"/>
      <c r="AH105" s="13"/>
      <c r="AI105" s="13"/>
    </row>
    <row r="106" spans="1:35" s="41" customFormat="1" ht="35" hidden="1" customHeight="1">
      <c r="A106" s="40"/>
      <c r="B106" s="653"/>
      <c r="C106" s="714"/>
      <c r="D106" s="714"/>
      <c r="E106" s="714"/>
      <c r="F106" s="714"/>
      <c r="G106" s="717"/>
      <c r="H106" s="686"/>
      <c r="I106" s="689"/>
      <c r="J106" s="183"/>
      <c r="K106" s="38">
        <f>+$K$15</f>
        <v>0</v>
      </c>
      <c r="L106" s="697"/>
      <c r="M106" s="680"/>
      <c r="N106" s="692"/>
      <c r="O106" s="692"/>
      <c r="P106" s="695"/>
      <c r="Q106" s="545"/>
      <c r="R106" s="545"/>
      <c r="S106" s="673"/>
      <c r="T106" s="675"/>
      <c r="U106" s="677"/>
      <c r="W106" s="29"/>
      <c r="X106" s="29"/>
      <c r="Y106" s="29"/>
      <c r="Z106" s="29"/>
      <c r="AD106" s="13"/>
      <c r="AE106" s="13"/>
      <c r="AF106" s="13"/>
      <c r="AG106" s="13"/>
      <c r="AH106" s="13"/>
      <c r="AI106" s="13"/>
    </row>
    <row r="107" spans="1:35" s="41" customFormat="1" ht="25" hidden="1" customHeight="1">
      <c r="A107" s="40"/>
      <c r="B107" s="651">
        <v>3</v>
      </c>
      <c r="C107" s="654"/>
      <c r="D107" s="654"/>
      <c r="E107" s="654"/>
      <c r="F107" s="654"/>
      <c r="G107" s="681"/>
      <c r="H107" s="684"/>
      <c r="I107" s="687"/>
      <c r="J107" s="183"/>
      <c r="K107" s="38">
        <f>+$K$13</f>
        <v>0</v>
      </c>
      <c r="L107" s="183"/>
      <c r="M107" s="38">
        <f>+$M$13</f>
        <v>0</v>
      </c>
      <c r="N107" s="690"/>
      <c r="O107" s="690"/>
      <c r="P107" s="693"/>
      <c r="Q107" s="544"/>
      <c r="R107" s="544"/>
      <c r="S107" s="671">
        <f>IF(COUNTIF(J107:K109,"CUMPLE")&gt;=1,(G107*I107),0)* (IF(N107="PRESENTÓ CERTIFICADO",1,0))* (IF(O107="ACORDE A ITEM 5.2.2 (T.R.)",1,0) )* ( IF(OR(Q107="SIN OBSERVACIÓN", Q107="REQUERIMIENTOS SUBSANADOS"),1,0)) *(IF(OR(R107="NINGUNO", R107="CUMPLEN CON LO SOLICITADO"),1,0))</f>
        <v>0</v>
      </c>
      <c r="T107" s="675"/>
      <c r="U107" s="677">
        <f t="shared" si="40"/>
        <v>0</v>
      </c>
      <c r="W107" s="29"/>
      <c r="X107" s="29"/>
      <c r="Y107" s="29"/>
      <c r="Z107" s="29"/>
      <c r="AA107" s="28"/>
      <c r="AB107" s="28"/>
      <c r="AC107" s="28"/>
      <c r="AD107" s="13"/>
      <c r="AE107" s="13"/>
      <c r="AF107" s="13"/>
      <c r="AG107" s="13"/>
      <c r="AH107" s="13"/>
      <c r="AI107" s="13"/>
    </row>
    <row r="108" spans="1:35" s="41" customFormat="1" ht="25" hidden="1" customHeight="1">
      <c r="A108" s="40"/>
      <c r="B108" s="652"/>
      <c r="C108" s="655"/>
      <c r="D108" s="655"/>
      <c r="E108" s="655"/>
      <c r="F108" s="655"/>
      <c r="G108" s="682"/>
      <c r="H108" s="685"/>
      <c r="I108" s="688"/>
      <c r="J108" s="183"/>
      <c r="K108" s="38">
        <f>+$K$14</f>
        <v>0</v>
      </c>
      <c r="L108" s="696"/>
      <c r="M108" s="678">
        <f>+$M$14</f>
        <v>0</v>
      </c>
      <c r="N108" s="691"/>
      <c r="O108" s="691"/>
      <c r="P108" s="694"/>
      <c r="Q108" s="567"/>
      <c r="R108" s="567"/>
      <c r="S108" s="672"/>
      <c r="T108" s="675"/>
      <c r="U108" s="677"/>
      <c r="W108" s="29"/>
      <c r="X108" s="29"/>
      <c r="Y108" s="29"/>
      <c r="Z108" s="29"/>
      <c r="AH108" s="13"/>
      <c r="AI108" s="13"/>
    </row>
    <row r="109" spans="1:35" s="41" customFormat="1" ht="25" hidden="1" customHeight="1">
      <c r="A109" s="40"/>
      <c r="B109" s="653"/>
      <c r="C109" s="656"/>
      <c r="D109" s="656"/>
      <c r="E109" s="656"/>
      <c r="F109" s="656"/>
      <c r="G109" s="683"/>
      <c r="H109" s="686"/>
      <c r="I109" s="689"/>
      <c r="J109" s="183"/>
      <c r="K109" s="38">
        <f>+$K$15</f>
        <v>0</v>
      </c>
      <c r="L109" s="697"/>
      <c r="M109" s="680"/>
      <c r="N109" s="692"/>
      <c r="O109" s="692"/>
      <c r="P109" s="695"/>
      <c r="Q109" s="545"/>
      <c r="R109" s="545"/>
      <c r="S109" s="673"/>
      <c r="T109" s="675"/>
      <c r="U109" s="677"/>
      <c r="W109" s="29"/>
      <c r="X109" s="29"/>
      <c r="Y109" s="29"/>
      <c r="Z109" s="29"/>
    </row>
    <row r="110" spans="1:35" s="41" customFormat="1" ht="30" hidden="1" customHeight="1">
      <c r="A110" s="40"/>
      <c r="B110" s="651">
        <v>4</v>
      </c>
      <c r="C110" s="712"/>
      <c r="D110" s="712"/>
      <c r="E110" s="712"/>
      <c r="F110" s="712"/>
      <c r="G110" s="715"/>
      <c r="H110" s="684"/>
      <c r="I110" s="709"/>
      <c r="J110" s="183"/>
      <c r="K110" s="38">
        <f>+$K$13</f>
        <v>0</v>
      </c>
      <c r="L110" s="183"/>
      <c r="M110" s="38">
        <f>+$M$13</f>
        <v>0</v>
      </c>
      <c r="N110" s="690"/>
      <c r="O110" s="690"/>
      <c r="P110" s="693"/>
      <c r="Q110" s="544"/>
      <c r="R110" s="544"/>
      <c r="S110" s="671">
        <f>IF(COUNTIF(J110:K112,"CUMPLE")&gt;=1,(G110*I110),0)* (IF(N110="PRESENTÓ CERTIFICADO",1,0))* (IF(O110="ACORDE A ITEM 5.2.2 (T.R.)",1,0) )* ( IF(OR(Q110="SIN OBSERVACIÓN", Q110="REQUERIMIENTOS SUBSANADOS"),1,0)) *(IF(OR(R110="NINGUNO", R110="CUMPLEN CON LO SOLICITADO"),1,0))</f>
        <v>0</v>
      </c>
      <c r="T110" s="675"/>
      <c r="U110" s="677">
        <f t="shared" si="40"/>
        <v>0</v>
      </c>
      <c r="W110" s="29"/>
      <c r="X110" s="29"/>
      <c r="Y110" s="29"/>
      <c r="Z110" s="29"/>
      <c r="AA110" s="13"/>
      <c r="AB110" s="13"/>
      <c r="AC110" s="13"/>
      <c r="AD110" s="13"/>
      <c r="AE110" s="13"/>
      <c r="AF110" s="13"/>
      <c r="AG110" s="13"/>
    </row>
    <row r="111" spans="1:35" s="41" customFormat="1" ht="35" hidden="1" customHeight="1">
      <c r="A111" s="40"/>
      <c r="B111" s="652"/>
      <c r="C111" s="713"/>
      <c r="D111" s="713"/>
      <c r="E111" s="713"/>
      <c r="F111" s="713"/>
      <c r="G111" s="716"/>
      <c r="H111" s="685"/>
      <c r="I111" s="710"/>
      <c r="J111" s="183"/>
      <c r="K111" s="38">
        <f>+$K$14</f>
        <v>0</v>
      </c>
      <c r="L111" s="696"/>
      <c r="M111" s="678">
        <f>+$M$14</f>
        <v>0</v>
      </c>
      <c r="N111" s="691"/>
      <c r="O111" s="691"/>
      <c r="P111" s="694"/>
      <c r="Q111" s="567"/>
      <c r="R111" s="567"/>
      <c r="S111" s="672"/>
      <c r="T111" s="675"/>
      <c r="U111" s="677"/>
      <c r="W111" s="29"/>
      <c r="X111" s="29"/>
      <c r="Y111" s="29"/>
      <c r="Z111" s="29"/>
      <c r="AA111" s="13"/>
      <c r="AB111" s="13"/>
      <c r="AC111" s="13"/>
      <c r="AD111" s="13"/>
      <c r="AE111" s="13"/>
      <c r="AF111" s="13"/>
      <c r="AG111" s="13"/>
    </row>
    <row r="112" spans="1:35" s="41" customFormat="1" ht="35" hidden="1" customHeight="1">
      <c r="A112" s="40"/>
      <c r="B112" s="653"/>
      <c r="C112" s="714"/>
      <c r="D112" s="714"/>
      <c r="E112" s="714"/>
      <c r="F112" s="714"/>
      <c r="G112" s="717"/>
      <c r="H112" s="686"/>
      <c r="I112" s="711"/>
      <c r="J112" s="183"/>
      <c r="K112" s="38">
        <f>+$K$15</f>
        <v>0</v>
      </c>
      <c r="L112" s="697"/>
      <c r="M112" s="680"/>
      <c r="N112" s="692"/>
      <c r="O112" s="692"/>
      <c r="P112" s="695"/>
      <c r="Q112" s="545"/>
      <c r="R112" s="545"/>
      <c r="S112" s="673"/>
      <c r="T112" s="675"/>
      <c r="U112" s="677"/>
      <c r="W112" s="29"/>
      <c r="X112" s="29"/>
      <c r="Y112" s="29"/>
      <c r="Z112" s="29"/>
      <c r="AA112" s="29"/>
      <c r="AB112" s="29"/>
      <c r="AC112" s="29"/>
      <c r="AD112" s="42"/>
      <c r="AE112" s="42"/>
      <c r="AF112" s="42"/>
      <c r="AG112" s="42"/>
    </row>
    <row r="113" spans="1:35" s="41" customFormat="1" ht="25" hidden="1" customHeight="1">
      <c r="A113" s="40"/>
      <c r="B113" s="651">
        <v>5</v>
      </c>
      <c r="C113" s="654"/>
      <c r="D113" s="654"/>
      <c r="E113" s="654"/>
      <c r="F113" s="654"/>
      <c r="G113" s="681"/>
      <c r="H113" s="684"/>
      <c r="I113" s="687"/>
      <c r="J113" s="183"/>
      <c r="K113" s="38">
        <f>+$K$13</f>
        <v>0</v>
      </c>
      <c r="L113" s="183"/>
      <c r="M113" s="38">
        <f>+$M$13</f>
        <v>0</v>
      </c>
      <c r="N113" s="690"/>
      <c r="O113" s="690"/>
      <c r="P113" s="693"/>
      <c r="Q113" s="544"/>
      <c r="R113" s="544"/>
      <c r="S113" s="671">
        <f>IF(COUNTIF(J113:K115,"CUMPLE")&gt;=1,(G113*I113),0)* (IF(N113="PRESENTÓ CERTIFICADO",1,0))* (IF(O113="ACORDE A ITEM 5.2.2 (T.R.)",1,0) )* ( IF(OR(Q113="SIN OBSERVACIÓN", Q113="REQUERIMIENTOS SUBSANADOS"),1,0)) *(IF(OR(R113="NINGUNO", R113="CUMPLEN CON LO SOLICITADO"),1,0))</f>
        <v>0</v>
      </c>
      <c r="T113" s="675"/>
      <c r="U113" s="677">
        <f t="shared" si="40"/>
        <v>0</v>
      </c>
      <c r="W113" s="29"/>
      <c r="X113" s="29"/>
      <c r="Y113" s="29"/>
      <c r="Z113" s="29"/>
      <c r="AA113" s="29"/>
      <c r="AB113" s="29"/>
      <c r="AC113" s="29"/>
      <c r="AD113" s="42"/>
      <c r="AE113" s="42"/>
      <c r="AF113" s="42"/>
      <c r="AG113" s="42"/>
    </row>
    <row r="114" spans="1:35" s="41" customFormat="1" ht="25" hidden="1" customHeight="1">
      <c r="A114" s="40"/>
      <c r="B114" s="652"/>
      <c r="C114" s="655"/>
      <c r="D114" s="655"/>
      <c r="E114" s="655"/>
      <c r="F114" s="655"/>
      <c r="G114" s="682"/>
      <c r="H114" s="685"/>
      <c r="I114" s="688"/>
      <c r="J114" s="183"/>
      <c r="K114" s="38">
        <f>+$K$14</f>
        <v>0</v>
      </c>
      <c r="L114" s="696"/>
      <c r="M114" s="678">
        <f>+$M$14</f>
        <v>0</v>
      </c>
      <c r="N114" s="691"/>
      <c r="O114" s="691"/>
      <c r="P114" s="694"/>
      <c r="Q114" s="567"/>
      <c r="R114" s="567"/>
      <c r="S114" s="672"/>
      <c r="T114" s="675"/>
      <c r="U114" s="677"/>
      <c r="W114" s="29"/>
      <c r="X114" s="29"/>
      <c r="Y114" s="29"/>
      <c r="Z114" s="29"/>
      <c r="AA114" s="29"/>
      <c r="AB114" s="29"/>
      <c r="AC114" s="29"/>
    </row>
    <row r="115" spans="1:35" s="41" customFormat="1" ht="25" hidden="1" customHeight="1">
      <c r="A115" s="40"/>
      <c r="B115" s="653"/>
      <c r="C115" s="656"/>
      <c r="D115" s="656"/>
      <c r="E115" s="656"/>
      <c r="F115" s="656"/>
      <c r="G115" s="683"/>
      <c r="H115" s="686"/>
      <c r="I115" s="689"/>
      <c r="J115" s="183"/>
      <c r="K115" s="38">
        <f>+$K$15</f>
        <v>0</v>
      </c>
      <c r="L115" s="697"/>
      <c r="M115" s="680"/>
      <c r="N115" s="692"/>
      <c r="O115" s="692"/>
      <c r="P115" s="695"/>
      <c r="Q115" s="545"/>
      <c r="R115" s="545"/>
      <c r="S115" s="673"/>
      <c r="T115" s="676"/>
      <c r="U115" s="677"/>
      <c r="W115" s="29"/>
      <c r="X115" s="29"/>
      <c r="Y115" s="29"/>
      <c r="Z115" s="29"/>
      <c r="AA115" s="29"/>
      <c r="AB115" s="29"/>
      <c r="AC115" s="29"/>
    </row>
    <row r="116" spans="1:35" s="28" customFormat="1" ht="25" hidden="1" customHeight="1">
      <c r="B116" s="698" t="str">
        <f>IF(S117=" "," ",IF(S117&gt;=$H$6,"CUMPLE CON LA EXPERIENCIA REQUERIDA","NO CUMPLE CON LA EXPERIENCIA REQUERIDA"))</f>
        <v>NO CUMPLE CON LA EXPERIENCIA REQUERIDA</v>
      </c>
      <c r="C116" s="699"/>
      <c r="D116" s="699"/>
      <c r="E116" s="699"/>
      <c r="F116" s="699"/>
      <c r="G116" s="699"/>
      <c r="H116" s="699"/>
      <c r="I116" s="699"/>
      <c r="J116" s="699"/>
      <c r="K116" s="699"/>
      <c r="L116" s="699"/>
      <c r="M116" s="699"/>
      <c r="N116" s="699"/>
      <c r="O116" s="700"/>
      <c r="P116" s="704" t="s">
        <v>46</v>
      </c>
      <c r="Q116" s="705"/>
      <c r="R116" s="706"/>
      <c r="S116" s="44">
        <f>IF(T101="SI",SUM(S101:S115),0)</f>
        <v>0</v>
      </c>
      <c r="T116" s="707" t="str">
        <f>IF(S117=" "," ",IF(S117&gt;=$H$6,"CUMPLE","NO CUMPLE"))</f>
        <v>NO CUMPLE</v>
      </c>
      <c r="W116" s="29"/>
      <c r="X116" s="29"/>
      <c r="Y116" s="29"/>
      <c r="Z116" s="29"/>
      <c r="AA116" s="29"/>
      <c r="AB116" s="29"/>
      <c r="AC116" s="29"/>
      <c r="AD116" s="41"/>
      <c r="AE116" s="41"/>
      <c r="AF116" s="41"/>
      <c r="AG116" s="41"/>
      <c r="AH116" s="41"/>
    </row>
    <row r="117" spans="1:35" s="41" customFormat="1" ht="25" hidden="1" customHeight="1">
      <c r="B117" s="701"/>
      <c r="C117" s="702"/>
      <c r="D117" s="702"/>
      <c r="E117" s="702"/>
      <c r="F117" s="702"/>
      <c r="G117" s="702"/>
      <c r="H117" s="702"/>
      <c r="I117" s="702"/>
      <c r="J117" s="702"/>
      <c r="K117" s="702"/>
      <c r="L117" s="702"/>
      <c r="M117" s="702"/>
      <c r="N117" s="702"/>
      <c r="O117" s="703"/>
      <c r="P117" s="704" t="s">
        <v>47</v>
      </c>
      <c r="Q117" s="705"/>
      <c r="R117" s="706"/>
      <c r="S117" s="44">
        <f>IFERROR((S116/$P$6)," ")</f>
        <v>0</v>
      </c>
      <c r="T117" s="708"/>
      <c r="W117" s="29"/>
      <c r="X117" s="29"/>
      <c r="Y117" s="29"/>
      <c r="Z117" s="29"/>
      <c r="AA117" s="29"/>
      <c r="AB117" s="29"/>
      <c r="AC117" s="29"/>
    </row>
    <row r="118" spans="1:35" ht="30" hidden="1" customHeight="1">
      <c r="AA118" s="29"/>
      <c r="AB118" s="29"/>
      <c r="AC118" s="29"/>
      <c r="AD118" s="41"/>
      <c r="AE118" s="41"/>
      <c r="AF118" s="41"/>
      <c r="AG118" s="41"/>
      <c r="AH118" s="28"/>
    </row>
    <row r="119" spans="1:35" ht="30" hidden="1" customHeight="1">
      <c r="AA119" s="29"/>
      <c r="AB119" s="29"/>
      <c r="AC119" s="29"/>
      <c r="AD119" s="41"/>
      <c r="AE119" s="41"/>
      <c r="AF119" s="41"/>
      <c r="AG119" s="41"/>
      <c r="AH119" s="41"/>
    </row>
    <row r="120" spans="1:35" ht="66" hidden="1" customHeight="1">
      <c r="B120" s="26">
        <v>6</v>
      </c>
      <c r="C120" s="660" t="s">
        <v>25</v>
      </c>
      <c r="D120" s="661"/>
      <c r="E120" s="662"/>
      <c r="F120" s="663">
        <f>IFERROR(VLOOKUP(B120,LISTA_OFERENTES,2,FALSE)," ")</f>
        <v>0</v>
      </c>
      <c r="G120" s="664"/>
      <c r="H120" s="664"/>
      <c r="I120" s="664"/>
      <c r="J120" s="664"/>
      <c r="K120" s="664"/>
      <c r="L120" s="664"/>
      <c r="M120" s="664"/>
      <c r="N120" s="664"/>
      <c r="O120" s="665"/>
      <c r="P120" s="666" t="s">
        <v>26</v>
      </c>
      <c r="Q120" s="667"/>
      <c r="R120" s="668"/>
      <c r="S120" s="27">
        <f>5-(INT(COUNTBLANK(C123:C137))-10)</f>
        <v>0</v>
      </c>
      <c r="T120" s="28"/>
      <c r="AA120" s="29"/>
      <c r="AB120" s="29"/>
      <c r="AC120" s="29"/>
      <c r="AD120" s="41"/>
      <c r="AE120" s="41"/>
      <c r="AF120" s="41"/>
      <c r="AG120" s="41"/>
    </row>
    <row r="121" spans="1:35" s="42" customFormat="1" ht="30" hidden="1" customHeight="1">
      <c r="B121" s="669" t="s">
        <v>27</v>
      </c>
      <c r="C121" s="643" t="s">
        <v>28</v>
      </c>
      <c r="D121" s="643" t="s">
        <v>29</v>
      </c>
      <c r="E121" s="643" t="s">
        <v>30</v>
      </c>
      <c r="F121" s="643" t="s">
        <v>31</v>
      </c>
      <c r="G121" s="643" t="s">
        <v>32</v>
      </c>
      <c r="H121" s="643" t="s">
        <v>33</v>
      </c>
      <c r="I121" s="643" t="s">
        <v>34</v>
      </c>
      <c r="J121" s="657" t="s">
        <v>35</v>
      </c>
      <c r="K121" s="658"/>
      <c r="L121" s="658"/>
      <c r="M121" s="659"/>
      <c r="N121" s="643" t="s">
        <v>36</v>
      </c>
      <c r="O121" s="643" t="s">
        <v>37</v>
      </c>
      <c r="P121" s="657" t="s">
        <v>38</v>
      </c>
      <c r="Q121" s="659"/>
      <c r="R121" s="643" t="s">
        <v>39</v>
      </c>
      <c r="S121" s="643" t="s">
        <v>40</v>
      </c>
      <c r="T121" s="643" t="str">
        <f>+$T$11</f>
        <v>Cumple con el requerimiento del numeral 6.2.2.2.1</v>
      </c>
      <c r="U121" s="643" t="str">
        <f>+$U$11</f>
        <v xml:space="preserve">VERIFICACIÓN CONDICIÓN DE EXPERIENCIA  </v>
      </c>
      <c r="V121" s="45"/>
      <c r="W121" s="29"/>
      <c r="X121" s="29"/>
      <c r="Y121" s="29"/>
      <c r="Z121" s="29"/>
      <c r="AA121" s="29"/>
      <c r="AB121" s="29"/>
      <c r="AC121" s="29"/>
      <c r="AD121" s="41"/>
      <c r="AE121" s="41"/>
      <c r="AF121" s="41"/>
      <c r="AG121" s="41"/>
      <c r="AH121" s="13"/>
    </row>
    <row r="122" spans="1:35" s="42" customFormat="1" ht="106.5" hidden="1" customHeight="1">
      <c r="B122" s="670"/>
      <c r="C122" s="644"/>
      <c r="D122" s="644"/>
      <c r="E122" s="644"/>
      <c r="F122" s="644"/>
      <c r="G122" s="644"/>
      <c r="H122" s="644"/>
      <c r="I122" s="644"/>
      <c r="J122" s="648" t="s">
        <v>43</v>
      </c>
      <c r="K122" s="649"/>
      <c r="L122" s="649"/>
      <c r="M122" s="650"/>
      <c r="N122" s="644"/>
      <c r="O122" s="644"/>
      <c r="P122" s="33" t="s">
        <v>10</v>
      </c>
      <c r="Q122" s="33" t="s">
        <v>44</v>
      </c>
      <c r="R122" s="644"/>
      <c r="S122" s="644"/>
      <c r="T122" s="644"/>
      <c r="U122" s="644"/>
      <c r="V122" s="45"/>
      <c r="W122" s="29"/>
      <c r="X122" s="29"/>
      <c r="Y122" s="29"/>
      <c r="Z122" s="29"/>
      <c r="AA122" s="29"/>
      <c r="AB122" s="29"/>
      <c r="AC122" s="29"/>
      <c r="AD122" s="41"/>
      <c r="AE122" s="41"/>
      <c r="AF122" s="41"/>
      <c r="AG122" s="41"/>
      <c r="AH122" s="13"/>
    </row>
    <row r="123" spans="1:35" s="41" customFormat="1" ht="35" hidden="1" customHeight="1">
      <c r="A123" s="40"/>
      <c r="B123" s="651">
        <v>1</v>
      </c>
      <c r="C123" s="654"/>
      <c r="D123" s="654"/>
      <c r="E123" s="654"/>
      <c r="F123" s="654"/>
      <c r="G123" s="681"/>
      <c r="H123" s="684"/>
      <c r="I123" s="687"/>
      <c r="J123" s="183"/>
      <c r="K123" s="38">
        <f>+$K$13</f>
        <v>0</v>
      </c>
      <c r="L123" s="183"/>
      <c r="M123" s="38">
        <f>+$M$13</f>
        <v>0</v>
      </c>
      <c r="N123" s="690"/>
      <c r="O123" s="690"/>
      <c r="P123" s="693"/>
      <c r="Q123" s="544"/>
      <c r="R123" s="544"/>
      <c r="S123" s="671">
        <f>IF(COUNTIF(J123:K125,"CUMPLE")&gt;=1,(G123*I123),0)* (IF(N123="PRESENTÓ CERTIFICADO",1,0))* (IF(O123="ACORDE A ITEM 5.2.2 (T.R.)",1,0) )* ( IF(OR(Q123="SIN OBSERVACIÓN", Q123="REQUERIMIENTOS SUBSANADOS"),1,0)) *(IF(OR(R123="NINGUNO", R123="CUMPLEN CON LO SOLICITADO"),1,0))</f>
        <v>0</v>
      </c>
      <c r="T123" s="674"/>
      <c r="U123" s="677">
        <f t="shared" ref="U123" si="41">IF(COUNTIF(J123:K125,"CUMPLE")&gt;=1,1,0)</f>
        <v>0</v>
      </c>
      <c r="W123" s="29"/>
      <c r="X123" s="29"/>
      <c r="Y123" s="29"/>
      <c r="Z123" s="29"/>
      <c r="AD123" s="13"/>
      <c r="AE123" s="13"/>
      <c r="AF123" s="13"/>
      <c r="AG123" s="13"/>
      <c r="AH123" s="13"/>
      <c r="AI123" s="13"/>
    </row>
    <row r="124" spans="1:35" s="41" customFormat="1" ht="35" hidden="1" customHeight="1">
      <c r="A124" s="40"/>
      <c r="B124" s="652"/>
      <c r="C124" s="655"/>
      <c r="D124" s="655"/>
      <c r="E124" s="655"/>
      <c r="F124" s="655"/>
      <c r="G124" s="682"/>
      <c r="H124" s="685"/>
      <c r="I124" s="688"/>
      <c r="J124" s="183"/>
      <c r="K124" s="38">
        <f>+$K$14</f>
        <v>0</v>
      </c>
      <c r="L124" s="696"/>
      <c r="M124" s="678">
        <f>+$M$14</f>
        <v>0</v>
      </c>
      <c r="N124" s="691"/>
      <c r="O124" s="691"/>
      <c r="P124" s="694"/>
      <c r="Q124" s="567"/>
      <c r="R124" s="567"/>
      <c r="S124" s="672"/>
      <c r="T124" s="675"/>
      <c r="U124" s="677"/>
      <c r="W124" s="29"/>
      <c r="X124" s="29"/>
      <c r="Y124" s="29"/>
      <c r="Z124" s="29"/>
      <c r="AD124" s="13"/>
      <c r="AE124" s="13"/>
      <c r="AF124" s="13"/>
      <c r="AG124" s="13"/>
      <c r="AH124" s="13"/>
      <c r="AI124" s="13"/>
    </row>
    <row r="125" spans="1:35" s="41" customFormat="1" ht="35" hidden="1" customHeight="1">
      <c r="A125" s="40"/>
      <c r="B125" s="653"/>
      <c r="C125" s="656"/>
      <c r="D125" s="656"/>
      <c r="E125" s="656"/>
      <c r="F125" s="656"/>
      <c r="G125" s="683"/>
      <c r="H125" s="686"/>
      <c r="I125" s="689"/>
      <c r="J125" s="183"/>
      <c r="K125" s="38">
        <f>+$K$15</f>
        <v>0</v>
      </c>
      <c r="L125" s="697"/>
      <c r="M125" s="680"/>
      <c r="N125" s="692"/>
      <c r="O125" s="692"/>
      <c r="P125" s="695"/>
      <c r="Q125" s="545"/>
      <c r="R125" s="545"/>
      <c r="S125" s="673"/>
      <c r="T125" s="675"/>
      <c r="U125" s="677"/>
      <c r="W125" s="29"/>
      <c r="X125" s="29"/>
      <c r="Y125" s="29"/>
      <c r="Z125" s="29"/>
      <c r="AD125" s="13"/>
      <c r="AE125" s="13"/>
      <c r="AF125" s="13"/>
      <c r="AG125" s="13"/>
      <c r="AH125" s="13"/>
      <c r="AI125" s="13"/>
    </row>
    <row r="126" spans="1:35" s="41" customFormat="1" ht="35" hidden="1" customHeight="1">
      <c r="A126" s="40"/>
      <c r="B126" s="651">
        <v>2</v>
      </c>
      <c r="C126" s="712"/>
      <c r="D126" s="712"/>
      <c r="E126" s="712"/>
      <c r="F126" s="712"/>
      <c r="G126" s="715"/>
      <c r="H126" s="684"/>
      <c r="I126" s="687"/>
      <c r="J126" s="183"/>
      <c r="K126" s="38">
        <f>+$K$13</f>
        <v>0</v>
      </c>
      <c r="L126" s="183"/>
      <c r="M126" s="38">
        <f>+$M$13</f>
        <v>0</v>
      </c>
      <c r="N126" s="690"/>
      <c r="O126" s="690"/>
      <c r="P126" s="693"/>
      <c r="Q126" s="544"/>
      <c r="R126" s="544"/>
      <c r="S126" s="671">
        <f>IF(COUNTIF(J126:K128,"CUMPLE")&gt;=1,(G126*I126),0)* (IF(N126="PRESENTÓ CERTIFICADO",1,0))* (IF(O126="ACORDE A ITEM 5.2.2 (T.R.)",1,0) )* ( IF(OR(Q126="SIN OBSERVACIÓN", Q126="REQUERIMIENTOS SUBSANADOS"),1,0)) *(IF(OR(R126="NINGUNO", R126="CUMPLEN CON LO SOLICITADO"),1,0))</f>
        <v>0</v>
      </c>
      <c r="T126" s="675"/>
      <c r="U126" s="677">
        <f t="shared" ref="U126" si="42">IF(COUNTIF(J126:K128,"CUMPLE")&gt;=1,1,0)</f>
        <v>0</v>
      </c>
      <c r="W126" s="29"/>
      <c r="X126" s="29"/>
      <c r="Y126" s="29"/>
      <c r="Z126" s="29"/>
      <c r="AD126" s="13"/>
      <c r="AE126" s="13"/>
      <c r="AF126" s="13"/>
      <c r="AG126" s="13"/>
      <c r="AH126" s="13"/>
      <c r="AI126" s="13"/>
    </row>
    <row r="127" spans="1:35" s="41" customFormat="1" ht="35" hidden="1" customHeight="1">
      <c r="A127" s="40"/>
      <c r="B127" s="652"/>
      <c r="C127" s="713"/>
      <c r="D127" s="713"/>
      <c r="E127" s="713"/>
      <c r="F127" s="713"/>
      <c r="G127" s="716"/>
      <c r="H127" s="685"/>
      <c r="I127" s="688"/>
      <c r="J127" s="183"/>
      <c r="K127" s="38">
        <f>+$K$14</f>
        <v>0</v>
      </c>
      <c r="L127" s="696"/>
      <c r="M127" s="678">
        <f>+$M$14</f>
        <v>0</v>
      </c>
      <c r="N127" s="691"/>
      <c r="O127" s="691"/>
      <c r="P127" s="694"/>
      <c r="Q127" s="567"/>
      <c r="R127" s="567"/>
      <c r="S127" s="672"/>
      <c r="T127" s="675"/>
      <c r="U127" s="677"/>
      <c r="W127" s="29"/>
      <c r="X127" s="29"/>
      <c r="Y127" s="29"/>
      <c r="Z127" s="29"/>
      <c r="AD127" s="13"/>
      <c r="AE127" s="13"/>
      <c r="AF127" s="13"/>
      <c r="AG127" s="13"/>
      <c r="AH127" s="13"/>
      <c r="AI127" s="13"/>
    </row>
    <row r="128" spans="1:35" s="41" customFormat="1" ht="35" hidden="1" customHeight="1">
      <c r="A128" s="40"/>
      <c r="B128" s="653"/>
      <c r="C128" s="714"/>
      <c r="D128" s="714"/>
      <c r="E128" s="714"/>
      <c r="F128" s="714"/>
      <c r="G128" s="717"/>
      <c r="H128" s="686"/>
      <c r="I128" s="689"/>
      <c r="J128" s="183"/>
      <c r="K128" s="38">
        <f>+$K$15</f>
        <v>0</v>
      </c>
      <c r="L128" s="697"/>
      <c r="M128" s="680"/>
      <c r="N128" s="692"/>
      <c r="O128" s="692"/>
      <c r="P128" s="695"/>
      <c r="Q128" s="545"/>
      <c r="R128" s="545"/>
      <c r="S128" s="673"/>
      <c r="T128" s="675"/>
      <c r="U128" s="677"/>
      <c r="W128" s="29"/>
      <c r="X128" s="29"/>
      <c r="Y128" s="29"/>
      <c r="Z128" s="29"/>
      <c r="AD128" s="13"/>
      <c r="AE128" s="13"/>
      <c r="AF128" s="13"/>
      <c r="AG128" s="13"/>
      <c r="AH128" s="13"/>
      <c r="AI128" s="13"/>
    </row>
    <row r="129" spans="1:35" s="41" customFormat="1" ht="35" hidden="1" customHeight="1">
      <c r="A129" s="40"/>
      <c r="B129" s="651">
        <v>3</v>
      </c>
      <c r="C129" s="654"/>
      <c r="D129" s="654"/>
      <c r="E129" s="654"/>
      <c r="F129" s="654"/>
      <c r="G129" s="681"/>
      <c r="H129" s="684"/>
      <c r="I129" s="687"/>
      <c r="J129" s="183"/>
      <c r="K129" s="38">
        <f>+$K$13</f>
        <v>0</v>
      </c>
      <c r="L129" s="183"/>
      <c r="M129" s="38">
        <f>+$M$13</f>
        <v>0</v>
      </c>
      <c r="N129" s="690"/>
      <c r="O129" s="690"/>
      <c r="P129" s="693"/>
      <c r="Q129" s="544"/>
      <c r="R129" s="544"/>
      <c r="S129" s="671">
        <f>IF(COUNTIF(J129:K131,"CUMPLE")&gt;=1,(G129*I129),0)* (IF(N129="PRESENTÓ CERTIFICADO",1,0))* (IF(O129="ACORDE A ITEM 5.2.2 (T.R.)",1,0) )* ( IF(OR(Q129="SIN OBSERVACIÓN", Q129="REQUERIMIENTOS SUBSANADOS"),1,0)) *(IF(OR(R129="NINGUNO", R129="CUMPLEN CON LO SOLICITADO"),1,0))</f>
        <v>0</v>
      </c>
      <c r="T129" s="675"/>
      <c r="U129" s="677">
        <f t="shared" ref="U129" si="43">IF(COUNTIF(J129:K131,"CUMPLE")&gt;=1,1,0)</f>
        <v>0</v>
      </c>
      <c r="W129" s="29"/>
      <c r="X129" s="29"/>
      <c r="Y129" s="29"/>
      <c r="Z129" s="29"/>
      <c r="AA129" s="28"/>
      <c r="AB129" s="28"/>
      <c r="AC129" s="28"/>
      <c r="AD129" s="13"/>
      <c r="AE129" s="13"/>
      <c r="AF129" s="13"/>
      <c r="AG129" s="13"/>
      <c r="AH129" s="13"/>
      <c r="AI129" s="13"/>
    </row>
    <row r="130" spans="1:35" s="41" customFormat="1" ht="35" hidden="1" customHeight="1">
      <c r="A130" s="40"/>
      <c r="B130" s="652"/>
      <c r="C130" s="655"/>
      <c r="D130" s="655"/>
      <c r="E130" s="655"/>
      <c r="F130" s="655"/>
      <c r="G130" s="682"/>
      <c r="H130" s="685"/>
      <c r="I130" s="688"/>
      <c r="J130" s="183"/>
      <c r="K130" s="38">
        <f>+$K$14</f>
        <v>0</v>
      </c>
      <c r="L130" s="696"/>
      <c r="M130" s="678">
        <f>+$M$14</f>
        <v>0</v>
      </c>
      <c r="N130" s="691"/>
      <c r="O130" s="691"/>
      <c r="P130" s="694"/>
      <c r="Q130" s="567"/>
      <c r="R130" s="567"/>
      <c r="S130" s="672"/>
      <c r="T130" s="675"/>
      <c r="U130" s="677"/>
      <c r="W130" s="29"/>
      <c r="X130" s="29"/>
      <c r="Y130" s="29"/>
      <c r="Z130" s="29"/>
      <c r="AH130" s="13"/>
      <c r="AI130" s="13"/>
    </row>
    <row r="131" spans="1:35" s="41" customFormat="1" ht="35" hidden="1" customHeight="1">
      <c r="A131" s="40"/>
      <c r="B131" s="653"/>
      <c r="C131" s="656"/>
      <c r="D131" s="656"/>
      <c r="E131" s="656"/>
      <c r="F131" s="656"/>
      <c r="G131" s="683"/>
      <c r="H131" s="686"/>
      <c r="I131" s="689"/>
      <c r="J131" s="183"/>
      <c r="K131" s="38">
        <f>+$K$15</f>
        <v>0</v>
      </c>
      <c r="L131" s="697"/>
      <c r="M131" s="680"/>
      <c r="N131" s="692"/>
      <c r="O131" s="692"/>
      <c r="P131" s="695"/>
      <c r="Q131" s="545"/>
      <c r="R131" s="545"/>
      <c r="S131" s="673"/>
      <c r="T131" s="675"/>
      <c r="U131" s="677"/>
      <c r="W131" s="29"/>
      <c r="X131" s="29"/>
      <c r="Y131" s="29"/>
      <c r="Z131" s="29"/>
    </row>
    <row r="132" spans="1:35" s="41" customFormat="1" ht="35" hidden="1" customHeight="1">
      <c r="A132" s="40"/>
      <c r="B132" s="651">
        <v>4</v>
      </c>
      <c r="C132" s="712"/>
      <c r="D132" s="712"/>
      <c r="E132" s="712"/>
      <c r="F132" s="712"/>
      <c r="G132" s="715"/>
      <c r="H132" s="684"/>
      <c r="I132" s="709"/>
      <c r="J132" s="183"/>
      <c r="K132" s="38">
        <f>+$K$13</f>
        <v>0</v>
      </c>
      <c r="L132" s="183"/>
      <c r="M132" s="38">
        <f>+$M$13</f>
        <v>0</v>
      </c>
      <c r="N132" s="690"/>
      <c r="O132" s="690"/>
      <c r="P132" s="693"/>
      <c r="Q132" s="544"/>
      <c r="R132" s="544"/>
      <c r="S132" s="671">
        <f>IF(COUNTIF(J132:K134,"CUMPLE")&gt;=1,(G132*I132),0)* (IF(N132="PRESENTÓ CERTIFICADO",1,0))* (IF(O132="ACORDE A ITEM 5.2.2 (T.R.)",1,0) )* ( IF(OR(Q132="SIN OBSERVACIÓN", Q132="REQUERIMIENTOS SUBSANADOS"),1,0)) *(IF(OR(R132="NINGUNO", R132="CUMPLEN CON LO SOLICITADO"),1,0))</f>
        <v>0</v>
      </c>
      <c r="T132" s="675"/>
      <c r="U132" s="677">
        <f t="shared" ref="U132" si="44">IF(COUNTIF(J132:K134,"CUMPLE")&gt;=1,1,0)</f>
        <v>0</v>
      </c>
      <c r="W132" s="29"/>
      <c r="X132" s="29"/>
      <c r="Y132" s="29"/>
      <c r="Z132" s="29"/>
      <c r="AA132" s="13"/>
      <c r="AB132" s="13"/>
      <c r="AC132" s="13"/>
      <c r="AD132" s="13"/>
      <c r="AE132" s="13"/>
      <c r="AF132" s="13"/>
      <c r="AG132" s="13"/>
    </row>
    <row r="133" spans="1:35" s="41" customFormat="1" ht="35" hidden="1" customHeight="1">
      <c r="A133" s="40"/>
      <c r="B133" s="652"/>
      <c r="C133" s="713"/>
      <c r="D133" s="713"/>
      <c r="E133" s="713"/>
      <c r="F133" s="713"/>
      <c r="G133" s="716"/>
      <c r="H133" s="685"/>
      <c r="I133" s="710"/>
      <c r="J133" s="183"/>
      <c r="K133" s="38">
        <f>+$K$14</f>
        <v>0</v>
      </c>
      <c r="L133" s="696"/>
      <c r="M133" s="678">
        <f>+$M$14</f>
        <v>0</v>
      </c>
      <c r="N133" s="691"/>
      <c r="O133" s="691"/>
      <c r="P133" s="694"/>
      <c r="Q133" s="567"/>
      <c r="R133" s="567"/>
      <c r="S133" s="672"/>
      <c r="T133" s="675"/>
      <c r="U133" s="677"/>
      <c r="W133" s="29"/>
      <c r="X133" s="29"/>
      <c r="Y133" s="29"/>
      <c r="Z133" s="29"/>
      <c r="AA133" s="13"/>
      <c r="AB133" s="13"/>
      <c r="AC133" s="13"/>
      <c r="AD133" s="13"/>
      <c r="AE133" s="13"/>
      <c r="AF133" s="13"/>
      <c r="AG133" s="13"/>
    </row>
    <row r="134" spans="1:35" s="41" customFormat="1" ht="35" hidden="1" customHeight="1">
      <c r="A134" s="40"/>
      <c r="B134" s="653"/>
      <c r="C134" s="714"/>
      <c r="D134" s="714"/>
      <c r="E134" s="714"/>
      <c r="F134" s="714"/>
      <c r="G134" s="717"/>
      <c r="H134" s="686"/>
      <c r="I134" s="711"/>
      <c r="J134" s="183"/>
      <c r="K134" s="38">
        <f>+$K$15</f>
        <v>0</v>
      </c>
      <c r="L134" s="697"/>
      <c r="M134" s="680"/>
      <c r="N134" s="692"/>
      <c r="O134" s="692"/>
      <c r="P134" s="695"/>
      <c r="Q134" s="545"/>
      <c r="R134" s="545"/>
      <c r="S134" s="673"/>
      <c r="T134" s="675"/>
      <c r="U134" s="677"/>
      <c r="W134" s="29"/>
      <c r="X134" s="29"/>
      <c r="Y134" s="29"/>
      <c r="Z134" s="29"/>
      <c r="AA134" s="29"/>
      <c r="AB134" s="29"/>
      <c r="AC134" s="29"/>
      <c r="AD134" s="42"/>
      <c r="AE134" s="42"/>
      <c r="AF134" s="42"/>
      <c r="AG134" s="42"/>
    </row>
    <row r="135" spans="1:35" s="41" customFormat="1" ht="25" hidden="1" customHeight="1">
      <c r="A135" s="40"/>
      <c r="B135" s="651">
        <v>5</v>
      </c>
      <c r="C135" s="654"/>
      <c r="D135" s="654"/>
      <c r="E135" s="654"/>
      <c r="F135" s="654"/>
      <c r="G135" s="681"/>
      <c r="H135" s="684"/>
      <c r="I135" s="687"/>
      <c r="J135" s="183"/>
      <c r="K135" s="38">
        <f>+$K$13</f>
        <v>0</v>
      </c>
      <c r="L135" s="183"/>
      <c r="M135" s="38">
        <f>+$M$13</f>
        <v>0</v>
      </c>
      <c r="N135" s="690"/>
      <c r="O135" s="690"/>
      <c r="P135" s="693"/>
      <c r="Q135" s="544"/>
      <c r="R135" s="544"/>
      <c r="S135" s="671">
        <f>IF(COUNTIF(J135:K137,"CUMPLE")&gt;=1,(G135*I135),0)* (IF(N135="PRESENTÓ CERTIFICADO",1,0))* (IF(O135="ACORDE A ITEM 5.2.2 (T.R.)",1,0) )* ( IF(OR(Q135="SIN OBSERVACIÓN", Q135="REQUERIMIENTOS SUBSANADOS"),1,0)) *(IF(OR(R135="NINGUNO", R135="CUMPLEN CON LO SOLICITADO"),1,0))</f>
        <v>0</v>
      </c>
      <c r="T135" s="675"/>
      <c r="U135" s="677">
        <f t="shared" ref="U135" si="45">IF(COUNTIF(J135:K137,"CUMPLE")&gt;=1,1,0)</f>
        <v>0</v>
      </c>
      <c r="W135" s="29"/>
      <c r="X135" s="29"/>
      <c r="Y135" s="29"/>
      <c r="Z135" s="29"/>
      <c r="AA135" s="29"/>
      <c r="AB135" s="29"/>
      <c r="AC135" s="29"/>
      <c r="AD135" s="42"/>
      <c r="AE135" s="42"/>
      <c r="AF135" s="42"/>
      <c r="AG135" s="42"/>
    </row>
    <row r="136" spans="1:35" s="41" customFormat="1" ht="25" hidden="1" customHeight="1">
      <c r="A136" s="40"/>
      <c r="B136" s="652"/>
      <c r="C136" s="655"/>
      <c r="D136" s="655"/>
      <c r="E136" s="655"/>
      <c r="F136" s="655"/>
      <c r="G136" s="682"/>
      <c r="H136" s="685"/>
      <c r="I136" s="688"/>
      <c r="J136" s="183"/>
      <c r="K136" s="38">
        <f>+$K$14</f>
        <v>0</v>
      </c>
      <c r="L136" s="696"/>
      <c r="M136" s="678">
        <f>+$M$14</f>
        <v>0</v>
      </c>
      <c r="N136" s="691"/>
      <c r="O136" s="691"/>
      <c r="P136" s="694"/>
      <c r="Q136" s="567"/>
      <c r="R136" s="567"/>
      <c r="S136" s="672"/>
      <c r="T136" s="675"/>
      <c r="U136" s="677"/>
      <c r="W136" s="29"/>
      <c r="X136" s="29"/>
      <c r="Y136" s="29"/>
      <c r="Z136" s="29"/>
      <c r="AA136" s="29"/>
      <c r="AB136" s="29"/>
      <c r="AC136" s="29"/>
    </row>
    <row r="137" spans="1:35" s="41" customFormat="1" ht="25" hidden="1" customHeight="1">
      <c r="A137" s="40"/>
      <c r="B137" s="653"/>
      <c r="C137" s="656"/>
      <c r="D137" s="656"/>
      <c r="E137" s="656"/>
      <c r="F137" s="656"/>
      <c r="G137" s="683"/>
      <c r="H137" s="686"/>
      <c r="I137" s="689"/>
      <c r="J137" s="183"/>
      <c r="K137" s="38">
        <f>+$K$15</f>
        <v>0</v>
      </c>
      <c r="L137" s="697"/>
      <c r="M137" s="680"/>
      <c r="N137" s="692"/>
      <c r="O137" s="692"/>
      <c r="P137" s="695"/>
      <c r="Q137" s="545"/>
      <c r="R137" s="545"/>
      <c r="S137" s="673"/>
      <c r="T137" s="676"/>
      <c r="U137" s="677"/>
      <c r="W137" s="29"/>
      <c r="X137" s="29"/>
      <c r="Y137" s="29"/>
      <c r="Z137" s="29"/>
      <c r="AA137" s="29"/>
      <c r="AB137" s="29"/>
      <c r="AC137" s="29"/>
    </row>
    <row r="138" spans="1:35" s="28" customFormat="1" ht="25" hidden="1" customHeight="1">
      <c r="B138" s="698" t="str">
        <f>IF(S139=" "," ",IF(S139&gt;=$H$6,"CUMPLE CON LA EXPERIENCIA REQUERIDA","NO CUMPLE CON LA EXPERIENCIA REQUERIDA"))</f>
        <v>NO CUMPLE CON LA EXPERIENCIA REQUERIDA</v>
      </c>
      <c r="C138" s="699"/>
      <c r="D138" s="699"/>
      <c r="E138" s="699"/>
      <c r="F138" s="699"/>
      <c r="G138" s="699"/>
      <c r="H138" s="699"/>
      <c r="I138" s="699"/>
      <c r="J138" s="699"/>
      <c r="K138" s="699"/>
      <c r="L138" s="699"/>
      <c r="M138" s="699"/>
      <c r="N138" s="699"/>
      <c r="O138" s="700"/>
      <c r="P138" s="704" t="s">
        <v>46</v>
      </c>
      <c r="Q138" s="705"/>
      <c r="R138" s="706"/>
      <c r="S138" s="44">
        <f>IF(T123="SI",SUM(S123:S137),0)</f>
        <v>0</v>
      </c>
      <c r="T138" s="707" t="str">
        <f>IF(S139=" "," ",IF(S139&gt;=$H$6,"CUMPLE","NO CUMPLE"))</f>
        <v>NO CUMPLE</v>
      </c>
      <c r="W138" s="29"/>
      <c r="X138" s="29"/>
      <c r="Y138" s="29"/>
      <c r="Z138" s="29"/>
      <c r="AA138" s="29"/>
      <c r="AB138" s="29"/>
      <c r="AC138" s="29"/>
      <c r="AD138" s="41"/>
      <c r="AE138" s="41"/>
      <c r="AF138" s="41"/>
      <c r="AG138" s="41"/>
      <c r="AH138" s="41"/>
    </row>
    <row r="139" spans="1:35" s="41" customFormat="1" ht="25" hidden="1" customHeight="1">
      <c r="B139" s="701"/>
      <c r="C139" s="702"/>
      <c r="D139" s="702"/>
      <c r="E139" s="702"/>
      <c r="F139" s="702"/>
      <c r="G139" s="702"/>
      <c r="H139" s="702"/>
      <c r="I139" s="702"/>
      <c r="J139" s="702"/>
      <c r="K139" s="702"/>
      <c r="L139" s="702"/>
      <c r="M139" s="702"/>
      <c r="N139" s="702"/>
      <c r="O139" s="703"/>
      <c r="P139" s="704" t="s">
        <v>47</v>
      </c>
      <c r="Q139" s="705"/>
      <c r="R139" s="706"/>
      <c r="S139" s="44">
        <f>IFERROR((S138/$P$6)," ")</f>
        <v>0</v>
      </c>
      <c r="T139" s="708"/>
      <c r="W139" s="29"/>
      <c r="X139" s="29"/>
      <c r="Y139" s="29"/>
      <c r="Z139" s="29"/>
      <c r="AA139" s="29"/>
      <c r="AB139" s="29"/>
      <c r="AC139" s="29"/>
    </row>
    <row r="140" spans="1:35" ht="30" hidden="1" customHeight="1">
      <c r="AA140" s="29"/>
      <c r="AB140" s="29"/>
      <c r="AC140" s="29"/>
      <c r="AD140" s="41"/>
      <c r="AE140" s="41"/>
      <c r="AF140" s="41"/>
      <c r="AG140" s="41"/>
      <c r="AH140" s="28"/>
    </row>
    <row r="141" spans="1:35" ht="30" hidden="1" customHeight="1">
      <c r="AA141" s="29"/>
      <c r="AB141" s="29"/>
      <c r="AC141" s="29"/>
      <c r="AD141" s="41"/>
      <c r="AE141" s="41"/>
      <c r="AF141" s="41"/>
      <c r="AG141" s="41"/>
      <c r="AH141" s="41"/>
    </row>
    <row r="142" spans="1:35" ht="64.5" hidden="1" customHeight="1">
      <c r="B142" s="26">
        <v>7</v>
      </c>
      <c r="C142" s="660" t="s">
        <v>25</v>
      </c>
      <c r="D142" s="661"/>
      <c r="E142" s="662"/>
      <c r="F142" s="663">
        <f>IFERROR(VLOOKUP(B142,LISTA_OFERENTES,2,FALSE)," ")</f>
        <v>0</v>
      </c>
      <c r="G142" s="664"/>
      <c r="H142" s="664"/>
      <c r="I142" s="664"/>
      <c r="J142" s="664"/>
      <c r="K142" s="664"/>
      <c r="L142" s="664"/>
      <c r="M142" s="664"/>
      <c r="N142" s="664"/>
      <c r="O142" s="665"/>
      <c r="P142" s="666" t="s">
        <v>26</v>
      </c>
      <c r="Q142" s="667"/>
      <c r="R142" s="668"/>
      <c r="S142" s="27">
        <f>5-(INT(COUNTBLANK(C145:C159))-10)</f>
        <v>0</v>
      </c>
      <c r="T142" s="28"/>
      <c r="AA142" s="29"/>
      <c r="AB142" s="29"/>
      <c r="AC142" s="29"/>
      <c r="AD142" s="41"/>
      <c r="AE142" s="41"/>
      <c r="AF142" s="41"/>
      <c r="AG142" s="41"/>
    </row>
    <row r="143" spans="1:35" s="42" customFormat="1" ht="30" hidden="1" customHeight="1">
      <c r="B143" s="669" t="s">
        <v>27</v>
      </c>
      <c r="C143" s="643" t="s">
        <v>28</v>
      </c>
      <c r="D143" s="643" t="s">
        <v>29</v>
      </c>
      <c r="E143" s="643" t="s">
        <v>30</v>
      </c>
      <c r="F143" s="643" t="s">
        <v>31</v>
      </c>
      <c r="G143" s="643" t="s">
        <v>32</v>
      </c>
      <c r="H143" s="643" t="s">
        <v>33</v>
      </c>
      <c r="I143" s="643" t="s">
        <v>34</v>
      </c>
      <c r="J143" s="657" t="s">
        <v>35</v>
      </c>
      <c r="K143" s="658"/>
      <c r="L143" s="658"/>
      <c r="M143" s="659"/>
      <c r="N143" s="643" t="s">
        <v>36</v>
      </c>
      <c r="O143" s="643" t="s">
        <v>37</v>
      </c>
      <c r="P143" s="657" t="s">
        <v>38</v>
      </c>
      <c r="Q143" s="659"/>
      <c r="R143" s="643" t="s">
        <v>39</v>
      </c>
      <c r="S143" s="643" t="s">
        <v>40</v>
      </c>
      <c r="T143" s="643" t="str">
        <f>+$T$11</f>
        <v>Cumple con el requerimiento del numeral 6.2.2.2.1</v>
      </c>
      <c r="U143" s="643" t="str">
        <f>+$U$11</f>
        <v xml:space="preserve">VERIFICACIÓN CONDICIÓN DE EXPERIENCIA  </v>
      </c>
      <c r="V143" s="45"/>
      <c r="W143" s="29"/>
      <c r="X143" s="29"/>
      <c r="Y143" s="29"/>
      <c r="Z143" s="29"/>
      <c r="AA143" s="29"/>
      <c r="AB143" s="29"/>
      <c r="AC143" s="29"/>
      <c r="AD143" s="41"/>
      <c r="AE143" s="41"/>
      <c r="AF143" s="41"/>
      <c r="AG143" s="41"/>
      <c r="AH143" s="13"/>
    </row>
    <row r="144" spans="1:35" s="42" customFormat="1" ht="113.25" hidden="1" customHeight="1">
      <c r="B144" s="670"/>
      <c r="C144" s="644"/>
      <c r="D144" s="644"/>
      <c r="E144" s="644"/>
      <c r="F144" s="644"/>
      <c r="G144" s="644"/>
      <c r="H144" s="644"/>
      <c r="I144" s="644"/>
      <c r="J144" s="648" t="s">
        <v>43</v>
      </c>
      <c r="K144" s="649"/>
      <c r="L144" s="649"/>
      <c r="M144" s="650"/>
      <c r="N144" s="644"/>
      <c r="O144" s="644"/>
      <c r="P144" s="33" t="s">
        <v>10</v>
      </c>
      <c r="Q144" s="33" t="s">
        <v>44</v>
      </c>
      <c r="R144" s="644"/>
      <c r="S144" s="644"/>
      <c r="T144" s="644"/>
      <c r="U144" s="644"/>
      <c r="V144" s="45"/>
      <c r="W144" s="29"/>
      <c r="X144" s="29"/>
      <c r="Y144" s="29"/>
      <c r="Z144" s="29"/>
      <c r="AA144" s="29"/>
      <c r="AB144" s="29"/>
      <c r="AC144" s="29"/>
      <c r="AD144" s="41"/>
      <c r="AE144" s="41"/>
      <c r="AF144" s="41"/>
      <c r="AG144" s="41"/>
      <c r="AH144" s="13"/>
    </row>
    <row r="145" spans="1:35" s="41" customFormat="1" ht="25" hidden="1" customHeight="1">
      <c r="A145" s="40"/>
      <c r="B145" s="651">
        <v>1</v>
      </c>
      <c r="C145" s="654"/>
      <c r="D145" s="654"/>
      <c r="E145" s="654"/>
      <c r="F145" s="654"/>
      <c r="G145" s="681"/>
      <c r="H145" s="684"/>
      <c r="I145" s="687"/>
      <c r="J145" s="183"/>
      <c r="K145" s="38">
        <f>+$K$13</f>
        <v>0</v>
      </c>
      <c r="L145" s="183"/>
      <c r="M145" s="38">
        <f>+$M$13</f>
        <v>0</v>
      </c>
      <c r="N145" s="690"/>
      <c r="O145" s="690"/>
      <c r="P145" s="693"/>
      <c r="Q145" s="544"/>
      <c r="R145" s="544"/>
      <c r="S145" s="671">
        <f>IF(COUNTIF(J145:K147,"CUMPLE")&gt;=1,(G145*I145),0)* (IF(N145="PRESENTÓ CERTIFICADO",1,0))* (IF(O145="ACORDE A ITEM 5.2.2 (T.R.)",1,0) )* ( IF(OR(Q145="SIN OBSERVACIÓN", Q145="REQUERIMIENTOS SUBSANADOS"),1,0)) *(IF(OR(R145="NINGUNO", R145="CUMPLEN CON LO SOLICITADO"),1,0))</f>
        <v>0</v>
      </c>
      <c r="T145" s="674"/>
      <c r="U145" s="677">
        <f>IF(COUNTIF(J145:K147,"CUMPLE")&gt;=1,1,0)</f>
        <v>0</v>
      </c>
      <c r="W145" s="29"/>
      <c r="X145" s="29"/>
      <c r="Y145" s="29"/>
      <c r="Z145" s="29"/>
      <c r="AD145" s="13"/>
      <c r="AE145" s="13"/>
      <c r="AF145" s="13"/>
      <c r="AG145" s="13"/>
      <c r="AH145" s="13"/>
      <c r="AI145" s="13"/>
    </row>
    <row r="146" spans="1:35" s="41" customFormat="1" ht="25" hidden="1" customHeight="1">
      <c r="A146" s="40"/>
      <c r="B146" s="652"/>
      <c r="C146" s="655"/>
      <c r="D146" s="655"/>
      <c r="E146" s="655"/>
      <c r="F146" s="655"/>
      <c r="G146" s="682"/>
      <c r="H146" s="685"/>
      <c r="I146" s="688"/>
      <c r="J146" s="183"/>
      <c r="K146" s="38">
        <f>+$K$14</f>
        <v>0</v>
      </c>
      <c r="L146" s="696"/>
      <c r="M146" s="678">
        <f>+$M$14</f>
        <v>0</v>
      </c>
      <c r="N146" s="691"/>
      <c r="O146" s="691"/>
      <c r="P146" s="694"/>
      <c r="Q146" s="567"/>
      <c r="R146" s="567"/>
      <c r="S146" s="672"/>
      <c r="T146" s="675"/>
      <c r="U146" s="677"/>
      <c r="W146" s="29"/>
      <c r="X146" s="29"/>
      <c r="Y146" s="29"/>
      <c r="Z146" s="29"/>
      <c r="AD146" s="13"/>
      <c r="AE146" s="13"/>
      <c r="AF146" s="13"/>
      <c r="AG146" s="13"/>
      <c r="AH146" s="13"/>
      <c r="AI146" s="13"/>
    </row>
    <row r="147" spans="1:35" s="41" customFormat="1" ht="36" hidden="1" customHeight="1">
      <c r="A147" s="40"/>
      <c r="B147" s="653"/>
      <c r="C147" s="656"/>
      <c r="D147" s="656"/>
      <c r="E147" s="656"/>
      <c r="F147" s="656"/>
      <c r="G147" s="683"/>
      <c r="H147" s="686"/>
      <c r="I147" s="689"/>
      <c r="J147" s="183"/>
      <c r="K147" s="38">
        <f>+$K$15</f>
        <v>0</v>
      </c>
      <c r="L147" s="697"/>
      <c r="M147" s="680"/>
      <c r="N147" s="692"/>
      <c r="O147" s="692"/>
      <c r="P147" s="695"/>
      <c r="Q147" s="545"/>
      <c r="R147" s="545"/>
      <c r="S147" s="673"/>
      <c r="T147" s="675"/>
      <c r="U147" s="677"/>
      <c r="W147" s="29"/>
      <c r="X147" s="29"/>
      <c r="Y147" s="29"/>
      <c r="Z147" s="29"/>
      <c r="AD147" s="13"/>
      <c r="AE147" s="13"/>
      <c r="AF147" s="13"/>
      <c r="AG147" s="13"/>
      <c r="AH147" s="13"/>
      <c r="AI147" s="13"/>
    </row>
    <row r="148" spans="1:35" s="41" customFormat="1" ht="25" hidden="1" customHeight="1">
      <c r="A148" s="40"/>
      <c r="B148" s="651">
        <v>2</v>
      </c>
      <c r="C148" s="712"/>
      <c r="D148" s="712"/>
      <c r="E148" s="712"/>
      <c r="F148" s="654"/>
      <c r="G148" s="715"/>
      <c r="H148" s="684"/>
      <c r="I148" s="709"/>
      <c r="J148" s="183"/>
      <c r="K148" s="38">
        <f>+$K$13</f>
        <v>0</v>
      </c>
      <c r="L148" s="183"/>
      <c r="M148" s="38">
        <f>+$M$13</f>
        <v>0</v>
      </c>
      <c r="N148" s="690"/>
      <c r="O148" s="690"/>
      <c r="P148" s="693"/>
      <c r="Q148" s="544"/>
      <c r="R148" s="544"/>
      <c r="S148" s="671">
        <f>IF(COUNTIF(J148:K150,"CUMPLE")&gt;=1,(G148*I148),0)* (IF(N148="PRESENTÓ CERTIFICADO",1,0))* (IF(O148="ACORDE A ITEM 5.2.2 (T.R.)",1,0) )* ( IF(OR(Q148="SIN OBSERVACIÓN", Q148="REQUERIMIENTOS SUBSANADOS"),1,0)) *(IF(OR(R148="NINGUNO", R148="CUMPLEN CON LO SOLICITADO"),1,0))</f>
        <v>0</v>
      </c>
      <c r="T148" s="675"/>
      <c r="U148" s="677">
        <f>IF(COUNTIF(J148:K150,"CUMPLE")&gt;=1,1,0)</f>
        <v>0</v>
      </c>
      <c r="W148" s="29"/>
      <c r="X148" s="29"/>
      <c r="Y148" s="29"/>
      <c r="Z148" s="29"/>
      <c r="AD148" s="13"/>
      <c r="AE148" s="13"/>
      <c r="AF148" s="13"/>
      <c r="AG148" s="13"/>
      <c r="AH148" s="13"/>
      <c r="AI148" s="13"/>
    </row>
    <row r="149" spans="1:35" s="41" customFormat="1" ht="25" hidden="1" customHeight="1">
      <c r="A149" s="40"/>
      <c r="B149" s="652"/>
      <c r="C149" s="713"/>
      <c r="D149" s="713"/>
      <c r="E149" s="713"/>
      <c r="F149" s="655"/>
      <c r="G149" s="716"/>
      <c r="H149" s="685"/>
      <c r="I149" s="710"/>
      <c r="J149" s="183"/>
      <c r="K149" s="38">
        <f>+$K$14</f>
        <v>0</v>
      </c>
      <c r="L149" s="696"/>
      <c r="M149" s="678">
        <f>+$M$14</f>
        <v>0</v>
      </c>
      <c r="N149" s="691"/>
      <c r="O149" s="691"/>
      <c r="P149" s="694"/>
      <c r="Q149" s="567"/>
      <c r="R149" s="567"/>
      <c r="S149" s="672"/>
      <c r="T149" s="675"/>
      <c r="U149" s="677"/>
      <c r="W149" s="29"/>
      <c r="X149" s="29"/>
      <c r="Y149" s="29"/>
      <c r="Z149" s="29"/>
      <c r="AD149" s="13"/>
      <c r="AE149" s="13"/>
      <c r="AF149" s="13"/>
      <c r="AG149" s="13"/>
      <c r="AH149" s="13"/>
      <c r="AI149" s="13"/>
    </row>
    <row r="150" spans="1:35" s="41" customFormat="1" ht="40.5" hidden="1" customHeight="1">
      <c r="A150" s="40"/>
      <c r="B150" s="653"/>
      <c r="C150" s="714"/>
      <c r="D150" s="714"/>
      <c r="E150" s="714"/>
      <c r="F150" s="656"/>
      <c r="G150" s="717"/>
      <c r="H150" s="686"/>
      <c r="I150" s="711"/>
      <c r="J150" s="183"/>
      <c r="K150" s="38">
        <f>+$K$15</f>
        <v>0</v>
      </c>
      <c r="L150" s="697"/>
      <c r="M150" s="680"/>
      <c r="N150" s="692"/>
      <c r="O150" s="692"/>
      <c r="P150" s="695"/>
      <c r="Q150" s="545"/>
      <c r="R150" s="545"/>
      <c r="S150" s="673"/>
      <c r="T150" s="675"/>
      <c r="U150" s="677"/>
      <c r="W150" s="29"/>
      <c r="X150" s="29"/>
      <c r="Y150" s="29"/>
      <c r="Z150" s="29"/>
      <c r="AD150" s="13"/>
      <c r="AE150" s="13"/>
      <c r="AF150" s="13"/>
      <c r="AG150" s="13"/>
      <c r="AH150" s="13"/>
      <c r="AI150" s="13"/>
    </row>
    <row r="151" spans="1:35" s="41" customFormat="1" ht="25" hidden="1" customHeight="1">
      <c r="A151" s="40"/>
      <c r="B151" s="651">
        <v>3</v>
      </c>
      <c r="C151" s="654"/>
      <c r="D151" s="654"/>
      <c r="E151" s="654"/>
      <c r="F151" s="654"/>
      <c r="G151" s="681"/>
      <c r="H151" s="684"/>
      <c r="I151" s="687"/>
      <c r="J151" s="183"/>
      <c r="K151" s="38">
        <f>+$K$13</f>
        <v>0</v>
      </c>
      <c r="L151" s="183"/>
      <c r="M151" s="38">
        <f>+$M$13</f>
        <v>0</v>
      </c>
      <c r="N151" s="690"/>
      <c r="O151" s="690"/>
      <c r="P151" s="693"/>
      <c r="Q151" s="544"/>
      <c r="R151" s="544"/>
      <c r="S151" s="671">
        <f>IF(COUNTIF(J151:K153,"CUMPLE")&gt;=1,(G151*I151),0)* (IF(N151="PRESENTÓ CERTIFICADO",1,0))* (IF(O151="ACORDE A ITEM 5.2.2 (T.R.)",1,0) )* ( IF(OR(Q151="SIN OBSERVACIÓN", Q151="REQUERIMIENTOS SUBSANADOS"),1,0)) *(IF(OR(R151="NINGUNO", R151="CUMPLEN CON LO SOLICITADO"),1,0))</f>
        <v>0</v>
      </c>
      <c r="T151" s="675"/>
      <c r="U151" s="677">
        <f>IF(COUNTIF(L151:M153,"CUMPLE")&gt;=1,1,0)</f>
        <v>0</v>
      </c>
      <c r="W151" s="29"/>
      <c r="X151" s="29"/>
      <c r="Y151" s="29"/>
      <c r="Z151" s="29"/>
      <c r="AA151" s="28"/>
      <c r="AB151" s="28"/>
      <c r="AC151" s="28"/>
      <c r="AD151" s="13"/>
      <c r="AE151" s="13"/>
      <c r="AF151" s="13"/>
      <c r="AG151" s="13"/>
      <c r="AH151" s="13"/>
      <c r="AI151" s="13"/>
    </row>
    <row r="152" spans="1:35" s="41" customFormat="1" ht="25" hidden="1" customHeight="1">
      <c r="A152" s="40"/>
      <c r="B152" s="652"/>
      <c r="C152" s="655"/>
      <c r="D152" s="655"/>
      <c r="E152" s="655"/>
      <c r="F152" s="655"/>
      <c r="G152" s="682"/>
      <c r="H152" s="685"/>
      <c r="I152" s="688"/>
      <c r="J152" s="183"/>
      <c r="K152" s="38">
        <f>+$K$14</f>
        <v>0</v>
      </c>
      <c r="L152" s="696"/>
      <c r="M152" s="678">
        <f>+$M$14</f>
        <v>0</v>
      </c>
      <c r="N152" s="691"/>
      <c r="O152" s="691"/>
      <c r="P152" s="694"/>
      <c r="Q152" s="567"/>
      <c r="R152" s="567"/>
      <c r="S152" s="672"/>
      <c r="T152" s="675"/>
      <c r="U152" s="677"/>
      <c r="W152" s="29"/>
      <c r="X152" s="29"/>
      <c r="Y152" s="29"/>
      <c r="Z152" s="29"/>
      <c r="AH152" s="13"/>
      <c r="AI152" s="13"/>
    </row>
    <row r="153" spans="1:35" s="41" customFormat="1" ht="35.25" hidden="1" customHeight="1">
      <c r="A153" s="40"/>
      <c r="B153" s="653"/>
      <c r="C153" s="656"/>
      <c r="D153" s="656"/>
      <c r="E153" s="656"/>
      <c r="F153" s="656"/>
      <c r="G153" s="683"/>
      <c r="H153" s="686"/>
      <c r="I153" s="689"/>
      <c r="J153" s="183"/>
      <c r="K153" s="38">
        <f>+$K$15</f>
        <v>0</v>
      </c>
      <c r="L153" s="697"/>
      <c r="M153" s="680"/>
      <c r="N153" s="692"/>
      <c r="O153" s="692"/>
      <c r="P153" s="695"/>
      <c r="Q153" s="545"/>
      <c r="R153" s="545"/>
      <c r="S153" s="673"/>
      <c r="T153" s="675"/>
      <c r="U153" s="677"/>
      <c r="W153" s="29"/>
      <c r="X153" s="29"/>
      <c r="Y153" s="29"/>
      <c r="Z153" s="29"/>
    </row>
    <row r="154" spans="1:35" s="41" customFormat="1" ht="25" hidden="1" customHeight="1">
      <c r="A154" s="40"/>
      <c r="B154" s="651">
        <v>4</v>
      </c>
      <c r="C154" s="712"/>
      <c r="D154" s="712"/>
      <c r="E154" s="712"/>
      <c r="F154" s="712"/>
      <c r="G154" s="715"/>
      <c r="H154" s="684"/>
      <c r="I154" s="709"/>
      <c r="J154" s="183"/>
      <c r="K154" s="38">
        <f>+$K$13</f>
        <v>0</v>
      </c>
      <c r="L154" s="183"/>
      <c r="M154" s="38">
        <f>+$M$13</f>
        <v>0</v>
      </c>
      <c r="N154" s="690"/>
      <c r="O154" s="690"/>
      <c r="P154" s="693"/>
      <c r="Q154" s="544"/>
      <c r="R154" s="544"/>
      <c r="S154" s="671">
        <f>IF(COUNTIF(J154:K156,"CUMPLE")&gt;=1,(G154*I154),0)* (IF(N154="PRESENTÓ CERTIFICADO",1,0))* (IF(O154="ACORDE A ITEM 5.2.2 (T.R.)",1,0) )* ( IF(OR(Q154="SIN OBSERVACIÓN", Q154="REQUERIMIENTOS SUBSANADOS"),1,0)) *(IF(OR(R154="NINGUNO", R154="CUMPLEN CON LO SOLICITADO"),1,0))</f>
        <v>0</v>
      </c>
      <c r="T154" s="675"/>
      <c r="U154" s="677">
        <f>IF(COUNTIF(L154:M156,"CUMPLE")&gt;=1,1,0)</f>
        <v>0</v>
      </c>
      <c r="W154" s="29"/>
      <c r="X154" s="29"/>
      <c r="Y154" s="29"/>
      <c r="Z154" s="29"/>
      <c r="AA154" s="13"/>
      <c r="AB154" s="13"/>
      <c r="AC154" s="13"/>
      <c r="AD154" s="13"/>
      <c r="AE154" s="13"/>
      <c r="AF154" s="13"/>
      <c r="AG154" s="13"/>
    </row>
    <row r="155" spans="1:35" s="41" customFormat="1" ht="25" hidden="1" customHeight="1">
      <c r="A155" s="40"/>
      <c r="B155" s="652"/>
      <c r="C155" s="713"/>
      <c r="D155" s="713"/>
      <c r="E155" s="713"/>
      <c r="F155" s="713"/>
      <c r="G155" s="716"/>
      <c r="H155" s="685"/>
      <c r="I155" s="710"/>
      <c r="J155" s="183"/>
      <c r="K155" s="38">
        <f>+$K$14</f>
        <v>0</v>
      </c>
      <c r="L155" s="696"/>
      <c r="M155" s="678">
        <f>+$M$14</f>
        <v>0</v>
      </c>
      <c r="N155" s="691"/>
      <c r="O155" s="691"/>
      <c r="P155" s="694"/>
      <c r="Q155" s="567"/>
      <c r="R155" s="567"/>
      <c r="S155" s="672"/>
      <c r="T155" s="675"/>
      <c r="U155" s="677"/>
      <c r="W155" s="29"/>
      <c r="X155" s="29"/>
      <c r="Y155" s="29"/>
      <c r="Z155" s="29"/>
      <c r="AA155" s="13"/>
      <c r="AB155" s="13"/>
      <c r="AC155" s="13"/>
      <c r="AD155" s="13"/>
      <c r="AE155" s="13"/>
      <c r="AF155" s="13"/>
      <c r="AG155" s="13"/>
    </row>
    <row r="156" spans="1:35" s="41" customFormat="1" ht="25" hidden="1" customHeight="1">
      <c r="A156" s="40"/>
      <c r="B156" s="653"/>
      <c r="C156" s="714"/>
      <c r="D156" s="714"/>
      <c r="E156" s="714"/>
      <c r="F156" s="714"/>
      <c r="G156" s="717"/>
      <c r="H156" s="686"/>
      <c r="I156" s="711"/>
      <c r="J156" s="183"/>
      <c r="K156" s="38">
        <f>+$K$15</f>
        <v>0</v>
      </c>
      <c r="L156" s="697"/>
      <c r="M156" s="680"/>
      <c r="N156" s="692"/>
      <c r="O156" s="692"/>
      <c r="P156" s="695"/>
      <c r="Q156" s="545"/>
      <c r="R156" s="545"/>
      <c r="S156" s="673"/>
      <c r="T156" s="675"/>
      <c r="U156" s="677"/>
      <c r="W156" s="29"/>
      <c r="X156" s="29"/>
      <c r="Y156" s="29"/>
      <c r="Z156" s="29"/>
      <c r="AA156" s="29"/>
      <c r="AB156" s="29"/>
      <c r="AC156" s="29"/>
      <c r="AD156" s="42"/>
      <c r="AE156" s="42"/>
      <c r="AF156" s="42"/>
      <c r="AG156" s="42"/>
    </row>
    <row r="157" spans="1:35" s="41" customFormat="1" ht="25" hidden="1" customHeight="1">
      <c r="A157" s="40"/>
      <c r="B157" s="651">
        <v>5</v>
      </c>
      <c r="C157" s="654"/>
      <c r="D157" s="654"/>
      <c r="E157" s="654"/>
      <c r="F157" s="654"/>
      <c r="G157" s="681"/>
      <c r="H157" s="684"/>
      <c r="I157" s="687"/>
      <c r="J157" s="183"/>
      <c r="K157" s="38">
        <f>+$K$13</f>
        <v>0</v>
      </c>
      <c r="L157" s="183"/>
      <c r="M157" s="38">
        <f>+$M$13</f>
        <v>0</v>
      </c>
      <c r="N157" s="690"/>
      <c r="O157" s="690"/>
      <c r="P157" s="693"/>
      <c r="Q157" s="544"/>
      <c r="R157" s="544"/>
      <c r="S157" s="671">
        <f>IF(COUNTIF(J157:K159,"CUMPLE")&gt;=1,(G157*I157),0)* (IF(N157="PRESENTÓ CERTIFICADO",1,0))* (IF(O157="ACORDE A ITEM 5.2.2 (T.R.)",1,0) )* ( IF(OR(Q157="SIN OBSERVACIÓN", Q157="REQUERIMIENTOS SUBSANADOS"),1,0)) *(IF(OR(R157="NINGUNO", R157="CUMPLEN CON LO SOLICITADO"),1,0))</f>
        <v>0</v>
      </c>
      <c r="T157" s="675"/>
      <c r="U157" s="677">
        <f>IF(COUNTIF(L157:M159,"CUMPLE")&gt;=1,1,0)</f>
        <v>0</v>
      </c>
      <c r="W157" s="29"/>
      <c r="X157" s="29"/>
      <c r="Y157" s="29"/>
      <c r="Z157" s="29"/>
      <c r="AA157" s="29"/>
      <c r="AB157" s="29"/>
      <c r="AC157" s="29"/>
      <c r="AD157" s="42"/>
      <c r="AE157" s="42"/>
      <c r="AF157" s="42"/>
      <c r="AG157" s="42"/>
    </row>
    <row r="158" spans="1:35" s="41" customFormat="1" ht="25" hidden="1" customHeight="1">
      <c r="A158" s="40"/>
      <c r="B158" s="652"/>
      <c r="C158" s="655"/>
      <c r="D158" s="655"/>
      <c r="E158" s="655"/>
      <c r="F158" s="655"/>
      <c r="G158" s="682"/>
      <c r="H158" s="685"/>
      <c r="I158" s="688"/>
      <c r="J158" s="183"/>
      <c r="K158" s="38">
        <f>+$K$14</f>
        <v>0</v>
      </c>
      <c r="L158" s="696"/>
      <c r="M158" s="678">
        <f>+$M$14</f>
        <v>0</v>
      </c>
      <c r="N158" s="691"/>
      <c r="O158" s="691"/>
      <c r="P158" s="694"/>
      <c r="Q158" s="567"/>
      <c r="R158" s="567"/>
      <c r="S158" s="672"/>
      <c r="T158" s="675"/>
      <c r="U158" s="677"/>
      <c r="W158" s="29"/>
      <c r="X158" s="29"/>
      <c r="Y158" s="29"/>
      <c r="Z158" s="29"/>
      <c r="AA158" s="29"/>
      <c r="AB158" s="29"/>
      <c r="AC158" s="29"/>
    </row>
    <row r="159" spans="1:35" s="41" customFormat="1" ht="25" hidden="1" customHeight="1">
      <c r="A159" s="40"/>
      <c r="B159" s="653"/>
      <c r="C159" s="656"/>
      <c r="D159" s="656"/>
      <c r="E159" s="656"/>
      <c r="F159" s="656"/>
      <c r="G159" s="683"/>
      <c r="H159" s="686"/>
      <c r="I159" s="689"/>
      <c r="J159" s="183"/>
      <c r="K159" s="38">
        <f>+$K$15</f>
        <v>0</v>
      </c>
      <c r="L159" s="697"/>
      <c r="M159" s="680"/>
      <c r="N159" s="692"/>
      <c r="O159" s="692"/>
      <c r="P159" s="695"/>
      <c r="Q159" s="545"/>
      <c r="R159" s="545"/>
      <c r="S159" s="673"/>
      <c r="T159" s="676"/>
      <c r="U159" s="677"/>
      <c r="W159" s="29"/>
      <c r="X159" s="29"/>
      <c r="Y159" s="29"/>
      <c r="Z159" s="29"/>
      <c r="AA159" s="29"/>
      <c r="AB159" s="29"/>
      <c r="AC159" s="29"/>
    </row>
    <row r="160" spans="1:35" s="28" customFormat="1" ht="25" hidden="1" customHeight="1">
      <c r="B160" s="698" t="str">
        <f>IF(S161=" "," ",IF(S161&gt;=$H$6,"CUMPLE CON LA EXPERIENCIA REQUERIDA","NO CUMPLE CON LA EXPERIENCIA REQUERIDA"))</f>
        <v>NO CUMPLE CON LA EXPERIENCIA REQUERIDA</v>
      </c>
      <c r="C160" s="699"/>
      <c r="D160" s="699"/>
      <c r="E160" s="699"/>
      <c r="F160" s="699"/>
      <c r="G160" s="699"/>
      <c r="H160" s="699"/>
      <c r="I160" s="699"/>
      <c r="J160" s="699"/>
      <c r="K160" s="699"/>
      <c r="L160" s="699"/>
      <c r="M160" s="699"/>
      <c r="N160" s="699"/>
      <c r="O160" s="700"/>
      <c r="P160" s="704" t="s">
        <v>46</v>
      </c>
      <c r="Q160" s="705"/>
      <c r="R160" s="706"/>
      <c r="S160" s="44">
        <f>IF(T145="SI",SUM(S145:S159),0)</f>
        <v>0</v>
      </c>
      <c r="T160" s="707" t="str">
        <f>IF(S161=" "," ",IF(S161&gt;=$H$6,"CUMPLE","NO CUMPLE"))</f>
        <v>NO CUMPLE</v>
      </c>
      <c r="W160" s="29"/>
      <c r="X160" s="29"/>
      <c r="Y160" s="29"/>
      <c r="Z160" s="29"/>
      <c r="AA160" s="29"/>
      <c r="AB160" s="29"/>
      <c r="AC160" s="29"/>
      <c r="AD160" s="41"/>
      <c r="AE160" s="41"/>
      <c r="AF160" s="41"/>
      <c r="AG160" s="41"/>
      <c r="AH160" s="41"/>
    </row>
    <row r="161" spans="1:35" s="41" customFormat="1" ht="25" hidden="1" customHeight="1">
      <c r="B161" s="701"/>
      <c r="C161" s="702"/>
      <c r="D161" s="702"/>
      <c r="E161" s="702"/>
      <c r="F161" s="702"/>
      <c r="G161" s="702"/>
      <c r="H161" s="702"/>
      <c r="I161" s="702"/>
      <c r="J161" s="702"/>
      <c r="K161" s="702"/>
      <c r="L161" s="702"/>
      <c r="M161" s="702"/>
      <c r="N161" s="702"/>
      <c r="O161" s="703"/>
      <c r="P161" s="704" t="s">
        <v>47</v>
      </c>
      <c r="Q161" s="705"/>
      <c r="R161" s="706"/>
      <c r="S161" s="44">
        <f>IFERROR((S160/$P$6)," ")</f>
        <v>0</v>
      </c>
      <c r="T161" s="708"/>
      <c r="W161" s="29"/>
      <c r="X161" s="29"/>
      <c r="Y161" s="29"/>
      <c r="Z161" s="29"/>
      <c r="AA161" s="29"/>
      <c r="AB161" s="29"/>
      <c r="AC161" s="29"/>
    </row>
    <row r="162" spans="1:35" ht="30" hidden="1" customHeight="1">
      <c r="AA162" s="29"/>
      <c r="AB162" s="29"/>
      <c r="AC162" s="29"/>
      <c r="AD162" s="41"/>
      <c r="AE162" s="41"/>
      <c r="AF162" s="41"/>
      <c r="AG162" s="41"/>
      <c r="AH162" s="28"/>
    </row>
    <row r="163" spans="1:35" ht="30" hidden="1" customHeight="1">
      <c r="AA163" s="29"/>
      <c r="AB163" s="29"/>
      <c r="AC163" s="29"/>
      <c r="AD163" s="41"/>
      <c r="AE163" s="41"/>
      <c r="AF163" s="41"/>
      <c r="AG163" s="41"/>
      <c r="AH163" s="41"/>
    </row>
    <row r="164" spans="1:35" ht="64.5" hidden="1" customHeight="1">
      <c r="B164" s="26">
        <v>8</v>
      </c>
      <c r="C164" s="660" t="s">
        <v>25</v>
      </c>
      <c r="D164" s="661"/>
      <c r="E164" s="662"/>
      <c r="F164" s="663">
        <f>IFERROR(VLOOKUP(B164,LISTA_OFERENTES,2,FALSE)," ")</f>
        <v>0</v>
      </c>
      <c r="G164" s="664"/>
      <c r="H164" s="664"/>
      <c r="I164" s="664"/>
      <c r="J164" s="664"/>
      <c r="K164" s="664"/>
      <c r="L164" s="664"/>
      <c r="M164" s="664"/>
      <c r="N164" s="664"/>
      <c r="O164" s="665"/>
      <c r="P164" s="666" t="s">
        <v>26</v>
      </c>
      <c r="Q164" s="667"/>
      <c r="R164" s="668"/>
      <c r="S164" s="27">
        <f>5-(INT(COUNTBLANK(C167:C181))-10)</f>
        <v>0</v>
      </c>
      <c r="T164" s="28"/>
      <c r="AA164" s="29"/>
      <c r="AB164" s="29"/>
      <c r="AC164" s="29"/>
      <c r="AD164" s="41"/>
      <c r="AE164" s="41"/>
      <c r="AF164" s="41"/>
      <c r="AG164" s="41"/>
    </row>
    <row r="165" spans="1:35" s="42" customFormat="1" ht="30" hidden="1" customHeight="1">
      <c r="B165" s="669" t="s">
        <v>27</v>
      </c>
      <c r="C165" s="643" t="s">
        <v>28</v>
      </c>
      <c r="D165" s="643" t="s">
        <v>29</v>
      </c>
      <c r="E165" s="643" t="s">
        <v>30</v>
      </c>
      <c r="F165" s="643" t="s">
        <v>31</v>
      </c>
      <c r="G165" s="643" t="s">
        <v>32</v>
      </c>
      <c r="H165" s="643" t="s">
        <v>33</v>
      </c>
      <c r="I165" s="643" t="s">
        <v>34</v>
      </c>
      <c r="J165" s="657" t="s">
        <v>35</v>
      </c>
      <c r="K165" s="658"/>
      <c r="L165" s="658"/>
      <c r="M165" s="659"/>
      <c r="N165" s="643" t="s">
        <v>36</v>
      </c>
      <c r="O165" s="643" t="s">
        <v>37</v>
      </c>
      <c r="P165" s="657" t="s">
        <v>38</v>
      </c>
      <c r="Q165" s="659"/>
      <c r="R165" s="643" t="s">
        <v>39</v>
      </c>
      <c r="S165" s="643" t="s">
        <v>40</v>
      </c>
      <c r="T165" s="643" t="str">
        <f>+$T$11</f>
        <v>Cumple con el requerimiento del numeral 6.2.2.2.1</v>
      </c>
      <c r="U165" s="643" t="str">
        <f>+$U$11</f>
        <v xml:space="preserve">VERIFICACIÓN CONDICIÓN DE EXPERIENCIA  </v>
      </c>
      <c r="V165" s="45"/>
      <c r="W165" s="29"/>
      <c r="X165" s="29"/>
      <c r="Y165" s="29"/>
      <c r="Z165" s="29"/>
      <c r="AA165" s="29"/>
      <c r="AB165" s="29"/>
      <c r="AC165" s="29"/>
      <c r="AD165" s="41"/>
      <c r="AE165" s="41"/>
      <c r="AF165" s="41"/>
      <c r="AG165" s="41"/>
      <c r="AH165" s="13"/>
    </row>
    <row r="166" spans="1:35" s="42" customFormat="1" ht="63" hidden="1" customHeight="1">
      <c r="B166" s="670"/>
      <c r="C166" s="644"/>
      <c r="D166" s="644"/>
      <c r="E166" s="644"/>
      <c r="F166" s="644"/>
      <c r="G166" s="644"/>
      <c r="H166" s="644"/>
      <c r="I166" s="644"/>
      <c r="J166" s="648" t="s">
        <v>43</v>
      </c>
      <c r="K166" s="649"/>
      <c r="L166" s="649"/>
      <c r="M166" s="650"/>
      <c r="N166" s="644"/>
      <c r="O166" s="644"/>
      <c r="P166" s="33" t="s">
        <v>10</v>
      </c>
      <c r="Q166" s="33" t="s">
        <v>44</v>
      </c>
      <c r="R166" s="644"/>
      <c r="S166" s="644"/>
      <c r="T166" s="644"/>
      <c r="U166" s="644"/>
      <c r="V166" s="45"/>
      <c r="W166" s="29"/>
      <c r="X166" s="29"/>
      <c r="Y166" s="29"/>
      <c r="Z166" s="29"/>
      <c r="AA166" s="29"/>
      <c r="AB166" s="29"/>
      <c r="AC166" s="29"/>
      <c r="AD166" s="41"/>
      <c r="AE166" s="41"/>
      <c r="AF166" s="41"/>
      <c r="AG166" s="41"/>
      <c r="AH166" s="13"/>
    </row>
    <row r="167" spans="1:35" s="41" customFormat="1" ht="25" hidden="1" customHeight="1">
      <c r="A167" s="40"/>
      <c r="B167" s="651">
        <v>1</v>
      </c>
      <c r="C167" s="654"/>
      <c r="D167" s="654"/>
      <c r="E167" s="654"/>
      <c r="F167" s="654"/>
      <c r="G167" s="681"/>
      <c r="H167" s="684"/>
      <c r="I167" s="687"/>
      <c r="J167" s="183"/>
      <c r="K167" s="38">
        <f>+$K$13</f>
        <v>0</v>
      </c>
      <c r="L167" s="183"/>
      <c r="M167" s="38">
        <f>+$M$13</f>
        <v>0</v>
      </c>
      <c r="N167" s="690"/>
      <c r="O167" s="690"/>
      <c r="P167" s="693"/>
      <c r="Q167" s="544"/>
      <c r="R167" s="544"/>
      <c r="S167" s="671">
        <f>IF(COUNTIF(J167:K169,"CUMPLE")&gt;=1,(G167*I167),0)* (IF(N167="PRESENTÓ CERTIFICADO",1,0))* (IF(O167="ACORDE A ITEM 5.2.2 (T.R.)",1,0) )* ( IF(OR(Q167="SIN OBSERVACIÓN", Q167="REQUERIMIENTOS SUBSANADOS"),1,0)) *(IF(OR(R167="NINGUNO", R167="CUMPLEN CON LO SOLICITADO"),1,0))</f>
        <v>0</v>
      </c>
      <c r="T167" s="674"/>
      <c r="U167" s="677">
        <f>IF(COUNTIF(J167:K169,"CUMPLE")&gt;=1,1,0)</f>
        <v>0</v>
      </c>
      <c r="W167" s="29"/>
      <c r="X167" s="29"/>
      <c r="Y167" s="29"/>
      <c r="Z167" s="29"/>
      <c r="AD167" s="13"/>
      <c r="AE167" s="13"/>
      <c r="AF167" s="13"/>
      <c r="AG167" s="13"/>
      <c r="AH167" s="13"/>
      <c r="AI167" s="13"/>
    </row>
    <row r="168" spans="1:35" s="41" customFormat="1" ht="25" hidden="1" customHeight="1">
      <c r="A168" s="40"/>
      <c r="B168" s="652"/>
      <c r="C168" s="655"/>
      <c r="D168" s="655"/>
      <c r="E168" s="655"/>
      <c r="F168" s="655"/>
      <c r="G168" s="682"/>
      <c r="H168" s="685"/>
      <c r="I168" s="688"/>
      <c r="J168" s="183"/>
      <c r="K168" s="38">
        <f>+$K$14</f>
        <v>0</v>
      </c>
      <c r="L168" s="696"/>
      <c r="M168" s="678">
        <f>+$M$14</f>
        <v>0</v>
      </c>
      <c r="N168" s="691"/>
      <c r="O168" s="691"/>
      <c r="P168" s="694"/>
      <c r="Q168" s="567"/>
      <c r="R168" s="567"/>
      <c r="S168" s="672"/>
      <c r="T168" s="675"/>
      <c r="U168" s="677"/>
      <c r="W168" s="29"/>
      <c r="X168" s="29"/>
      <c r="Y168" s="29"/>
      <c r="Z168" s="29"/>
      <c r="AD168" s="13"/>
      <c r="AE168" s="13"/>
      <c r="AF168" s="13"/>
      <c r="AG168" s="13"/>
      <c r="AH168" s="13"/>
      <c r="AI168" s="13"/>
    </row>
    <row r="169" spans="1:35" s="41" customFormat="1" ht="25" hidden="1" customHeight="1">
      <c r="A169" s="40"/>
      <c r="B169" s="653"/>
      <c r="C169" s="656"/>
      <c r="D169" s="656"/>
      <c r="E169" s="656"/>
      <c r="F169" s="656"/>
      <c r="G169" s="683"/>
      <c r="H169" s="686"/>
      <c r="I169" s="689"/>
      <c r="J169" s="183"/>
      <c r="K169" s="38">
        <f>+$K$15</f>
        <v>0</v>
      </c>
      <c r="L169" s="697"/>
      <c r="M169" s="680"/>
      <c r="N169" s="692"/>
      <c r="O169" s="692"/>
      <c r="P169" s="695"/>
      <c r="Q169" s="545"/>
      <c r="R169" s="545"/>
      <c r="S169" s="673"/>
      <c r="T169" s="675"/>
      <c r="U169" s="677"/>
      <c r="W169" s="29"/>
      <c r="X169" s="29"/>
      <c r="Y169" s="29"/>
      <c r="Z169" s="29"/>
      <c r="AD169" s="13"/>
      <c r="AE169" s="13"/>
      <c r="AF169" s="13"/>
      <c r="AG169" s="13"/>
      <c r="AH169" s="13"/>
      <c r="AI169" s="13"/>
    </row>
    <row r="170" spans="1:35" s="41" customFormat="1" ht="25" hidden="1" customHeight="1">
      <c r="A170" s="40"/>
      <c r="B170" s="651">
        <v>2</v>
      </c>
      <c r="C170" s="712"/>
      <c r="D170" s="712"/>
      <c r="E170" s="712"/>
      <c r="F170" s="712"/>
      <c r="G170" s="715"/>
      <c r="H170" s="684"/>
      <c r="I170" s="709"/>
      <c r="J170" s="183"/>
      <c r="K170" s="38">
        <f>+$K$13</f>
        <v>0</v>
      </c>
      <c r="L170" s="183"/>
      <c r="M170" s="38">
        <f>+$M$13</f>
        <v>0</v>
      </c>
      <c r="N170" s="690"/>
      <c r="O170" s="690"/>
      <c r="P170" s="693"/>
      <c r="Q170" s="544"/>
      <c r="R170" s="544"/>
      <c r="S170" s="671">
        <f>IF(COUNTIF(J170:K172,"CUMPLE")&gt;=1,(G170*I170),0)* (IF(N170="PRESENTÓ CERTIFICADO",1,0))* (IF(O170="ACORDE A ITEM 5.2.2 (T.R.)",1,0) )* ( IF(OR(Q170="SIN OBSERVACIÓN", Q170="REQUERIMIENTOS SUBSANADOS"),1,0)) *(IF(OR(R170="NINGUNO", R170="CUMPLEN CON LO SOLICITADO"),1,0))</f>
        <v>0</v>
      </c>
      <c r="T170" s="675"/>
      <c r="U170" s="677">
        <f t="shared" ref="U170" si="46">IF(COUNTIF(J170:K172,"CUMPLE")&gt;=1,1,0)</f>
        <v>0</v>
      </c>
      <c r="W170" s="29"/>
      <c r="X170" s="29"/>
      <c r="Y170" s="29"/>
      <c r="Z170" s="29"/>
      <c r="AD170" s="13"/>
      <c r="AE170" s="13"/>
      <c r="AF170" s="13"/>
      <c r="AG170" s="13"/>
      <c r="AH170" s="13"/>
      <c r="AI170" s="13"/>
    </row>
    <row r="171" spans="1:35" s="41" customFormat="1" ht="25" hidden="1" customHeight="1">
      <c r="A171" s="40"/>
      <c r="B171" s="652"/>
      <c r="C171" s="713"/>
      <c r="D171" s="713"/>
      <c r="E171" s="713"/>
      <c r="F171" s="713"/>
      <c r="G171" s="716"/>
      <c r="H171" s="685"/>
      <c r="I171" s="710"/>
      <c r="J171" s="183"/>
      <c r="K171" s="38">
        <f>+$K$14</f>
        <v>0</v>
      </c>
      <c r="L171" s="696"/>
      <c r="M171" s="678">
        <f>+$M$14</f>
        <v>0</v>
      </c>
      <c r="N171" s="691"/>
      <c r="O171" s="691"/>
      <c r="P171" s="694"/>
      <c r="Q171" s="567"/>
      <c r="R171" s="567"/>
      <c r="S171" s="672"/>
      <c r="T171" s="675"/>
      <c r="U171" s="677"/>
      <c r="W171" s="29"/>
      <c r="X171" s="29"/>
      <c r="Y171" s="29"/>
      <c r="Z171" s="29"/>
      <c r="AD171" s="13"/>
      <c r="AE171" s="13"/>
      <c r="AF171" s="13"/>
      <c r="AG171" s="13"/>
      <c r="AH171" s="13"/>
      <c r="AI171" s="13"/>
    </row>
    <row r="172" spans="1:35" s="41" customFormat="1" ht="25" hidden="1" customHeight="1">
      <c r="A172" s="40"/>
      <c r="B172" s="653"/>
      <c r="C172" s="714"/>
      <c r="D172" s="714"/>
      <c r="E172" s="714"/>
      <c r="F172" s="714"/>
      <c r="G172" s="717"/>
      <c r="H172" s="686"/>
      <c r="I172" s="711"/>
      <c r="J172" s="183"/>
      <c r="K172" s="38">
        <f>+$K$15</f>
        <v>0</v>
      </c>
      <c r="L172" s="697"/>
      <c r="M172" s="680"/>
      <c r="N172" s="692"/>
      <c r="O172" s="692"/>
      <c r="P172" s="695"/>
      <c r="Q172" s="545"/>
      <c r="R172" s="545"/>
      <c r="S172" s="673"/>
      <c r="T172" s="675"/>
      <c r="U172" s="677"/>
      <c r="W172" s="29"/>
      <c r="X172" s="29"/>
      <c r="Y172" s="29"/>
      <c r="Z172" s="29"/>
      <c r="AD172" s="13"/>
      <c r="AE172" s="13"/>
      <c r="AF172" s="13"/>
      <c r="AG172" s="13"/>
      <c r="AH172" s="13"/>
      <c r="AI172" s="13"/>
    </row>
    <row r="173" spans="1:35" s="41" customFormat="1" ht="25" hidden="1" customHeight="1">
      <c r="A173" s="40"/>
      <c r="B173" s="651">
        <v>3</v>
      </c>
      <c r="C173" s="654"/>
      <c r="D173" s="654"/>
      <c r="E173" s="654"/>
      <c r="F173" s="654"/>
      <c r="G173" s="681"/>
      <c r="H173" s="684"/>
      <c r="I173" s="687"/>
      <c r="J173" s="183"/>
      <c r="K173" s="38">
        <f>+$K$13</f>
        <v>0</v>
      </c>
      <c r="L173" s="183"/>
      <c r="M173" s="38">
        <f>+$M$13</f>
        <v>0</v>
      </c>
      <c r="N173" s="690"/>
      <c r="O173" s="690"/>
      <c r="P173" s="693"/>
      <c r="Q173" s="544"/>
      <c r="R173" s="544"/>
      <c r="S173" s="671">
        <f>IF(COUNTIF(J173:K175,"CUMPLE")&gt;=1,(G173*I173),0)* (IF(N173="PRESENTÓ CERTIFICADO",1,0))* (IF(O173="ACORDE A ITEM 5.2.2 (T.R.)",1,0) )* ( IF(OR(Q173="SIN OBSERVACIÓN", Q173="REQUERIMIENTOS SUBSANADOS"),1,0)) *(IF(OR(R173="NINGUNO", R173="CUMPLEN CON LO SOLICITADO"),1,0))</f>
        <v>0</v>
      </c>
      <c r="T173" s="675"/>
      <c r="U173" s="677">
        <f t="shared" ref="U173" si="47">IF(COUNTIF(J173:K175,"CUMPLE")&gt;=1,1,0)</f>
        <v>0</v>
      </c>
      <c r="W173" s="29"/>
      <c r="X173" s="29"/>
      <c r="Y173" s="29"/>
      <c r="Z173" s="29"/>
      <c r="AA173" s="28"/>
      <c r="AB173" s="28"/>
      <c r="AC173" s="28"/>
      <c r="AD173" s="13"/>
      <c r="AE173" s="13"/>
      <c r="AF173" s="13"/>
      <c r="AG173" s="13"/>
      <c r="AH173" s="13"/>
      <c r="AI173" s="13"/>
    </row>
    <row r="174" spans="1:35" s="41" customFormat="1" ht="25" hidden="1" customHeight="1">
      <c r="A174" s="40"/>
      <c r="B174" s="652"/>
      <c r="C174" s="655"/>
      <c r="D174" s="655"/>
      <c r="E174" s="655"/>
      <c r="F174" s="655"/>
      <c r="G174" s="682"/>
      <c r="H174" s="685"/>
      <c r="I174" s="688"/>
      <c r="J174" s="183"/>
      <c r="K174" s="38">
        <f>+$K$14</f>
        <v>0</v>
      </c>
      <c r="L174" s="696"/>
      <c r="M174" s="678">
        <f>+$M$14</f>
        <v>0</v>
      </c>
      <c r="N174" s="691"/>
      <c r="O174" s="691"/>
      <c r="P174" s="694"/>
      <c r="Q174" s="567"/>
      <c r="R174" s="567"/>
      <c r="S174" s="672"/>
      <c r="T174" s="675"/>
      <c r="U174" s="677"/>
      <c r="W174" s="29"/>
      <c r="X174" s="29"/>
      <c r="Y174" s="29"/>
      <c r="Z174" s="29"/>
      <c r="AH174" s="13"/>
      <c r="AI174" s="13"/>
    </row>
    <row r="175" spans="1:35" s="41" customFormat="1" ht="25" hidden="1" customHeight="1">
      <c r="A175" s="40"/>
      <c r="B175" s="653"/>
      <c r="C175" s="656"/>
      <c r="D175" s="656"/>
      <c r="E175" s="656"/>
      <c r="F175" s="656"/>
      <c r="G175" s="683"/>
      <c r="H175" s="686"/>
      <c r="I175" s="689"/>
      <c r="J175" s="183"/>
      <c r="K175" s="38">
        <f>+$K$15</f>
        <v>0</v>
      </c>
      <c r="L175" s="697"/>
      <c r="M175" s="680"/>
      <c r="N175" s="692"/>
      <c r="O175" s="692"/>
      <c r="P175" s="695"/>
      <c r="Q175" s="545"/>
      <c r="R175" s="545"/>
      <c r="S175" s="673"/>
      <c r="T175" s="675"/>
      <c r="U175" s="677"/>
      <c r="W175" s="29"/>
      <c r="X175" s="29"/>
      <c r="Y175" s="29"/>
      <c r="Z175" s="29"/>
    </row>
    <row r="176" spans="1:35" s="41" customFormat="1" ht="25" hidden="1" customHeight="1">
      <c r="A176" s="40"/>
      <c r="B176" s="651">
        <v>4</v>
      </c>
      <c r="C176" s="712"/>
      <c r="D176" s="712"/>
      <c r="E176" s="712"/>
      <c r="F176" s="712"/>
      <c r="G176" s="715"/>
      <c r="H176" s="684"/>
      <c r="I176" s="709"/>
      <c r="J176" s="183"/>
      <c r="K176" s="38">
        <f>+$K$13</f>
        <v>0</v>
      </c>
      <c r="L176" s="183"/>
      <c r="M176" s="38">
        <f>+$M$13</f>
        <v>0</v>
      </c>
      <c r="N176" s="690"/>
      <c r="O176" s="690"/>
      <c r="P176" s="693"/>
      <c r="Q176" s="544"/>
      <c r="R176" s="544"/>
      <c r="S176" s="671">
        <f>IF(COUNTIF(J176:K178,"CUMPLE")&gt;=1,(G176*I176),0)* (IF(N176="PRESENTÓ CERTIFICADO",1,0))* (IF(O176="ACORDE A ITEM 5.2.2 (T.R.)",1,0) )* ( IF(OR(Q176="SIN OBSERVACIÓN", Q176="REQUERIMIENTOS SUBSANADOS"),1,0)) *(IF(OR(R176="NINGUNO", R176="CUMPLEN CON LO SOLICITADO"),1,0))</f>
        <v>0</v>
      </c>
      <c r="T176" s="675"/>
      <c r="U176" s="677">
        <f t="shared" ref="U176" si="48">IF(COUNTIF(J176:K178,"CUMPLE")&gt;=1,1,0)</f>
        <v>0</v>
      </c>
      <c r="W176" s="29"/>
      <c r="X176" s="29"/>
      <c r="Y176" s="29"/>
      <c r="Z176" s="29"/>
      <c r="AA176" s="13"/>
      <c r="AB176" s="13"/>
      <c r="AC176" s="13"/>
      <c r="AD176" s="13"/>
      <c r="AE176" s="13"/>
      <c r="AF176" s="13"/>
      <c r="AG176" s="13"/>
    </row>
    <row r="177" spans="1:35" s="41" customFormat="1" ht="25" hidden="1" customHeight="1">
      <c r="A177" s="40"/>
      <c r="B177" s="652"/>
      <c r="C177" s="713"/>
      <c r="D177" s="713"/>
      <c r="E177" s="713"/>
      <c r="F177" s="713"/>
      <c r="G177" s="716"/>
      <c r="H177" s="685"/>
      <c r="I177" s="710"/>
      <c r="J177" s="183"/>
      <c r="K177" s="38">
        <f>+$K$14</f>
        <v>0</v>
      </c>
      <c r="L177" s="696"/>
      <c r="M177" s="678">
        <f>+$M$14</f>
        <v>0</v>
      </c>
      <c r="N177" s="691"/>
      <c r="O177" s="691"/>
      <c r="P177" s="694"/>
      <c r="Q177" s="567"/>
      <c r="R177" s="567"/>
      <c r="S177" s="672"/>
      <c r="T177" s="675"/>
      <c r="U177" s="677"/>
      <c r="W177" s="29"/>
      <c r="X177" s="29"/>
      <c r="Y177" s="29"/>
      <c r="Z177" s="29"/>
      <c r="AA177" s="13"/>
      <c r="AB177" s="13"/>
      <c r="AC177" s="13"/>
      <c r="AD177" s="13"/>
      <c r="AE177" s="13"/>
      <c r="AF177" s="13"/>
      <c r="AG177" s="13"/>
    </row>
    <row r="178" spans="1:35" s="41" customFormat="1" ht="25" hidden="1" customHeight="1">
      <c r="A178" s="40"/>
      <c r="B178" s="653"/>
      <c r="C178" s="714"/>
      <c r="D178" s="714"/>
      <c r="E178" s="714"/>
      <c r="F178" s="714"/>
      <c r="G178" s="717"/>
      <c r="H178" s="686"/>
      <c r="I178" s="711"/>
      <c r="J178" s="183"/>
      <c r="K178" s="38">
        <f>+$K$15</f>
        <v>0</v>
      </c>
      <c r="L178" s="697"/>
      <c r="M178" s="680"/>
      <c r="N178" s="692"/>
      <c r="O178" s="692"/>
      <c r="P178" s="695"/>
      <c r="Q178" s="545"/>
      <c r="R178" s="545"/>
      <c r="S178" s="673"/>
      <c r="T178" s="675"/>
      <c r="U178" s="677"/>
      <c r="W178" s="29"/>
      <c r="X178" s="29"/>
      <c r="Y178" s="29"/>
      <c r="Z178" s="29"/>
      <c r="AA178" s="29"/>
      <c r="AB178" s="29"/>
      <c r="AC178" s="29"/>
      <c r="AD178" s="42"/>
      <c r="AE178" s="42"/>
      <c r="AF178" s="42"/>
      <c r="AG178" s="42"/>
    </row>
    <row r="179" spans="1:35" s="41" customFormat="1" ht="25" hidden="1" customHeight="1">
      <c r="A179" s="40"/>
      <c r="B179" s="651">
        <v>5</v>
      </c>
      <c r="C179" s="654"/>
      <c r="D179" s="654"/>
      <c r="E179" s="654"/>
      <c r="F179" s="654"/>
      <c r="G179" s="681"/>
      <c r="H179" s="684"/>
      <c r="I179" s="687"/>
      <c r="J179" s="183"/>
      <c r="K179" s="38">
        <f>+$K$13</f>
        <v>0</v>
      </c>
      <c r="L179" s="183"/>
      <c r="M179" s="38">
        <f>+$M$13</f>
        <v>0</v>
      </c>
      <c r="N179" s="690"/>
      <c r="O179" s="690"/>
      <c r="P179" s="693"/>
      <c r="Q179" s="544"/>
      <c r="R179" s="544"/>
      <c r="S179" s="671">
        <f>IF(COUNTIF(J179:K181,"CUMPLE")&gt;=1,(G179*I179),0)* (IF(N179="PRESENTÓ CERTIFICADO",1,0))* (IF(O179="ACORDE A ITEM 5.2.2 (T.R.)",1,0) )* ( IF(OR(Q179="SIN OBSERVACIÓN", Q179="REQUERIMIENTOS SUBSANADOS"),1,0)) *(IF(OR(R179="NINGUNO", R179="CUMPLEN CON LO SOLICITADO"),1,0))</f>
        <v>0</v>
      </c>
      <c r="T179" s="675"/>
      <c r="U179" s="677">
        <f t="shared" ref="U179" si="49">IF(COUNTIF(J179:K181,"CUMPLE")&gt;=1,1,0)</f>
        <v>0</v>
      </c>
      <c r="W179" s="29"/>
      <c r="X179" s="29"/>
      <c r="Y179" s="29"/>
      <c r="Z179" s="29"/>
      <c r="AA179" s="29"/>
      <c r="AB179" s="29"/>
      <c r="AC179" s="29"/>
      <c r="AD179" s="42"/>
      <c r="AE179" s="42"/>
      <c r="AF179" s="42"/>
      <c r="AG179" s="42"/>
    </row>
    <row r="180" spans="1:35" s="41" customFormat="1" ht="25" hidden="1" customHeight="1">
      <c r="A180" s="40"/>
      <c r="B180" s="652"/>
      <c r="C180" s="655"/>
      <c r="D180" s="655"/>
      <c r="E180" s="655"/>
      <c r="F180" s="655"/>
      <c r="G180" s="682"/>
      <c r="H180" s="685"/>
      <c r="I180" s="688"/>
      <c r="J180" s="183"/>
      <c r="K180" s="38">
        <f>+$K$14</f>
        <v>0</v>
      </c>
      <c r="L180" s="696"/>
      <c r="M180" s="678">
        <f>+$M$14</f>
        <v>0</v>
      </c>
      <c r="N180" s="691"/>
      <c r="O180" s="691"/>
      <c r="P180" s="694"/>
      <c r="Q180" s="567"/>
      <c r="R180" s="567"/>
      <c r="S180" s="672"/>
      <c r="T180" s="675"/>
      <c r="U180" s="677"/>
      <c r="W180" s="29"/>
      <c r="X180" s="29"/>
      <c r="Y180" s="29"/>
      <c r="Z180" s="29"/>
      <c r="AA180" s="29"/>
      <c r="AB180" s="29"/>
      <c r="AC180" s="29"/>
    </row>
    <row r="181" spans="1:35" s="41" customFormat="1" ht="25" hidden="1" customHeight="1">
      <c r="A181" s="40"/>
      <c r="B181" s="653"/>
      <c r="C181" s="656"/>
      <c r="D181" s="656"/>
      <c r="E181" s="656"/>
      <c r="F181" s="656"/>
      <c r="G181" s="683"/>
      <c r="H181" s="686"/>
      <c r="I181" s="689"/>
      <c r="J181" s="183"/>
      <c r="K181" s="38">
        <f>+$K$15</f>
        <v>0</v>
      </c>
      <c r="L181" s="697"/>
      <c r="M181" s="680"/>
      <c r="N181" s="692"/>
      <c r="O181" s="692"/>
      <c r="P181" s="695"/>
      <c r="Q181" s="545"/>
      <c r="R181" s="545"/>
      <c r="S181" s="673"/>
      <c r="T181" s="676"/>
      <c r="U181" s="677"/>
      <c r="W181" s="29"/>
      <c r="X181" s="29"/>
      <c r="Y181" s="29"/>
      <c r="Z181" s="29"/>
      <c r="AA181" s="29"/>
      <c r="AB181" s="29"/>
      <c r="AC181" s="29"/>
    </row>
    <row r="182" spans="1:35" s="28" customFormat="1" ht="25" hidden="1" customHeight="1">
      <c r="B182" s="698" t="str">
        <f>IF(S183=" "," ",IF(S183&gt;=$H$6,"CUMPLE CON LA EXPERIENCIA REQUERIDA","NO CUMPLE CON LA EXPERIENCIA REQUERIDA"))</f>
        <v>NO CUMPLE CON LA EXPERIENCIA REQUERIDA</v>
      </c>
      <c r="C182" s="699"/>
      <c r="D182" s="699"/>
      <c r="E182" s="699"/>
      <c r="F182" s="699"/>
      <c r="G182" s="699"/>
      <c r="H182" s="699"/>
      <c r="I182" s="699"/>
      <c r="J182" s="699"/>
      <c r="K182" s="699"/>
      <c r="L182" s="699"/>
      <c r="M182" s="699"/>
      <c r="N182" s="699"/>
      <c r="O182" s="700"/>
      <c r="P182" s="704" t="s">
        <v>46</v>
      </c>
      <c r="Q182" s="705"/>
      <c r="R182" s="706"/>
      <c r="S182" s="44">
        <f>IF(T167="SI",SUM(S167:S181),0)</f>
        <v>0</v>
      </c>
      <c r="T182" s="707" t="str">
        <f>IF(S183=" "," ",IF(S183&gt;=$H$6,"CUMPLE","NO CUMPLE"))</f>
        <v>NO CUMPLE</v>
      </c>
      <c r="W182" s="29"/>
      <c r="X182" s="29"/>
      <c r="Y182" s="29"/>
      <c r="Z182" s="29"/>
      <c r="AA182" s="29"/>
      <c r="AB182" s="29"/>
      <c r="AC182" s="29"/>
      <c r="AD182" s="41"/>
      <c r="AE182" s="41"/>
      <c r="AF182" s="41"/>
      <c r="AG182" s="41"/>
      <c r="AH182" s="41"/>
    </row>
    <row r="183" spans="1:35" s="41" customFormat="1" ht="25" hidden="1" customHeight="1">
      <c r="B183" s="701"/>
      <c r="C183" s="702"/>
      <c r="D183" s="702"/>
      <c r="E183" s="702"/>
      <c r="F183" s="702"/>
      <c r="G183" s="702"/>
      <c r="H183" s="702"/>
      <c r="I183" s="702"/>
      <c r="J183" s="702"/>
      <c r="K183" s="702"/>
      <c r="L183" s="702"/>
      <c r="M183" s="702"/>
      <c r="N183" s="702"/>
      <c r="O183" s="703"/>
      <c r="P183" s="704" t="s">
        <v>47</v>
      </c>
      <c r="Q183" s="705"/>
      <c r="R183" s="706"/>
      <c r="S183" s="44">
        <f>IFERROR((S182/$P$6)," ")</f>
        <v>0</v>
      </c>
      <c r="T183" s="708"/>
      <c r="W183" s="29"/>
      <c r="X183" s="29"/>
      <c r="Y183" s="29"/>
      <c r="Z183" s="29"/>
      <c r="AA183" s="29"/>
      <c r="AB183" s="29"/>
      <c r="AC183" s="29"/>
    </row>
    <row r="184" spans="1:35" ht="30" hidden="1" customHeight="1">
      <c r="AA184" s="29"/>
      <c r="AB184" s="29"/>
      <c r="AC184" s="29"/>
      <c r="AD184" s="41"/>
      <c r="AE184" s="41"/>
      <c r="AF184" s="41"/>
      <c r="AG184" s="41"/>
      <c r="AH184" s="28"/>
    </row>
    <row r="185" spans="1:35" ht="30" hidden="1" customHeight="1">
      <c r="AA185" s="29"/>
      <c r="AB185" s="29"/>
      <c r="AC185" s="29"/>
      <c r="AD185" s="41"/>
      <c r="AE185" s="41"/>
      <c r="AF185" s="41"/>
      <c r="AG185" s="41"/>
      <c r="AH185" s="41"/>
    </row>
    <row r="186" spans="1:35" ht="73.5" hidden="1" customHeight="1">
      <c r="B186" s="26">
        <v>9</v>
      </c>
      <c r="C186" s="660" t="s">
        <v>25</v>
      </c>
      <c r="D186" s="661"/>
      <c r="E186" s="662"/>
      <c r="F186" s="663">
        <f>IFERROR(VLOOKUP(B186,LISTA_OFERENTES,2,FALSE)," ")</f>
        <v>0</v>
      </c>
      <c r="G186" s="664"/>
      <c r="H186" s="664"/>
      <c r="I186" s="664"/>
      <c r="J186" s="664"/>
      <c r="K186" s="664"/>
      <c r="L186" s="664"/>
      <c r="M186" s="664"/>
      <c r="N186" s="664"/>
      <c r="O186" s="665"/>
      <c r="P186" s="666" t="s">
        <v>26</v>
      </c>
      <c r="Q186" s="667"/>
      <c r="R186" s="668"/>
      <c r="S186" s="27">
        <f>5-(INT(COUNTBLANK(C189:C203))-10)</f>
        <v>1</v>
      </c>
      <c r="T186" s="28"/>
      <c r="AA186" s="29"/>
      <c r="AB186" s="29"/>
      <c r="AC186" s="29"/>
      <c r="AD186" s="41"/>
      <c r="AE186" s="41"/>
      <c r="AF186" s="41"/>
      <c r="AG186" s="41"/>
    </row>
    <row r="187" spans="1:35" s="42" customFormat="1" ht="30" hidden="1" customHeight="1">
      <c r="B187" s="669" t="s">
        <v>27</v>
      </c>
      <c r="C187" s="643" t="s">
        <v>28</v>
      </c>
      <c r="D187" s="643" t="s">
        <v>29</v>
      </c>
      <c r="E187" s="643" t="s">
        <v>30</v>
      </c>
      <c r="F187" s="643" t="s">
        <v>31</v>
      </c>
      <c r="G187" s="643" t="s">
        <v>32</v>
      </c>
      <c r="H187" s="643" t="s">
        <v>33</v>
      </c>
      <c r="I187" s="643" t="s">
        <v>34</v>
      </c>
      <c r="J187" s="657" t="s">
        <v>35</v>
      </c>
      <c r="K187" s="658"/>
      <c r="L187" s="658"/>
      <c r="M187" s="659"/>
      <c r="N187" s="643" t="s">
        <v>36</v>
      </c>
      <c r="O187" s="643" t="s">
        <v>37</v>
      </c>
      <c r="P187" s="657" t="s">
        <v>38</v>
      </c>
      <c r="Q187" s="659"/>
      <c r="R187" s="643" t="s">
        <v>39</v>
      </c>
      <c r="S187" s="643" t="s">
        <v>40</v>
      </c>
      <c r="T187" s="643" t="str">
        <f>+$T$11</f>
        <v>Cumple con el requerimiento del numeral 6.2.2.2.1</v>
      </c>
      <c r="U187" s="643" t="str">
        <f>+$U$11</f>
        <v xml:space="preserve">VERIFICACIÓN CONDICIÓN DE EXPERIENCIA  </v>
      </c>
      <c r="V187" s="45"/>
      <c r="W187" s="29"/>
      <c r="X187" s="29"/>
      <c r="Y187" s="29"/>
      <c r="Z187" s="29"/>
      <c r="AA187" s="29"/>
      <c r="AB187" s="29"/>
      <c r="AC187" s="29"/>
      <c r="AD187" s="41"/>
      <c r="AE187" s="41"/>
      <c r="AF187" s="41"/>
      <c r="AG187" s="41"/>
      <c r="AH187" s="13"/>
    </row>
    <row r="188" spans="1:35" s="42" customFormat="1" ht="118.5" hidden="1" customHeight="1">
      <c r="B188" s="670"/>
      <c r="C188" s="644"/>
      <c r="D188" s="644"/>
      <c r="E188" s="644"/>
      <c r="F188" s="644"/>
      <c r="G188" s="644"/>
      <c r="H188" s="644"/>
      <c r="I188" s="644"/>
      <c r="J188" s="648" t="s">
        <v>43</v>
      </c>
      <c r="K188" s="649"/>
      <c r="L188" s="649"/>
      <c r="M188" s="650"/>
      <c r="N188" s="644"/>
      <c r="O188" s="644"/>
      <c r="P188" s="33" t="s">
        <v>10</v>
      </c>
      <c r="Q188" s="33" t="s">
        <v>44</v>
      </c>
      <c r="R188" s="644"/>
      <c r="S188" s="644"/>
      <c r="T188" s="644"/>
      <c r="U188" s="644"/>
      <c r="V188" s="45"/>
      <c r="W188" s="29"/>
      <c r="X188" s="29"/>
      <c r="Y188" s="29"/>
      <c r="Z188" s="29"/>
      <c r="AA188" s="29"/>
      <c r="AB188" s="29"/>
      <c r="AC188" s="29"/>
      <c r="AD188" s="41"/>
      <c r="AE188" s="41"/>
      <c r="AF188" s="41"/>
      <c r="AG188" s="41"/>
      <c r="AH188" s="13"/>
    </row>
    <row r="189" spans="1:35" s="41" customFormat="1" ht="25" hidden="1" customHeight="1">
      <c r="A189" s="40"/>
      <c r="B189" s="651">
        <v>1</v>
      </c>
      <c r="C189" s="654">
        <v>41</v>
      </c>
      <c r="D189" s="654">
        <v>115</v>
      </c>
      <c r="E189" s="654" t="s">
        <v>156</v>
      </c>
      <c r="F189" s="654" t="s">
        <v>157</v>
      </c>
      <c r="G189" s="681">
        <v>6155.56</v>
      </c>
      <c r="H189" s="684" t="s">
        <v>150</v>
      </c>
      <c r="I189" s="687">
        <v>0.5</v>
      </c>
      <c r="J189" s="183" t="s">
        <v>147</v>
      </c>
      <c r="K189" s="38">
        <f>+$K$13</f>
        <v>0</v>
      </c>
      <c r="L189" s="183"/>
      <c r="M189" s="38">
        <f>+$M$13</f>
        <v>0</v>
      </c>
      <c r="N189" s="690" t="s">
        <v>151</v>
      </c>
      <c r="O189" s="690" t="s">
        <v>152</v>
      </c>
      <c r="P189" s="693"/>
      <c r="Q189" s="544" t="s">
        <v>153</v>
      </c>
      <c r="R189" s="544" t="s">
        <v>154</v>
      </c>
      <c r="S189" s="671">
        <f>IF(COUNTIF(J189:K191,"CUMPLE")&gt;=1,(G189*I189),0)* (IF(N189="PRESENTÓ CERTIFICADO",1,0))* (IF(O189="ACORDE A ITEM 5.2.2 (T.R.)",1,0) )* ( IF(OR(Q189="SIN OBSERVACIÓN", Q189="REQUERIMIENTOS SUBSANADOS"),1,0)) *(IF(OR(R189="NINGUNO", R189="CUMPLEN CON LO SOLICITADO"),1,0))</f>
        <v>3077.78</v>
      </c>
      <c r="T189" s="674" t="s">
        <v>155</v>
      </c>
      <c r="U189" s="677">
        <f>IF(COUNTIF(J189:K191,"CUMPLE")&gt;=1,1,0)</f>
        <v>1</v>
      </c>
      <c r="W189" s="29"/>
      <c r="X189" s="29"/>
      <c r="Y189" s="29"/>
      <c r="Z189" s="29"/>
      <c r="AD189" s="13"/>
      <c r="AE189" s="13"/>
      <c r="AF189" s="13"/>
      <c r="AG189" s="13"/>
      <c r="AH189" s="13"/>
      <c r="AI189" s="13"/>
    </row>
    <row r="190" spans="1:35" s="41" customFormat="1" ht="25" hidden="1" customHeight="1">
      <c r="A190" s="40"/>
      <c r="B190" s="652"/>
      <c r="C190" s="655"/>
      <c r="D190" s="655"/>
      <c r="E190" s="655"/>
      <c r="F190" s="655"/>
      <c r="G190" s="682"/>
      <c r="H190" s="685"/>
      <c r="I190" s="688"/>
      <c r="J190" s="183" t="s">
        <v>147</v>
      </c>
      <c r="K190" s="38">
        <f>+$K$14</f>
        <v>0</v>
      </c>
      <c r="L190" s="696"/>
      <c r="M190" s="678">
        <f>+$M$14</f>
        <v>0</v>
      </c>
      <c r="N190" s="691"/>
      <c r="O190" s="691"/>
      <c r="P190" s="694"/>
      <c r="Q190" s="567"/>
      <c r="R190" s="567"/>
      <c r="S190" s="672"/>
      <c r="T190" s="675"/>
      <c r="U190" s="677"/>
      <c r="W190" s="29"/>
      <c r="X190" s="29"/>
      <c r="Y190" s="29"/>
      <c r="Z190" s="29"/>
      <c r="AD190" s="13"/>
      <c r="AE190" s="13"/>
      <c r="AF190" s="13"/>
      <c r="AG190" s="13"/>
      <c r="AH190" s="13"/>
      <c r="AI190" s="13"/>
    </row>
    <row r="191" spans="1:35" s="41" customFormat="1" ht="25" hidden="1" customHeight="1">
      <c r="A191" s="40"/>
      <c r="B191" s="653"/>
      <c r="C191" s="656"/>
      <c r="D191" s="656"/>
      <c r="E191" s="656"/>
      <c r="F191" s="656"/>
      <c r="G191" s="683"/>
      <c r="H191" s="686"/>
      <c r="I191" s="689"/>
      <c r="J191" s="183" t="s">
        <v>147</v>
      </c>
      <c r="K191" s="38">
        <f>+$K$15</f>
        <v>0</v>
      </c>
      <c r="L191" s="697"/>
      <c r="M191" s="680"/>
      <c r="N191" s="692"/>
      <c r="O191" s="692"/>
      <c r="P191" s="695"/>
      <c r="Q191" s="545"/>
      <c r="R191" s="545"/>
      <c r="S191" s="673"/>
      <c r="T191" s="675"/>
      <c r="U191" s="677"/>
      <c r="W191" s="29"/>
      <c r="X191" s="29"/>
      <c r="Y191" s="29"/>
      <c r="Z191" s="29"/>
      <c r="AD191" s="13"/>
      <c r="AE191" s="13"/>
      <c r="AF191" s="13"/>
      <c r="AG191" s="13"/>
      <c r="AH191" s="13"/>
      <c r="AI191" s="13"/>
    </row>
    <row r="192" spans="1:35" s="41" customFormat="1" ht="25" hidden="1" customHeight="1">
      <c r="A192" s="40"/>
      <c r="B192" s="651">
        <v>2</v>
      </c>
      <c r="C192" s="712"/>
      <c r="D192" s="712"/>
      <c r="E192" s="712"/>
      <c r="F192" s="712"/>
      <c r="G192" s="715"/>
      <c r="H192" s="684"/>
      <c r="I192" s="709"/>
      <c r="J192" s="183"/>
      <c r="K192" s="38">
        <f>+$K$13</f>
        <v>0</v>
      </c>
      <c r="L192" s="183"/>
      <c r="M192" s="38">
        <f>+$M$13</f>
        <v>0</v>
      </c>
      <c r="N192" s="690"/>
      <c r="O192" s="690"/>
      <c r="P192" s="693"/>
      <c r="Q192" s="544"/>
      <c r="R192" s="544"/>
      <c r="S192" s="671">
        <f>IF(COUNTIF(J192:K194,"CUMPLE")&gt;=1,(G192*I192),0)* (IF(N192="PRESENTÓ CERTIFICADO",1,0))* (IF(O192="ACORDE A ITEM 5.2.2 (T.R.)",1,0) )* ( IF(OR(Q192="SIN OBSERVACIÓN", Q192="REQUERIMIENTOS SUBSANADOS"),1,0)) *(IF(OR(R192="NINGUNO", R192="CUMPLEN CON LO SOLICITADO"),1,0))</f>
        <v>0</v>
      </c>
      <c r="T192" s="675"/>
      <c r="U192" s="677">
        <f>IF(COUNTIF(L192:M194,"CUMPLE")&gt;=1,1,0)</f>
        <v>0</v>
      </c>
      <c r="W192" s="29"/>
      <c r="X192" s="29"/>
      <c r="Y192" s="29"/>
      <c r="Z192" s="29"/>
      <c r="AD192" s="13"/>
      <c r="AE192" s="13"/>
      <c r="AF192" s="13"/>
      <c r="AG192" s="13"/>
      <c r="AH192" s="13"/>
      <c r="AI192" s="13"/>
    </row>
    <row r="193" spans="1:35" s="41" customFormat="1" ht="25" hidden="1" customHeight="1">
      <c r="A193" s="40"/>
      <c r="B193" s="652"/>
      <c r="C193" s="713"/>
      <c r="D193" s="713"/>
      <c r="E193" s="713"/>
      <c r="F193" s="713"/>
      <c r="G193" s="716"/>
      <c r="H193" s="685"/>
      <c r="I193" s="710"/>
      <c r="J193" s="183"/>
      <c r="K193" s="38">
        <f>+$K$14</f>
        <v>0</v>
      </c>
      <c r="L193" s="696"/>
      <c r="M193" s="678">
        <f>+$M$14</f>
        <v>0</v>
      </c>
      <c r="N193" s="691"/>
      <c r="O193" s="691"/>
      <c r="P193" s="694"/>
      <c r="Q193" s="567"/>
      <c r="R193" s="567"/>
      <c r="S193" s="672"/>
      <c r="T193" s="675"/>
      <c r="U193" s="677"/>
      <c r="W193" s="29"/>
      <c r="X193" s="29"/>
      <c r="Y193" s="29"/>
      <c r="Z193" s="29"/>
      <c r="AD193" s="13"/>
      <c r="AE193" s="13"/>
      <c r="AF193" s="13"/>
      <c r="AG193" s="13"/>
      <c r="AH193" s="13"/>
      <c r="AI193" s="13"/>
    </row>
    <row r="194" spans="1:35" s="41" customFormat="1" ht="25" hidden="1" customHeight="1">
      <c r="A194" s="40"/>
      <c r="B194" s="653"/>
      <c r="C194" s="714"/>
      <c r="D194" s="714"/>
      <c r="E194" s="714"/>
      <c r="F194" s="714"/>
      <c r="G194" s="717"/>
      <c r="H194" s="686"/>
      <c r="I194" s="711"/>
      <c r="J194" s="183"/>
      <c r="K194" s="38">
        <f>+$K$15</f>
        <v>0</v>
      </c>
      <c r="L194" s="697"/>
      <c r="M194" s="680"/>
      <c r="N194" s="692"/>
      <c r="O194" s="692"/>
      <c r="P194" s="695"/>
      <c r="Q194" s="545"/>
      <c r="R194" s="545"/>
      <c r="S194" s="673"/>
      <c r="T194" s="675"/>
      <c r="U194" s="677"/>
      <c r="W194" s="29"/>
      <c r="X194" s="29"/>
      <c r="Y194" s="29"/>
      <c r="Z194" s="29"/>
      <c r="AD194" s="13"/>
      <c r="AE194" s="13"/>
      <c r="AF194" s="13"/>
      <c r="AG194" s="13"/>
      <c r="AH194" s="13"/>
      <c r="AI194" s="13"/>
    </row>
    <row r="195" spans="1:35" s="41" customFormat="1" ht="25" hidden="1" customHeight="1">
      <c r="A195" s="40"/>
      <c r="B195" s="651">
        <v>3</v>
      </c>
      <c r="C195" s="654"/>
      <c r="D195" s="654"/>
      <c r="E195" s="654"/>
      <c r="F195" s="654"/>
      <c r="G195" s="681"/>
      <c r="H195" s="684"/>
      <c r="I195" s="687"/>
      <c r="J195" s="183"/>
      <c r="K195" s="38">
        <f>+$K$13</f>
        <v>0</v>
      </c>
      <c r="L195" s="183"/>
      <c r="M195" s="38">
        <f>+$M$13</f>
        <v>0</v>
      </c>
      <c r="N195" s="690"/>
      <c r="O195" s="690"/>
      <c r="P195" s="693"/>
      <c r="Q195" s="544"/>
      <c r="R195" s="544"/>
      <c r="S195" s="671">
        <f>IF(COUNTIF(J195:K197,"CUMPLE")&gt;=1,(G195*I195),0)* (IF(N195="PRESENTÓ CERTIFICADO",1,0))* (IF(O195="ACORDE A ITEM 5.2.2 (T.R.)",1,0) )* ( IF(OR(Q195="SIN OBSERVACIÓN", Q195="REQUERIMIENTOS SUBSANADOS"),1,0)) *(IF(OR(R195="NINGUNO", R195="CUMPLEN CON LO SOLICITADO"),1,0))</f>
        <v>0</v>
      </c>
      <c r="T195" s="675"/>
      <c r="U195" s="677">
        <f>IF(COUNTIF(L195:M197,"CUMPLE")&gt;=1,1,0)</f>
        <v>0</v>
      </c>
      <c r="W195" s="29"/>
      <c r="X195" s="29"/>
      <c r="Y195" s="29"/>
      <c r="Z195" s="29"/>
      <c r="AA195" s="28"/>
      <c r="AB195" s="28"/>
      <c r="AC195" s="28"/>
      <c r="AD195" s="13"/>
      <c r="AE195" s="13"/>
      <c r="AF195" s="13"/>
      <c r="AG195" s="13"/>
      <c r="AH195" s="13"/>
      <c r="AI195" s="13"/>
    </row>
    <row r="196" spans="1:35" s="41" customFormat="1" ht="25" hidden="1" customHeight="1">
      <c r="A196" s="40"/>
      <c r="B196" s="652"/>
      <c r="C196" s="655"/>
      <c r="D196" s="655"/>
      <c r="E196" s="655"/>
      <c r="F196" s="655"/>
      <c r="G196" s="682"/>
      <c r="H196" s="685"/>
      <c r="I196" s="688"/>
      <c r="J196" s="183"/>
      <c r="K196" s="38">
        <f>+$K$14</f>
        <v>0</v>
      </c>
      <c r="L196" s="696"/>
      <c r="M196" s="678">
        <f>+$M$14</f>
        <v>0</v>
      </c>
      <c r="N196" s="691"/>
      <c r="O196" s="691"/>
      <c r="P196" s="694"/>
      <c r="Q196" s="567"/>
      <c r="R196" s="567"/>
      <c r="S196" s="672"/>
      <c r="T196" s="675"/>
      <c r="U196" s="677"/>
      <c r="W196" s="29"/>
      <c r="X196" s="29"/>
      <c r="Y196" s="29"/>
      <c r="Z196" s="29"/>
      <c r="AH196" s="13"/>
      <c r="AI196" s="13"/>
    </row>
    <row r="197" spans="1:35" s="41" customFormat="1" ht="25" hidden="1" customHeight="1">
      <c r="A197" s="40"/>
      <c r="B197" s="653"/>
      <c r="C197" s="656"/>
      <c r="D197" s="656"/>
      <c r="E197" s="656"/>
      <c r="F197" s="656"/>
      <c r="G197" s="683"/>
      <c r="H197" s="686"/>
      <c r="I197" s="689"/>
      <c r="J197" s="183"/>
      <c r="K197" s="38">
        <f>+$K$15</f>
        <v>0</v>
      </c>
      <c r="L197" s="697"/>
      <c r="M197" s="680"/>
      <c r="N197" s="692"/>
      <c r="O197" s="692"/>
      <c r="P197" s="695"/>
      <c r="Q197" s="545"/>
      <c r="R197" s="545"/>
      <c r="S197" s="673"/>
      <c r="T197" s="675"/>
      <c r="U197" s="677"/>
      <c r="W197" s="29"/>
      <c r="X197" s="29"/>
      <c r="Y197" s="29"/>
      <c r="Z197" s="29"/>
    </row>
    <row r="198" spans="1:35" s="41" customFormat="1" ht="25" hidden="1" customHeight="1">
      <c r="A198" s="40"/>
      <c r="B198" s="651">
        <v>4</v>
      </c>
      <c r="C198" s="712"/>
      <c r="D198" s="712"/>
      <c r="E198" s="712"/>
      <c r="F198" s="712"/>
      <c r="G198" s="715"/>
      <c r="H198" s="684"/>
      <c r="I198" s="709"/>
      <c r="J198" s="183"/>
      <c r="K198" s="38">
        <f>+$K$13</f>
        <v>0</v>
      </c>
      <c r="L198" s="183"/>
      <c r="M198" s="38">
        <f>+$M$13</f>
        <v>0</v>
      </c>
      <c r="N198" s="690"/>
      <c r="O198" s="690"/>
      <c r="P198" s="693"/>
      <c r="Q198" s="544"/>
      <c r="R198" s="544"/>
      <c r="S198" s="671">
        <f>IF(COUNTIF(J198:K200,"CUMPLE")&gt;=1,(G198*I198),0)* (IF(N198="PRESENTÓ CERTIFICADO",1,0))* (IF(O198="ACORDE A ITEM 5.2.2 (T.R.)",1,0) )* ( IF(OR(Q198="SIN OBSERVACIÓN", Q198="REQUERIMIENTOS SUBSANADOS"),1,0)) *(IF(OR(R198="NINGUNO", R198="CUMPLEN CON LO SOLICITADO"),1,0))</f>
        <v>0</v>
      </c>
      <c r="T198" s="675"/>
      <c r="U198" s="677">
        <f>IF(COUNTIF(L198:M200,"CUMPLE")&gt;=1,1,0)</f>
        <v>0</v>
      </c>
      <c r="W198" s="29"/>
      <c r="X198" s="29"/>
      <c r="Y198" s="29"/>
      <c r="Z198" s="29"/>
      <c r="AA198" s="13"/>
      <c r="AB198" s="13"/>
      <c r="AC198" s="13"/>
      <c r="AD198" s="13"/>
      <c r="AE198" s="13"/>
      <c r="AF198" s="13"/>
      <c r="AG198" s="13"/>
    </row>
    <row r="199" spans="1:35" s="41" customFormat="1" ht="25" hidden="1" customHeight="1">
      <c r="A199" s="40"/>
      <c r="B199" s="652"/>
      <c r="C199" s="713"/>
      <c r="D199" s="713"/>
      <c r="E199" s="713"/>
      <c r="F199" s="713"/>
      <c r="G199" s="716"/>
      <c r="H199" s="685"/>
      <c r="I199" s="710"/>
      <c r="J199" s="183"/>
      <c r="K199" s="38">
        <f>+$K$14</f>
        <v>0</v>
      </c>
      <c r="L199" s="696"/>
      <c r="M199" s="678">
        <f>+$M$14</f>
        <v>0</v>
      </c>
      <c r="N199" s="691"/>
      <c r="O199" s="691"/>
      <c r="P199" s="694"/>
      <c r="Q199" s="567"/>
      <c r="R199" s="567"/>
      <c r="S199" s="672"/>
      <c r="T199" s="675"/>
      <c r="U199" s="677"/>
      <c r="W199" s="29"/>
      <c r="X199" s="29"/>
      <c r="Y199" s="29"/>
      <c r="Z199" s="29"/>
      <c r="AA199" s="13"/>
      <c r="AB199" s="13"/>
      <c r="AC199" s="13"/>
      <c r="AD199" s="13"/>
      <c r="AE199" s="13"/>
      <c r="AF199" s="13"/>
      <c r="AG199" s="13"/>
    </row>
    <row r="200" spans="1:35" s="41" customFormat="1" ht="25" hidden="1" customHeight="1">
      <c r="A200" s="40"/>
      <c r="B200" s="653"/>
      <c r="C200" s="714"/>
      <c r="D200" s="714"/>
      <c r="E200" s="714"/>
      <c r="F200" s="714"/>
      <c r="G200" s="717"/>
      <c r="H200" s="686"/>
      <c r="I200" s="711"/>
      <c r="J200" s="183"/>
      <c r="K200" s="38">
        <f>+$K$15</f>
        <v>0</v>
      </c>
      <c r="L200" s="697"/>
      <c r="M200" s="680"/>
      <c r="N200" s="692"/>
      <c r="O200" s="692"/>
      <c r="P200" s="695"/>
      <c r="Q200" s="545"/>
      <c r="R200" s="545"/>
      <c r="S200" s="673"/>
      <c r="T200" s="675"/>
      <c r="U200" s="677"/>
      <c r="W200" s="29"/>
      <c r="X200" s="29"/>
      <c r="Y200" s="29"/>
      <c r="Z200" s="29"/>
      <c r="AA200" s="29"/>
      <c r="AB200" s="29"/>
      <c r="AC200" s="29"/>
      <c r="AD200" s="42"/>
      <c r="AE200" s="42"/>
      <c r="AF200" s="42"/>
      <c r="AG200" s="42"/>
    </row>
    <row r="201" spans="1:35" s="41" customFormat="1" ht="25" hidden="1" customHeight="1">
      <c r="A201" s="40"/>
      <c r="B201" s="651">
        <v>5</v>
      </c>
      <c r="C201" s="654"/>
      <c r="D201" s="654"/>
      <c r="E201" s="654"/>
      <c r="F201" s="654"/>
      <c r="G201" s="681"/>
      <c r="H201" s="684"/>
      <c r="I201" s="687"/>
      <c r="J201" s="183"/>
      <c r="K201" s="38">
        <f>+$K$13</f>
        <v>0</v>
      </c>
      <c r="L201" s="183"/>
      <c r="M201" s="38">
        <f>+$M$13</f>
        <v>0</v>
      </c>
      <c r="N201" s="690"/>
      <c r="O201" s="690"/>
      <c r="P201" s="693"/>
      <c r="Q201" s="544"/>
      <c r="R201" s="544"/>
      <c r="S201" s="671">
        <f>IF(COUNTIF(J201:K203,"CUMPLE")&gt;=1,(G201*I201),0)* (IF(N201="PRESENTÓ CERTIFICADO",1,0))* (IF(O201="ACORDE A ITEM 5.2.2 (T.R.)",1,0) )* ( IF(OR(Q201="SIN OBSERVACIÓN", Q201="REQUERIMIENTOS SUBSANADOS"),1,0)) *(IF(OR(R201="NINGUNO", R201="CUMPLEN CON LO SOLICITADO"),1,0))</f>
        <v>0</v>
      </c>
      <c r="T201" s="675"/>
      <c r="U201" s="677">
        <f>IF(COUNTIF(L201:M203,"CUMPLE")&gt;=1,1,0)</f>
        <v>0</v>
      </c>
      <c r="W201" s="29"/>
      <c r="X201" s="29"/>
      <c r="Y201" s="29"/>
      <c r="Z201" s="29"/>
      <c r="AA201" s="29"/>
      <c r="AB201" s="29"/>
      <c r="AC201" s="29"/>
      <c r="AD201" s="42"/>
      <c r="AE201" s="42"/>
      <c r="AF201" s="42"/>
      <c r="AG201" s="42"/>
    </row>
    <row r="202" spans="1:35" s="41" customFormat="1" ht="25" hidden="1" customHeight="1">
      <c r="A202" s="40"/>
      <c r="B202" s="652"/>
      <c r="C202" s="655"/>
      <c r="D202" s="655"/>
      <c r="E202" s="655"/>
      <c r="F202" s="655"/>
      <c r="G202" s="682"/>
      <c r="H202" s="685"/>
      <c r="I202" s="688"/>
      <c r="J202" s="183"/>
      <c r="K202" s="38">
        <f>+$K$14</f>
        <v>0</v>
      </c>
      <c r="L202" s="696"/>
      <c r="M202" s="678">
        <f>+$M$14</f>
        <v>0</v>
      </c>
      <c r="N202" s="691"/>
      <c r="O202" s="691"/>
      <c r="P202" s="694"/>
      <c r="Q202" s="567"/>
      <c r="R202" s="567"/>
      <c r="S202" s="672"/>
      <c r="T202" s="675"/>
      <c r="U202" s="677"/>
      <c r="W202" s="29"/>
      <c r="X202" s="29"/>
      <c r="Y202" s="29"/>
      <c r="Z202" s="29"/>
      <c r="AA202" s="29"/>
      <c r="AB202" s="29"/>
      <c r="AC202" s="29"/>
    </row>
    <row r="203" spans="1:35" s="41" customFormat="1" ht="25" hidden="1" customHeight="1">
      <c r="A203" s="40"/>
      <c r="B203" s="653"/>
      <c r="C203" s="656"/>
      <c r="D203" s="656"/>
      <c r="E203" s="656"/>
      <c r="F203" s="656"/>
      <c r="G203" s="683"/>
      <c r="H203" s="686"/>
      <c r="I203" s="689"/>
      <c r="J203" s="183"/>
      <c r="K203" s="38">
        <f>+$K$15</f>
        <v>0</v>
      </c>
      <c r="L203" s="697"/>
      <c r="M203" s="680"/>
      <c r="N203" s="692"/>
      <c r="O203" s="692"/>
      <c r="P203" s="695"/>
      <c r="Q203" s="545"/>
      <c r="R203" s="545"/>
      <c r="S203" s="673"/>
      <c r="T203" s="676"/>
      <c r="U203" s="677"/>
      <c r="W203" s="29"/>
      <c r="X203" s="29"/>
      <c r="Y203" s="29"/>
      <c r="Z203" s="29"/>
      <c r="AA203" s="29"/>
      <c r="AB203" s="29"/>
      <c r="AC203" s="29"/>
    </row>
    <row r="204" spans="1:35" s="28" customFormat="1" ht="25" hidden="1" customHeight="1">
      <c r="B204" s="698" t="str">
        <f>IF(S205=" "," ",IF(S205&gt;=$H$6,"CUMPLE CON LA EXPERIENCIA REQUERIDA","NO CUMPLE CON LA EXPERIENCIA REQUERIDA"))</f>
        <v>CUMPLE CON LA EXPERIENCIA REQUERIDA</v>
      </c>
      <c r="C204" s="699"/>
      <c r="D204" s="699"/>
      <c r="E204" s="699"/>
      <c r="F204" s="699"/>
      <c r="G204" s="699"/>
      <c r="H204" s="699"/>
      <c r="I204" s="699"/>
      <c r="J204" s="699"/>
      <c r="K204" s="699"/>
      <c r="L204" s="699"/>
      <c r="M204" s="699"/>
      <c r="N204" s="699"/>
      <c r="O204" s="700"/>
      <c r="P204" s="704" t="s">
        <v>46</v>
      </c>
      <c r="Q204" s="705"/>
      <c r="R204" s="706"/>
      <c r="S204" s="44">
        <f>IF(T189="SI",SUM(S189:S203),0)</f>
        <v>3077.78</v>
      </c>
      <c r="T204" s="707" t="str">
        <f>IF(S205=" "," ",IF(S205&gt;=$H$6,"CUMPLE","NO CUMPLE"))</f>
        <v>CUMPLE</v>
      </c>
      <c r="W204" s="29"/>
      <c r="X204" s="29"/>
      <c r="Y204" s="29"/>
      <c r="Z204" s="29"/>
      <c r="AA204" s="29"/>
      <c r="AB204" s="29"/>
      <c r="AC204" s="29"/>
      <c r="AD204" s="41"/>
      <c r="AE204" s="41"/>
      <c r="AF204" s="41"/>
      <c r="AG204" s="41"/>
      <c r="AH204" s="41"/>
    </row>
    <row r="205" spans="1:35" s="41" customFormat="1" ht="25" hidden="1" customHeight="1">
      <c r="B205" s="701"/>
      <c r="C205" s="702"/>
      <c r="D205" s="702"/>
      <c r="E205" s="702"/>
      <c r="F205" s="702"/>
      <c r="G205" s="702"/>
      <c r="H205" s="702"/>
      <c r="I205" s="702"/>
      <c r="J205" s="702"/>
      <c r="K205" s="702"/>
      <c r="L205" s="702"/>
      <c r="M205" s="702"/>
      <c r="N205" s="702"/>
      <c r="O205" s="703"/>
      <c r="P205" s="704" t="s">
        <v>47</v>
      </c>
      <c r="Q205" s="705"/>
      <c r="R205" s="706"/>
      <c r="S205" s="44">
        <f>IFERROR((S204/$P$6)," ")</f>
        <v>4.1591621621621622</v>
      </c>
      <c r="T205" s="708"/>
      <c r="W205" s="29"/>
      <c r="X205" s="29"/>
      <c r="Y205" s="29"/>
      <c r="Z205" s="29"/>
      <c r="AA205" s="29"/>
      <c r="AB205" s="29"/>
      <c r="AC205" s="29"/>
    </row>
    <row r="206" spans="1:35" ht="30" hidden="1" customHeight="1">
      <c r="AA206" s="29"/>
      <c r="AB206" s="29"/>
      <c r="AC206" s="29"/>
      <c r="AD206" s="41"/>
      <c r="AE206" s="41"/>
      <c r="AF206" s="41"/>
      <c r="AG206" s="41"/>
      <c r="AH206" s="28"/>
    </row>
    <row r="207" spans="1:35" ht="30" hidden="1" customHeight="1">
      <c r="AA207" s="29"/>
      <c r="AB207" s="29"/>
      <c r="AC207" s="29"/>
      <c r="AD207" s="41"/>
      <c r="AE207" s="41"/>
      <c r="AF207" s="41"/>
      <c r="AG207" s="41"/>
      <c r="AH207" s="41"/>
    </row>
    <row r="208" spans="1:35" ht="34" hidden="1">
      <c r="B208" s="26">
        <v>10</v>
      </c>
      <c r="C208" s="660" t="s">
        <v>25</v>
      </c>
      <c r="D208" s="661"/>
      <c r="E208" s="662"/>
      <c r="F208" s="663">
        <f>IFERROR(VLOOKUP(B208,LISTA_OFERENTES,2,FALSE)," ")</f>
        <v>0</v>
      </c>
      <c r="G208" s="664"/>
      <c r="H208" s="664"/>
      <c r="I208" s="664"/>
      <c r="J208" s="664"/>
      <c r="K208" s="664"/>
      <c r="L208" s="664"/>
      <c r="M208" s="664"/>
      <c r="N208" s="664"/>
      <c r="O208" s="665"/>
      <c r="P208" s="666" t="s">
        <v>26</v>
      </c>
      <c r="Q208" s="667"/>
      <c r="R208" s="668"/>
      <c r="S208" s="27">
        <f>5-(INT(COUNTBLANK(C211:C225))-10)</f>
        <v>0</v>
      </c>
      <c r="T208" s="28"/>
    </row>
    <row r="209" spans="2:21" ht="54" hidden="1" customHeight="1">
      <c r="B209" s="669" t="s">
        <v>27</v>
      </c>
      <c r="C209" s="643" t="s">
        <v>28</v>
      </c>
      <c r="D209" s="643" t="s">
        <v>29</v>
      </c>
      <c r="E209" s="643" t="s">
        <v>30</v>
      </c>
      <c r="F209" s="643" t="s">
        <v>31</v>
      </c>
      <c r="G209" s="643" t="s">
        <v>32</v>
      </c>
      <c r="H209" s="643" t="s">
        <v>33</v>
      </c>
      <c r="I209" s="643" t="s">
        <v>34</v>
      </c>
      <c r="J209" s="657" t="s">
        <v>35</v>
      </c>
      <c r="K209" s="658"/>
      <c r="L209" s="658"/>
      <c r="M209" s="659"/>
      <c r="N209" s="643" t="s">
        <v>36</v>
      </c>
      <c r="O209" s="643" t="s">
        <v>37</v>
      </c>
      <c r="P209" s="657" t="s">
        <v>38</v>
      </c>
      <c r="Q209" s="659"/>
      <c r="R209" s="643" t="s">
        <v>39</v>
      </c>
      <c r="S209" s="643" t="s">
        <v>40</v>
      </c>
      <c r="T209" s="643" t="str">
        <f>+$T$11</f>
        <v>Cumple con el requerimiento del numeral 6.2.2.2.1</v>
      </c>
      <c r="U209" s="643" t="str">
        <f>+$U$11</f>
        <v xml:space="preserve">VERIFICACIÓN CONDICIÓN DE EXPERIENCIA  </v>
      </c>
    </row>
    <row r="210" spans="2:21" ht="51" hidden="1" customHeight="1">
      <c r="B210" s="670"/>
      <c r="C210" s="644"/>
      <c r="D210" s="644"/>
      <c r="E210" s="644"/>
      <c r="F210" s="644"/>
      <c r="G210" s="644"/>
      <c r="H210" s="644"/>
      <c r="I210" s="644"/>
      <c r="J210" s="648" t="s">
        <v>43</v>
      </c>
      <c r="K210" s="649"/>
      <c r="L210" s="649"/>
      <c r="M210" s="650"/>
      <c r="N210" s="644"/>
      <c r="O210" s="644"/>
      <c r="P210" s="33" t="s">
        <v>10</v>
      </c>
      <c r="Q210" s="33" t="s">
        <v>44</v>
      </c>
      <c r="R210" s="644"/>
      <c r="S210" s="644"/>
      <c r="T210" s="644"/>
      <c r="U210" s="644"/>
    </row>
    <row r="211" spans="2:21" ht="25.5" hidden="1" customHeight="1">
      <c r="B211" s="651">
        <v>1</v>
      </c>
      <c r="C211" s="654"/>
      <c r="D211" s="654"/>
      <c r="E211" s="654"/>
      <c r="F211" s="654"/>
      <c r="G211" s="681"/>
      <c r="H211" s="684"/>
      <c r="I211" s="687"/>
      <c r="J211" s="183"/>
      <c r="K211" s="38">
        <f>+$K$13</f>
        <v>0</v>
      </c>
      <c r="L211" s="183"/>
      <c r="M211" s="38">
        <f>+$M$13</f>
        <v>0</v>
      </c>
      <c r="N211" s="690"/>
      <c r="O211" s="690"/>
      <c r="P211" s="693"/>
      <c r="Q211" s="544"/>
      <c r="R211" s="544"/>
      <c r="S211" s="671">
        <f>IF(COUNTIF(J211:K213,"CUMPLE")&gt;=1,(G211*I211),0)* (IF(N211="PRESENTÓ CERTIFICADO",1,0))* (IF(O211="ACORDE A ITEM 5.2.2 (T.R.)",1,0) )* ( IF(OR(Q211="SIN OBSERVACIÓN", Q211="REQUERIMIENTOS SUBSANADOS"),1,0)) *(IF(OR(R211="NINGUNO", R211="CUMPLEN CON LO SOLICITADO"),1,0))</f>
        <v>0</v>
      </c>
      <c r="T211" s="674"/>
      <c r="U211" s="677">
        <f>IF(COUNTIF(J211:K213,"CUMPLE")&gt;=1,1,0)</f>
        <v>0</v>
      </c>
    </row>
    <row r="212" spans="2:21" ht="25.5" hidden="1" customHeight="1">
      <c r="B212" s="652"/>
      <c r="C212" s="655"/>
      <c r="D212" s="655"/>
      <c r="E212" s="655"/>
      <c r="F212" s="655"/>
      <c r="G212" s="682"/>
      <c r="H212" s="685"/>
      <c r="I212" s="688"/>
      <c r="J212" s="183"/>
      <c r="K212" s="38">
        <f>+$K$14</f>
        <v>0</v>
      </c>
      <c r="L212" s="696"/>
      <c r="M212" s="678">
        <f>+$M$14</f>
        <v>0</v>
      </c>
      <c r="N212" s="691"/>
      <c r="O212" s="691"/>
      <c r="P212" s="694"/>
      <c r="Q212" s="567"/>
      <c r="R212" s="567"/>
      <c r="S212" s="672"/>
      <c r="T212" s="675"/>
      <c r="U212" s="677"/>
    </row>
    <row r="213" spans="2:21" ht="25.5" hidden="1" customHeight="1">
      <c r="B213" s="653"/>
      <c r="C213" s="656"/>
      <c r="D213" s="656"/>
      <c r="E213" s="656"/>
      <c r="F213" s="656"/>
      <c r="G213" s="683"/>
      <c r="H213" s="686"/>
      <c r="I213" s="689"/>
      <c r="J213" s="183"/>
      <c r="K213" s="38">
        <f>+$K$15</f>
        <v>0</v>
      </c>
      <c r="L213" s="697"/>
      <c r="M213" s="680"/>
      <c r="N213" s="692"/>
      <c r="O213" s="692"/>
      <c r="P213" s="695"/>
      <c r="Q213" s="545"/>
      <c r="R213" s="545"/>
      <c r="S213" s="673"/>
      <c r="T213" s="675"/>
      <c r="U213" s="677"/>
    </row>
    <row r="214" spans="2:21" ht="25.5" hidden="1" customHeight="1">
      <c r="B214" s="651">
        <v>2</v>
      </c>
      <c r="C214" s="712"/>
      <c r="D214" s="712"/>
      <c r="E214" s="712"/>
      <c r="F214" s="712"/>
      <c r="G214" s="715"/>
      <c r="H214" s="684"/>
      <c r="I214" s="709"/>
      <c r="J214" s="183"/>
      <c r="K214" s="38">
        <f>+$K$13</f>
        <v>0</v>
      </c>
      <c r="L214" s="183"/>
      <c r="M214" s="38">
        <f>+$M$13</f>
        <v>0</v>
      </c>
      <c r="N214" s="690"/>
      <c r="O214" s="690"/>
      <c r="P214" s="693"/>
      <c r="Q214" s="544"/>
      <c r="R214" s="544"/>
      <c r="S214" s="671">
        <f>IF(COUNTIF(J214:K216,"CUMPLE")&gt;=1,(G214*I214),0)* (IF(N214="PRESENTÓ CERTIFICADO",1,0))* (IF(O214="ACORDE A ITEM 5.2.2 (T.R.)",1,0) )* ( IF(OR(Q214="SIN OBSERVACIÓN", Q214="REQUERIMIENTOS SUBSANADOS"),1,0)) *(IF(OR(R214="NINGUNO", R214="CUMPLEN CON LO SOLICITADO"),1,0))</f>
        <v>0</v>
      </c>
      <c r="T214" s="675"/>
      <c r="U214" s="677">
        <f>IF(COUNTIF(L214:M216,"CUMPLE")&gt;=1,1,0)</f>
        <v>0</v>
      </c>
    </row>
    <row r="215" spans="2:21" ht="25.5" hidden="1" customHeight="1">
      <c r="B215" s="652"/>
      <c r="C215" s="713"/>
      <c r="D215" s="713"/>
      <c r="E215" s="713"/>
      <c r="F215" s="713"/>
      <c r="G215" s="716"/>
      <c r="H215" s="685"/>
      <c r="I215" s="710"/>
      <c r="J215" s="183"/>
      <c r="K215" s="38">
        <f>+$K$14</f>
        <v>0</v>
      </c>
      <c r="L215" s="696"/>
      <c r="M215" s="678">
        <f>+$M$14</f>
        <v>0</v>
      </c>
      <c r="N215" s="691"/>
      <c r="O215" s="691"/>
      <c r="P215" s="694"/>
      <c r="Q215" s="567"/>
      <c r="R215" s="567"/>
      <c r="S215" s="672"/>
      <c r="T215" s="675"/>
      <c r="U215" s="677"/>
    </row>
    <row r="216" spans="2:21" ht="25.5" hidden="1" customHeight="1">
      <c r="B216" s="653"/>
      <c r="C216" s="714"/>
      <c r="D216" s="714"/>
      <c r="E216" s="714"/>
      <c r="F216" s="714"/>
      <c r="G216" s="717"/>
      <c r="H216" s="686"/>
      <c r="I216" s="711"/>
      <c r="J216" s="183"/>
      <c r="K216" s="38">
        <f>+$K$15</f>
        <v>0</v>
      </c>
      <c r="L216" s="697"/>
      <c r="M216" s="680"/>
      <c r="N216" s="692"/>
      <c r="O216" s="692"/>
      <c r="P216" s="695"/>
      <c r="Q216" s="545"/>
      <c r="R216" s="545"/>
      <c r="S216" s="673"/>
      <c r="T216" s="675"/>
      <c r="U216" s="677"/>
    </row>
    <row r="217" spans="2:21" ht="25.5" hidden="1" customHeight="1">
      <c r="B217" s="651">
        <v>3</v>
      </c>
      <c r="C217" s="654"/>
      <c r="D217" s="654"/>
      <c r="E217" s="654"/>
      <c r="F217" s="654"/>
      <c r="G217" s="681"/>
      <c r="H217" s="684"/>
      <c r="I217" s="687"/>
      <c r="J217" s="183"/>
      <c r="K217" s="38">
        <f>+$K$13</f>
        <v>0</v>
      </c>
      <c r="L217" s="183"/>
      <c r="M217" s="38">
        <f>+$M$13</f>
        <v>0</v>
      </c>
      <c r="N217" s="690"/>
      <c r="O217" s="690"/>
      <c r="P217" s="693"/>
      <c r="Q217" s="544"/>
      <c r="R217" s="544"/>
      <c r="S217" s="671">
        <f>IF(COUNTIF(J217:K219,"CUMPLE")&gt;=1,(G217*I217),0)* (IF(N217="PRESENTÓ CERTIFICADO",1,0))* (IF(O217="ACORDE A ITEM 5.2.2 (T.R.)",1,0) )* ( IF(OR(Q217="SIN OBSERVACIÓN", Q217="REQUERIMIENTOS SUBSANADOS"),1,0)) *(IF(OR(R217="NINGUNO", R217="CUMPLEN CON LO SOLICITADO"),1,0))</f>
        <v>0</v>
      </c>
      <c r="T217" s="675"/>
      <c r="U217" s="677">
        <f>IF(COUNTIF(L217:M219,"CUMPLE")&gt;=1,1,0)</f>
        <v>0</v>
      </c>
    </row>
    <row r="218" spans="2:21" ht="25.5" hidden="1" customHeight="1">
      <c r="B218" s="652"/>
      <c r="C218" s="655"/>
      <c r="D218" s="655"/>
      <c r="E218" s="655"/>
      <c r="F218" s="655"/>
      <c r="G218" s="682"/>
      <c r="H218" s="685"/>
      <c r="I218" s="688"/>
      <c r="J218" s="183"/>
      <c r="K218" s="38">
        <f>+$K$14</f>
        <v>0</v>
      </c>
      <c r="L218" s="696"/>
      <c r="M218" s="678">
        <f>+$M$14</f>
        <v>0</v>
      </c>
      <c r="N218" s="691"/>
      <c r="O218" s="691"/>
      <c r="P218" s="694"/>
      <c r="Q218" s="567"/>
      <c r="R218" s="567"/>
      <c r="S218" s="672"/>
      <c r="T218" s="675"/>
      <c r="U218" s="677"/>
    </row>
    <row r="219" spans="2:21" ht="25.5" hidden="1" customHeight="1">
      <c r="B219" s="653"/>
      <c r="C219" s="656"/>
      <c r="D219" s="656"/>
      <c r="E219" s="656"/>
      <c r="F219" s="656"/>
      <c r="G219" s="683"/>
      <c r="H219" s="686"/>
      <c r="I219" s="689"/>
      <c r="J219" s="183"/>
      <c r="K219" s="38">
        <f>+$K$15</f>
        <v>0</v>
      </c>
      <c r="L219" s="697"/>
      <c r="M219" s="680"/>
      <c r="N219" s="692"/>
      <c r="O219" s="692"/>
      <c r="P219" s="695"/>
      <c r="Q219" s="545"/>
      <c r="R219" s="545"/>
      <c r="S219" s="673"/>
      <c r="T219" s="675"/>
      <c r="U219" s="677"/>
    </row>
    <row r="220" spans="2:21" ht="25.5" hidden="1" customHeight="1">
      <c r="B220" s="651">
        <v>4</v>
      </c>
      <c r="C220" s="712"/>
      <c r="D220" s="712"/>
      <c r="E220" s="712"/>
      <c r="F220" s="712"/>
      <c r="G220" s="715"/>
      <c r="H220" s="684"/>
      <c r="I220" s="709"/>
      <c r="J220" s="183"/>
      <c r="K220" s="38">
        <f>+$K$13</f>
        <v>0</v>
      </c>
      <c r="L220" s="183"/>
      <c r="M220" s="38">
        <f>+$M$13</f>
        <v>0</v>
      </c>
      <c r="N220" s="690"/>
      <c r="O220" s="690"/>
      <c r="P220" s="693"/>
      <c r="Q220" s="544"/>
      <c r="R220" s="544"/>
      <c r="S220" s="671">
        <f>IF(COUNTIF(J220:K222,"CUMPLE")&gt;=1,(G220*I220),0)* (IF(N220="PRESENTÓ CERTIFICADO",1,0))* (IF(O220="ACORDE A ITEM 5.2.2 (T.R.)",1,0) )* ( IF(OR(Q220="SIN OBSERVACIÓN", Q220="REQUERIMIENTOS SUBSANADOS"),1,0)) *(IF(OR(R220="NINGUNO", R220="CUMPLEN CON LO SOLICITADO"),1,0))</f>
        <v>0</v>
      </c>
      <c r="T220" s="675"/>
      <c r="U220" s="677">
        <f>IF(COUNTIF(L220:M222,"CUMPLE")&gt;=1,1,0)</f>
        <v>0</v>
      </c>
    </row>
    <row r="221" spans="2:21" ht="25.5" hidden="1" customHeight="1">
      <c r="B221" s="652"/>
      <c r="C221" s="713"/>
      <c r="D221" s="713"/>
      <c r="E221" s="713"/>
      <c r="F221" s="713"/>
      <c r="G221" s="716"/>
      <c r="H221" s="685"/>
      <c r="I221" s="710"/>
      <c r="J221" s="183"/>
      <c r="K221" s="38">
        <f>+$K$14</f>
        <v>0</v>
      </c>
      <c r="L221" s="696"/>
      <c r="M221" s="678">
        <f>+$M$14</f>
        <v>0</v>
      </c>
      <c r="N221" s="691"/>
      <c r="O221" s="691"/>
      <c r="P221" s="694"/>
      <c r="Q221" s="567"/>
      <c r="R221" s="567"/>
      <c r="S221" s="672"/>
      <c r="T221" s="675"/>
      <c r="U221" s="677"/>
    </row>
    <row r="222" spans="2:21" ht="25.5" hidden="1" customHeight="1">
      <c r="B222" s="653"/>
      <c r="C222" s="714"/>
      <c r="D222" s="714"/>
      <c r="E222" s="714"/>
      <c r="F222" s="714"/>
      <c r="G222" s="717"/>
      <c r="H222" s="686"/>
      <c r="I222" s="711"/>
      <c r="J222" s="183"/>
      <c r="K222" s="38">
        <f>+$K$15</f>
        <v>0</v>
      </c>
      <c r="L222" s="697"/>
      <c r="M222" s="680"/>
      <c r="N222" s="692"/>
      <c r="O222" s="692"/>
      <c r="P222" s="695"/>
      <c r="Q222" s="545"/>
      <c r="R222" s="545"/>
      <c r="S222" s="673"/>
      <c r="T222" s="675"/>
      <c r="U222" s="677"/>
    </row>
    <row r="223" spans="2:21" ht="25.5" hidden="1" customHeight="1">
      <c r="B223" s="651">
        <v>5</v>
      </c>
      <c r="C223" s="654"/>
      <c r="D223" s="654"/>
      <c r="E223" s="654"/>
      <c r="F223" s="654"/>
      <c r="G223" s="681"/>
      <c r="H223" s="684"/>
      <c r="I223" s="687"/>
      <c r="J223" s="183"/>
      <c r="K223" s="38">
        <f>+$K$13</f>
        <v>0</v>
      </c>
      <c r="L223" s="183"/>
      <c r="M223" s="38">
        <f>+$M$13</f>
        <v>0</v>
      </c>
      <c r="N223" s="690"/>
      <c r="O223" s="690"/>
      <c r="P223" s="693"/>
      <c r="Q223" s="544"/>
      <c r="R223" s="544"/>
      <c r="S223" s="671">
        <f>IF(COUNTIF(J223:K225,"CUMPLE")&gt;=1,(G223*I223),0)* (IF(N223="PRESENTÓ CERTIFICADO",1,0))* (IF(O223="ACORDE A ITEM 5.2.2 (T.R.)",1,0) )* ( IF(OR(Q223="SIN OBSERVACIÓN", Q223="REQUERIMIENTOS SUBSANADOS"),1,0)) *(IF(OR(R223="NINGUNO", R223="CUMPLEN CON LO SOLICITADO"),1,0))</f>
        <v>0</v>
      </c>
      <c r="T223" s="675"/>
      <c r="U223" s="677">
        <f>IF(COUNTIF(L223:M225,"CUMPLE")&gt;=1,1,0)</f>
        <v>0</v>
      </c>
    </row>
    <row r="224" spans="2:21" ht="25.5" hidden="1" customHeight="1">
      <c r="B224" s="652"/>
      <c r="C224" s="655"/>
      <c r="D224" s="655"/>
      <c r="E224" s="655"/>
      <c r="F224" s="655"/>
      <c r="G224" s="682"/>
      <c r="H224" s="685"/>
      <c r="I224" s="688"/>
      <c r="J224" s="183"/>
      <c r="K224" s="38">
        <f>+$K$14</f>
        <v>0</v>
      </c>
      <c r="L224" s="696"/>
      <c r="M224" s="678">
        <f>+$M$14</f>
        <v>0</v>
      </c>
      <c r="N224" s="691"/>
      <c r="O224" s="691"/>
      <c r="P224" s="694"/>
      <c r="Q224" s="567"/>
      <c r="R224" s="567"/>
      <c r="S224" s="672"/>
      <c r="T224" s="675"/>
      <c r="U224" s="677"/>
    </row>
    <row r="225" spans="2:21" ht="25.5" hidden="1" customHeight="1">
      <c r="B225" s="653"/>
      <c r="C225" s="656"/>
      <c r="D225" s="656"/>
      <c r="E225" s="656"/>
      <c r="F225" s="656"/>
      <c r="G225" s="683"/>
      <c r="H225" s="686"/>
      <c r="I225" s="689"/>
      <c r="J225" s="183"/>
      <c r="K225" s="38">
        <f>+$K$15</f>
        <v>0</v>
      </c>
      <c r="L225" s="697"/>
      <c r="M225" s="680"/>
      <c r="N225" s="692"/>
      <c r="O225" s="692"/>
      <c r="P225" s="695"/>
      <c r="Q225" s="545"/>
      <c r="R225" s="545"/>
      <c r="S225" s="673"/>
      <c r="T225" s="676"/>
      <c r="U225" s="677"/>
    </row>
    <row r="226" spans="2:21" ht="18" hidden="1" customHeight="1">
      <c r="B226" s="698" t="str">
        <f>IF(S227=" "," ",IF(S227&gt;=$H$6,"CUMPLE CON LA EXPERIENCIA REQUERIDA","NO CUMPLE CON LA EXPERIENCIA REQUERIDA"))</f>
        <v>NO CUMPLE CON LA EXPERIENCIA REQUERIDA</v>
      </c>
      <c r="C226" s="699"/>
      <c r="D226" s="699"/>
      <c r="E226" s="699"/>
      <c r="F226" s="699"/>
      <c r="G226" s="699"/>
      <c r="H226" s="699"/>
      <c r="I226" s="699"/>
      <c r="J226" s="699"/>
      <c r="K226" s="699"/>
      <c r="L226" s="699"/>
      <c r="M226" s="699"/>
      <c r="N226" s="699"/>
      <c r="O226" s="700"/>
      <c r="P226" s="704" t="s">
        <v>46</v>
      </c>
      <c r="Q226" s="705"/>
      <c r="R226" s="706"/>
      <c r="S226" s="44">
        <f>IF(T211="SI",SUM(S211:S225),0)</f>
        <v>0</v>
      </c>
      <c r="T226" s="707" t="str">
        <f>IF(S227=" "," ",IF(S227&gt;=$H$6,"CUMPLE","NO CUMPLE"))</f>
        <v>NO CUMPLE</v>
      </c>
      <c r="U226" s="28"/>
    </row>
    <row r="227" spans="2:21" ht="18" hidden="1" customHeight="1">
      <c r="B227" s="701"/>
      <c r="C227" s="702"/>
      <c r="D227" s="702"/>
      <c r="E227" s="702"/>
      <c r="F227" s="702"/>
      <c r="G227" s="702"/>
      <c r="H227" s="702"/>
      <c r="I227" s="702"/>
      <c r="J227" s="702"/>
      <c r="K227" s="702"/>
      <c r="L227" s="702"/>
      <c r="M227" s="702"/>
      <c r="N227" s="702"/>
      <c r="O227" s="703"/>
      <c r="P227" s="704" t="s">
        <v>47</v>
      </c>
      <c r="Q227" s="705"/>
      <c r="R227" s="706"/>
      <c r="S227" s="44">
        <f>IFERROR((S226/$P$6)," ")</f>
        <v>0</v>
      </c>
      <c r="T227" s="708"/>
      <c r="U227" s="41"/>
    </row>
    <row r="228" spans="2:21" hidden="1"/>
    <row r="229" spans="2:21" hidden="1"/>
    <row r="230" spans="2:21" ht="34" hidden="1">
      <c r="B230" s="26">
        <v>11</v>
      </c>
      <c r="C230" s="660" t="s">
        <v>25</v>
      </c>
      <c r="D230" s="661"/>
      <c r="E230" s="662"/>
      <c r="F230" s="663">
        <f>IFERROR(VLOOKUP(B230,LISTA_OFERENTES,2,FALSE)," ")</f>
        <v>0</v>
      </c>
      <c r="G230" s="664"/>
      <c r="H230" s="664"/>
      <c r="I230" s="664"/>
      <c r="J230" s="664"/>
      <c r="K230" s="664"/>
      <c r="L230" s="664"/>
      <c r="M230" s="664"/>
      <c r="N230" s="664"/>
      <c r="O230" s="665"/>
      <c r="P230" s="666" t="s">
        <v>26</v>
      </c>
      <c r="Q230" s="667"/>
      <c r="R230" s="668"/>
      <c r="S230" s="27">
        <f>5-(INT(COUNTBLANK(C233:C247))-10)</f>
        <v>0</v>
      </c>
      <c r="T230" s="28"/>
    </row>
    <row r="231" spans="2:21" ht="41.25" hidden="1" customHeight="1">
      <c r="B231" s="669" t="s">
        <v>27</v>
      </c>
      <c r="C231" s="643" t="s">
        <v>28</v>
      </c>
      <c r="D231" s="643" t="s">
        <v>29</v>
      </c>
      <c r="E231" s="643" t="s">
        <v>30</v>
      </c>
      <c r="F231" s="643" t="s">
        <v>31</v>
      </c>
      <c r="G231" s="643" t="s">
        <v>32</v>
      </c>
      <c r="H231" s="643" t="s">
        <v>33</v>
      </c>
      <c r="I231" s="643" t="s">
        <v>34</v>
      </c>
      <c r="J231" s="657" t="s">
        <v>35</v>
      </c>
      <c r="K231" s="658"/>
      <c r="L231" s="658"/>
      <c r="M231" s="659"/>
      <c r="N231" s="643" t="s">
        <v>36</v>
      </c>
      <c r="O231" s="643" t="s">
        <v>37</v>
      </c>
      <c r="P231" s="657" t="s">
        <v>38</v>
      </c>
      <c r="Q231" s="659"/>
      <c r="R231" s="643" t="s">
        <v>39</v>
      </c>
      <c r="S231" s="643" t="s">
        <v>40</v>
      </c>
      <c r="T231" s="643" t="str">
        <f>+$T$11</f>
        <v>Cumple con el requerimiento del numeral 6.2.2.2.1</v>
      </c>
      <c r="U231" s="643" t="str">
        <f>+$U$11</f>
        <v xml:space="preserve">VERIFICACIÓN CONDICIÓN DE EXPERIENCIA  </v>
      </c>
    </row>
    <row r="232" spans="2:21" ht="63" hidden="1" customHeight="1">
      <c r="B232" s="670"/>
      <c r="C232" s="644"/>
      <c r="D232" s="644"/>
      <c r="E232" s="644"/>
      <c r="F232" s="644"/>
      <c r="G232" s="644"/>
      <c r="H232" s="644"/>
      <c r="I232" s="644"/>
      <c r="J232" s="648" t="s">
        <v>43</v>
      </c>
      <c r="K232" s="649"/>
      <c r="L232" s="649"/>
      <c r="M232" s="650"/>
      <c r="N232" s="644"/>
      <c r="O232" s="644"/>
      <c r="P232" s="33" t="s">
        <v>10</v>
      </c>
      <c r="Q232" s="33" t="s">
        <v>44</v>
      </c>
      <c r="R232" s="644"/>
      <c r="S232" s="644"/>
      <c r="T232" s="644"/>
      <c r="U232" s="644"/>
    </row>
    <row r="233" spans="2:21" ht="21.75" hidden="1" customHeight="1">
      <c r="B233" s="651">
        <v>1</v>
      </c>
      <c r="C233" s="654"/>
      <c r="D233" s="654"/>
      <c r="E233" s="654"/>
      <c r="F233" s="654"/>
      <c r="G233" s="681"/>
      <c r="H233" s="684"/>
      <c r="I233" s="687"/>
      <c r="J233" s="183"/>
      <c r="K233" s="38">
        <f>+$K$13</f>
        <v>0</v>
      </c>
      <c r="L233" s="183"/>
      <c r="M233" s="38">
        <f>+$M$13</f>
        <v>0</v>
      </c>
      <c r="N233" s="690"/>
      <c r="O233" s="690"/>
      <c r="P233" s="693"/>
      <c r="Q233" s="544"/>
      <c r="R233" s="544"/>
      <c r="S233" s="671">
        <f>IF(COUNTIF(J233:K235,"CUMPLE")&gt;=1,(G233*I233),0)* (IF(N233="PRESENTÓ CERTIFICADO",1,0))* (IF(O233="ACORDE A ITEM 5.2.2 (T.R.)",1,0) )* ( IF(OR(Q233="SIN OBSERVACIÓN", Q233="REQUERIMIENTOS SUBSANADOS"),1,0)) *(IF(OR(R233="NINGUNO", R233="CUMPLEN CON LO SOLICITADO"),1,0))</f>
        <v>0</v>
      </c>
      <c r="T233" s="674"/>
      <c r="U233" s="677">
        <f>IF(COUNTIF(J233:K235,"CUMPLE")&gt;=1,1,0)</f>
        <v>0</v>
      </c>
    </row>
    <row r="234" spans="2:21" ht="21.75" hidden="1" customHeight="1">
      <c r="B234" s="652"/>
      <c r="C234" s="655"/>
      <c r="D234" s="655"/>
      <c r="E234" s="655"/>
      <c r="F234" s="655"/>
      <c r="G234" s="682"/>
      <c r="H234" s="685"/>
      <c r="I234" s="688"/>
      <c r="J234" s="183"/>
      <c r="K234" s="38">
        <f>+$K$14</f>
        <v>0</v>
      </c>
      <c r="L234" s="696"/>
      <c r="M234" s="678">
        <f>+$M$14</f>
        <v>0</v>
      </c>
      <c r="N234" s="691"/>
      <c r="O234" s="691"/>
      <c r="P234" s="694"/>
      <c r="Q234" s="567"/>
      <c r="R234" s="567"/>
      <c r="S234" s="672"/>
      <c r="T234" s="675"/>
      <c r="U234" s="677"/>
    </row>
    <row r="235" spans="2:21" ht="21.75" hidden="1" customHeight="1">
      <c r="B235" s="653"/>
      <c r="C235" s="656"/>
      <c r="D235" s="656"/>
      <c r="E235" s="656"/>
      <c r="F235" s="656"/>
      <c r="G235" s="683"/>
      <c r="H235" s="686"/>
      <c r="I235" s="689"/>
      <c r="J235" s="183"/>
      <c r="K235" s="38">
        <f>+$K$15</f>
        <v>0</v>
      </c>
      <c r="L235" s="697"/>
      <c r="M235" s="680"/>
      <c r="N235" s="692"/>
      <c r="O235" s="692"/>
      <c r="P235" s="695"/>
      <c r="Q235" s="545"/>
      <c r="R235" s="545"/>
      <c r="S235" s="673"/>
      <c r="T235" s="675"/>
      <c r="U235" s="677"/>
    </row>
    <row r="236" spans="2:21" ht="23.25" hidden="1" customHeight="1">
      <c r="B236" s="651">
        <v>2</v>
      </c>
      <c r="C236" s="712"/>
      <c r="D236" s="712"/>
      <c r="E236" s="712"/>
      <c r="F236" s="712"/>
      <c r="G236" s="715"/>
      <c r="H236" s="684"/>
      <c r="I236" s="687"/>
      <c r="J236" s="183"/>
      <c r="K236" s="38">
        <f>+$K$13</f>
        <v>0</v>
      </c>
      <c r="L236" s="183"/>
      <c r="M236" s="38">
        <f>+$M$13</f>
        <v>0</v>
      </c>
      <c r="N236" s="690"/>
      <c r="O236" s="690"/>
      <c r="P236" s="693"/>
      <c r="Q236" s="544"/>
      <c r="R236" s="544"/>
      <c r="S236" s="671">
        <f>IF(COUNTIF(J236:K238,"CUMPLE")&gt;=1,(G236*I236),0)* (IF(N236="PRESENTÓ CERTIFICADO",1,0))* (IF(O236="ACORDE A ITEM 5.2.2 (T.R.)",1,0) )* ( IF(OR(Q236="SIN OBSERVACIÓN", Q236="REQUERIMIENTOS SUBSANADOS"),1,0)) *(IF(OR(R236="NINGUNO", R236="CUMPLEN CON LO SOLICITADO"),1,0))</f>
        <v>0</v>
      </c>
      <c r="T236" s="675"/>
      <c r="U236" s="677">
        <f>IF(COUNTIF(J236:K238,"CUMPLE")&gt;=1,1,0)</f>
        <v>0</v>
      </c>
    </row>
    <row r="237" spans="2:21" ht="23.25" hidden="1" customHeight="1">
      <c r="B237" s="652"/>
      <c r="C237" s="713"/>
      <c r="D237" s="713"/>
      <c r="E237" s="713"/>
      <c r="F237" s="713"/>
      <c r="G237" s="716"/>
      <c r="H237" s="685"/>
      <c r="I237" s="688"/>
      <c r="J237" s="183"/>
      <c r="K237" s="38">
        <f>+$K$14</f>
        <v>0</v>
      </c>
      <c r="L237" s="696"/>
      <c r="M237" s="678">
        <f>+$M$14</f>
        <v>0</v>
      </c>
      <c r="N237" s="691"/>
      <c r="O237" s="691"/>
      <c r="P237" s="694"/>
      <c r="Q237" s="567"/>
      <c r="R237" s="567"/>
      <c r="S237" s="672"/>
      <c r="T237" s="675"/>
      <c r="U237" s="677"/>
    </row>
    <row r="238" spans="2:21" ht="23.25" hidden="1" customHeight="1">
      <c r="B238" s="653"/>
      <c r="C238" s="714"/>
      <c r="D238" s="714"/>
      <c r="E238" s="714"/>
      <c r="F238" s="714"/>
      <c r="G238" s="717"/>
      <c r="H238" s="686"/>
      <c r="I238" s="689"/>
      <c r="J238" s="183"/>
      <c r="K238" s="38">
        <f>+$K$15</f>
        <v>0</v>
      </c>
      <c r="L238" s="697"/>
      <c r="M238" s="680"/>
      <c r="N238" s="692"/>
      <c r="O238" s="692"/>
      <c r="P238" s="695"/>
      <c r="Q238" s="545"/>
      <c r="R238" s="545"/>
      <c r="S238" s="673"/>
      <c r="T238" s="675"/>
      <c r="U238" s="677"/>
    </row>
    <row r="239" spans="2:21" ht="23.25" hidden="1" customHeight="1">
      <c r="B239" s="651">
        <v>3</v>
      </c>
      <c r="C239" s="654"/>
      <c r="D239" s="654"/>
      <c r="E239" s="654"/>
      <c r="F239" s="654"/>
      <c r="G239" s="681"/>
      <c r="H239" s="684"/>
      <c r="I239" s="687"/>
      <c r="J239" s="183"/>
      <c r="K239" s="38">
        <f>+$K$13</f>
        <v>0</v>
      </c>
      <c r="L239" s="183"/>
      <c r="M239" s="38">
        <f>+$M$13</f>
        <v>0</v>
      </c>
      <c r="N239" s="690"/>
      <c r="O239" s="690"/>
      <c r="P239" s="693"/>
      <c r="Q239" s="544"/>
      <c r="R239" s="544"/>
      <c r="S239" s="671">
        <f>IF(COUNTIF(J239:K241,"CUMPLE")&gt;=1,(G239*I239),0)* (IF(N239="PRESENTÓ CERTIFICADO",1,0))* (IF(O239="ACORDE A ITEM 5.2.2 (T.R.)",1,0) )* ( IF(OR(Q239="SIN OBSERVACIÓN", Q239="REQUERIMIENTOS SUBSANADOS"),1,0)) *(IF(OR(R239="NINGUNO", R239="CUMPLEN CON LO SOLICITADO"),1,0))</f>
        <v>0</v>
      </c>
      <c r="T239" s="675"/>
      <c r="U239" s="677">
        <f>IF(COUNTIF(J239:K241,"CUMPLE")&gt;=1,1,0)</f>
        <v>0</v>
      </c>
    </row>
    <row r="240" spans="2:21" ht="23.25" hidden="1" customHeight="1">
      <c r="B240" s="652"/>
      <c r="C240" s="655"/>
      <c r="D240" s="655"/>
      <c r="E240" s="655"/>
      <c r="F240" s="655"/>
      <c r="G240" s="682"/>
      <c r="H240" s="685"/>
      <c r="I240" s="688"/>
      <c r="J240" s="183"/>
      <c r="K240" s="38">
        <f>+$K$14</f>
        <v>0</v>
      </c>
      <c r="L240" s="696"/>
      <c r="M240" s="678">
        <f>+$M$14</f>
        <v>0</v>
      </c>
      <c r="N240" s="691"/>
      <c r="O240" s="691"/>
      <c r="P240" s="694"/>
      <c r="Q240" s="567"/>
      <c r="R240" s="567"/>
      <c r="S240" s="672"/>
      <c r="T240" s="675"/>
      <c r="U240" s="677"/>
    </row>
    <row r="241" spans="2:21" ht="23.25" hidden="1" customHeight="1">
      <c r="B241" s="653"/>
      <c r="C241" s="656"/>
      <c r="D241" s="656"/>
      <c r="E241" s="656"/>
      <c r="F241" s="656"/>
      <c r="G241" s="683"/>
      <c r="H241" s="686"/>
      <c r="I241" s="689"/>
      <c r="J241" s="183"/>
      <c r="K241" s="38">
        <f>+$K$15</f>
        <v>0</v>
      </c>
      <c r="L241" s="697"/>
      <c r="M241" s="680"/>
      <c r="N241" s="692"/>
      <c r="O241" s="692"/>
      <c r="P241" s="695"/>
      <c r="Q241" s="545"/>
      <c r="R241" s="545"/>
      <c r="S241" s="673"/>
      <c r="T241" s="675"/>
      <c r="U241" s="677"/>
    </row>
    <row r="242" spans="2:21" ht="23.25" hidden="1" customHeight="1">
      <c r="B242" s="651">
        <v>4</v>
      </c>
      <c r="C242" s="712"/>
      <c r="D242" s="712"/>
      <c r="E242" s="712"/>
      <c r="F242" s="712"/>
      <c r="G242" s="715"/>
      <c r="H242" s="684"/>
      <c r="I242" s="709"/>
      <c r="J242" s="183"/>
      <c r="K242" s="38">
        <f>+$K$13</f>
        <v>0</v>
      </c>
      <c r="L242" s="183"/>
      <c r="M242" s="38">
        <f>+$M$13</f>
        <v>0</v>
      </c>
      <c r="N242" s="690"/>
      <c r="O242" s="690"/>
      <c r="P242" s="693"/>
      <c r="Q242" s="544"/>
      <c r="R242" s="544"/>
      <c r="S242" s="671">
        <f>IF(COUNTIF(J242:K244,"CUMPLE")&gt;=1,(G242*I242),0)* (IF(N242="PRESENTÓ CERTIFICADO",1,0))* (IF(O242="ACORDE A ITEM 5.2.2 (T.R.)",1,0) )* ( IF(OR(Q242="SIN OBSERVACIÓN", Q242="REQUERIMIENTOS SUBSANADOS"),1,0)) *(IF(OR(R242="NINGUNO", R242="CUMPLEN CON LO SOLICITADO"),1,0))</f>
        <v>0</v>
      </c>
      <c r="T242" s="675"/>
      <c r="U242" s="677">
        <f>IF(COUNTIF(L242:M244,"CUMPLE")&gt;=1,1,0)</f>
        <v>0</v>
      </c>
    </row>
    <row r="243" spans="2:21" ht="23.25" hidden="1" customHeight="1">
      <c r="B243" s="652"/>
      <c r="C243" s="713"/>
      <c r="D243" s="713"/>
      <c r="E243" s="713"/>
      <c r="F243" s="713"/>
      <c r="G243" s="716"/>
      <c r="H243" s="685"/>
      <c r="I243" s="710"/>
      <c r="J243" s="183"/>
      <c r="K243" s="38">
        <f>+$K$14</f>
        <v>0</v>
      </c>
      <c r="L243" s="696"/>
      <c r="M243" s="678">
        <f>+$M$14</f>
        <v>0</v>
      </c>
      <c r="N243" s="691"/>
      <c r="O243" s="691"/>
      <c r="P243" s="694"/>
      <c r="Q243" s="567"/>
      <c r="R243" s="567"/>
      <c r="S243" s="672"/>
      <c r="T243" s="675"/>
      <c r="U243" s="677"/>
    </row>
    <row r="244" spans="2:21" ht="23.25" hidden="1" customHeight="1">
      <c r="B244" s="653"/>
      <c r="C244" s="714"/>
      <c r="D244" s="714"/>
      <c r="E244" s="714"/>
      <c r="F244" s="714"/>
      <c r="G244" s="717"/>
      <c r="H244" s="686"/>
      <c r="I244" s="711"/>
      <c r="J244" s="183"/>
      <c r="K244" s="38">
        <f>+$K$15</f>
        <v>0</v>
      </c>
      <c r="L244" s="697"/>
      <c r="M244" s="680"/>
      <c r="N244" s="692"/>
      <c r="O244" s="692"/>
      <c r="P244" s="695"/>
      <c r="Q244" s="545"/>
      <c r="R244" s="545"/>
      <c r="S244" s="673"/>
      <c r="T244" s="675"/>
      <c r="U244" s="677"/>
    </row>
    <row r="245" spans="2:21" ht="23.25" hidden="1" customHeight="1">
      <c r="B245" s="651">
        <v>5</v>
      </c>
      <c r="C245" s="654"/>
      <c r="D245" s="654"/>
      <c r="E245" s="654"/>
      <c r="F245" s="654"/>
      <c r="G245" s="681"/>
      <c r="H245" s="684"/>
      <c r="I245" s="687"/>
      <c r="J245" s="183"/>
      <c r="K245" s="38">
        <f>+$K$13</f>
        <v>0</v>
      </c>
      <c r="L245" s="183"/>
      <c r="M245" s="38">
        <f>+$M$13</f>
        <v>0</v>
      </c>
      <c r="N245" s="690"/>
      <c r="O245" s="690"/>
      <c r="P245" s="693"/>
      <c r="Q245" s="544"/>
      <c r="R245" s="544"/>
      <c r="S245" s="671">
        <f>IF(COUNTIF(J245:K247,"CUMPLE")&gt;=1,(G245*I245),0)* (IF(N245="PRESENTÓ CERTIFICADO",1,0))* (IF(O245="ACORDE A ITEM 5.2.2 (T.R.)",1,0) )* ( IF(OR(Q245="SIN OBSERVACIÓN", Q245="REQUERIMIENTOS SUBSANADOS"),1,0)) *(IF(OR(R245="NINGUNO", R245="CUMPLEN CON LO SOLICITADO"),1,0))</f>
        <v>0</v>
      </c>
      <c r="T245" s="675"/>
      <c r="U245" s="677">
        <f>IF(COUNTIF(L245:M247,"CUMPLE")&gt;=1,1,0)</f>
        <v>0</v>
      </c>
    </row>
    <row r="246" spans="2:21" ht="23.25" hidden="1" customHeight="1">
      <c r="B246" s="652"/>
      <c r="C246" s="655"/>
      <c r="D246" s="655"/>
      <c r="E246" s="655"/>
      <c r="F246" s="655"/>
      <c r="G246" s="682"/>
      <c r="H246" s="685"/>
      <c r="I246" s="688"/>
      <c r="J246" s="183"/>
      <c r="K246" s="38">
        <f>+$K$14</f>
        <v>0</v>
      </c>
      <c r="L246" s="696"/>
      <c r="M246" s="678">
        <f>+$M$14</f>
        <v>0</v>
      </c>
      <c r="N246" s="691"/>
      <c r="O246" s="691"/>
      <c r="P246" s="694"/>
      <c r="Q246" s="567"/>
      <c r="R246" s="567"/>
      <c r="S246" s="672"/>
      <c r="T246" s="675"/>
      <c r="U246" s="677"/>
    </row>
    <row r="247" spans="2:21" ht="23.25" hidden="1" customHeight="1">
      <c r="B247" s="653"/>
      <c r="C247" s="656"/>
      <c r="D247" s="656"/>
      <c r="E247" s="656"/>
      <c r="F247" s="656"/>
      <c r="G247" s="683"/>
      <c r="H247" s="686"/>
      <c r="I247" s="689"/>
      <c r="J247" s="183"/>
      <c r="K247" s="38">
        <f>+$K$15</f>
        <v>0</v>
      </c>
      <c r="L247" s="697"/>
      <c r="M247" s="680"/>
      <c r="N247" s="692"/>
      <c r="O247" s="692"/>
      <c r="P247" s="695"/>
      <c r="Q247" s="545"/>
      <c r="R247" s="545"/>
      <c r="S247" s="673"/>
      <c r="T247" s="676"/>
      <c r="U247" s="677"/>
    </row>
    <row r="248" spans="2:21" ht="18" hidden="1" customHeight="1">
      <c r="B248" s="698" t="str">
        <f>IF(S249=" "," ",IF(S249&gt;=$H$6,"CUMPLE CON LA EXPERIENCIA REQUERIDA","NO CUMPLE CON LA EXPERIENCIA REQUERIDA"))</f>
        <v>NO CUMPLE CON LA EXPERIENCIA REQUERIDA</v>
      </c>
      <c r="C248" s="699"/>
      <c r="D248" s="699"/>
      <c r="E248" s="699"/>
      <c r="F248" s="699"/>
      <c r="G248" s="699"/>
      <c r="H248" s="699"/>
      <c r="I248" s="699"/>
      <c r="J248" s="699"/>
      <c r="K248" s="699"/>
      <c r="L248" s="699"/>
      <c r="M248" s="699"/>
      <c r="N248" s="699"/>
      <c r="O248" s="700"/>
      <c r="P248" s="704" t="s">
        <v>46</v>
      </c>
      <c r="Q248" s="705"/>
      <c r="R248" s="706"/>
      <c r="S248" s="44">
        <f>IF(T233="SI",SUM(S233:S247),0)</f>
        <v>0</v>
      </c>
      <c r="T248" s="707" t="str">
        <f>IF(S249=" "," ",IF(S249&gt;=$H$6,"CUMPLE","NO CUMPLE"))</f>
        <v>NO CUMPLE</v>
      </c>
      <c r="U248" s="28"/>
    </row>
    <row r="249" spans="2:21" ht="18" hidden="1" customHeight="1">
      <c r="B249" s="701"/>
      <c r="C249" s="702"/>
      <c r="D249" s="702"/>
      <c r="E249" s="702"/>
      <c r="F249" s="702"/>
      <c r="G249" s="702"/>
      <c r="H249" s="702"/>
      <c r="I249" s="702"/>
      <c r="J249" s="702"/>
      <c r="K249" s="702"/>
      <c r="L249" s="702"/>
      <c r="M249" s="702"/>
      <c r="N249" s="702"/>
      <c r="O249" s="703"/>
      <c r="P249" s="704" t="s">
        <v>47</v>
      </c>
      <c r="Q249" s="705"/>
      <c r="R249" s="706"/>
      <c r="S249" s="44">
        <f>IFERROR((S248/$P$6)," ")</f>
        <v>0</v>
      </c>
      <c r="T249" s="708"/>
      <c r="U249" s="41"/>
    </row>
    <row r="250" spans="2:21" hidden="1"/>
    <row r="251" spans="2:21" hidden="1"/>
    <row r="252" spans="2:21" ht="34" hidden="1">
      <c r="B252" s="26">
        <v>12</v>
      </c>
      <c r="C252" s="660" t="s">
        <v>25</v>
      </c>
      <c r="D252" s="661"/>
      <c r="E252" s="662"/>
      <c r="F252" s="663">
        <f>IFERROR(VLOOKUP(B252,LISTA_OFERENTES,2,FALSE)," ")</f>
        <v>0</v>
      </c>
      <c r="G252" s="664"/>
      <c r="H252" s="664"/>
      <c r="I252" s="664"/>
      <c r="J252" s="664"/>
      <c r="K252" s="664"/>
      <c r="L252" s="664"/>
      <c r="M252" s="664"/>
      <c r="N252" s="664"/>
      <c r="O252" s="665"/>
      <c r="P252" s="666" t="s">
        <v>26</v>
      </c>
      <c r="Q252" s="667"/>
      <c r="R252" s="668"/>
      <c r="S252" s="27">
        <f>5-(INT(COUNTBLANK(C255:C269))-10)</f>
        <v>0</v>
      </c>
      <c r="T252" s="28"/>
    </row>
    <row r="253" spans="2:21" ht="39.75" hidden="1" customHeight="1">
      <c r="B253" s="669" t="s">
        <v>27</v>
      </c>
      <c r="C253" s="643" t="s">
        <v>28</v>
      </c>
      <c r="D253" s="643" t="s">
        <v>29</v>
      </c>
      <c r="E253" s="643" t="s">
        <v>30</v>
      </c>
      <c r="F253" s="643" t="s">
        <v>31</v>
      </c>
      <c r="G253" s="643" t="s">
        <v>32</v>
      </c>
      <c r="H253" s="643" t="s">
        <v>33</v>
      </c>
      <c r="I253" s="643" t="s">
        <v>34</v>
      </c>
      <c r="J253" s="657" t="s">
        <v>35</v>
      </c>
      <c r="K253" s="658"/>
      <c r="L253" s="658"/>
      <c r="M253" s="659"/>
      <c r="N253" s="643" t="s">
        <v>36</v>
      </c>
      <c r="O253" s="643" t="s">
        <v>37</v>
      </c>
      <c r="P253" s="657" t="s">
        <v>38</v>
      </c>
      <c r="Q253" s="659"/>
      <c r="R253" s="643" t="s">
        <v>39</v>
      </c>
      <c r="S253" s="643" t="s">
        <v>40</v>
      </c>
      <c r="T253" s="643" t="str">
        <f>+$T$11</f>
        <v>Cumple con el requerimiento del numeral 6.2.2.2.1</v>
      </c>
      <c r="U253" s="643" t="str">
        <f>+$U$11</f>
        <v xml:space="preserve">VERIFICACIÓN CONDICIÓN DE EXPERIENCIA  </v>
      </c>
    </row>
    <row r="254" spans="2:21" ht="51.75" hidden="1" customHeight="1">
      <c r="B254" s="670"/>
      <c r="C254" s="644"/>
      <c r="D254" s="644"/>
      <c r="E254" s="644"/>
      <c r="F254" s="644"/>
      <c r="G254" s="644"/>
      <c r="H254" s="644"/>
      <c r="I254" s="644"/>
      <c r="J254" s="648" t="s">
        <v>43</v>
      </c>
      <c r="K254" s="649"/>
      <c r="L254" s="649"/>
      <c r="M254" s="650"/>
      <c r="N254" s="644"/>
      <c r="O254" s="644"/>
      <c r="P254" s="33" t="s">
        <v>10</v>
      </c>
      <c r="Q254" s="33" t="s">
        <v>44</v>
      </c>
      <c r="R254" s="644"/>
      <c r="S254" s="644"/>
      <c r="T254" s="644"/>
      <c r="U254" s="644"/>
    </row>
    <row r="255" spans="2:21" ht="28.5" hidden="1" customHeight="1">
      <c r="B255" s="651">
        <v>1</v>
      </c>
      <c r="C255" s="654"/>
      <c r="D255" s="654"/>
      <c r="E255" s="654"/>
      <c r="F255" s="654"/>
      <c r="G255" s="681"/>
      <c r="H255" s="684"/>
      <c r="I255" s="687"/>
      <c r="J255" s="183"/>
      <c r="K255" s="38">
        <f>+$K$13</f>
        <v>0</v>
      </c>
      <c r="L255" s="183"/>
      <c r="M255" s="38">
        <f>+$M$13</f>
        <v>0</v>
      </c>
      <c r="N255" s="690"/>
      <c r="O255" s="690"/>
      <c r="P255" s="693"/>
      <c r="Q255" s="544"/>
      <c r="R255" s="544"/>
      <c r="S255" s="671">
        <f>IF(COUNTIF(J255:K257,"CUMPLE")&gt;=1,(G255*I255),0)* (IF(N255="PRESENTÓ CERTIFICADO",1,0))* (IF(O255="ACORDE A ITEM 5.2.2 (T.R.)",1,0) )* ( IF(OR(Q255="SIN OBSERVACIÓN", Q255="REQUERIMIENTOS SUBSANADOS"),1,0)) *(IF(OR(R255="NINGUNO", R255="CUMPLEN CON LO SOLICITADO"),1,0))</f>
        <v>0</v>
      </c>
      <c r="T255" s="674" t="s">
        <v>155</v>
      </c>
      <c r="U255" s="677">
        <f>IF(COUNTIF(J255:K257,"CUMPLE")&gt;=1,1,0)</f>
        <v>0</v>
      </c>
    </row>
    <row r="256" spans="2:21" ht="28.5" hidden="1" customHeight="1">
      <c r="B256" s="652"/>
      <c r="C256" s="655"/>
      <c r="D256" s="655"/>
      <c r="E256" s="655"/>
      <c r="F256" s="655"/>
      <c r="G256" s="682"/>
      <c r="H256" s="685"/>
      <c r="I256" s="688"/>
      <c r="J256" s="183"/>
      <c r="K256" s="38">
        <f>+$K$14</f>
        <v>0</v>
      </c>
      <c r="L256" s="696"/>
      <c r="M256" s="678">
        <f>+$M$14</f>
        <v>0</v>
      </c>
      <c r="N256" s="691"/>
      <c r="O256" s="691"/>
      <c r="P256" s="694"/>
      <c r="Q256" s="567"/>
      <c r="R256" s="567"/>
      <c r="S256" s="672"/>
      <c r="T256" s="675"/>
      <c r="U256" s="677"/>
    </row>
    <row r="257" spans="2:21" ht="28.5" hidden="1" customHeight="1">
      <c r="B257" s="653"/>
      <c r="C257" s="656"/>
      <c r="D257" s="656"/>
      <c r="E257" s="656"/>
      <c r="F257" s="656"/>
      <c r="G257" s="683"/>
      <c r="H257" s="686"/>
      <c r="I257" s="689"/>
      <c r="J257" s="183"/>
      <c r="K257" s="38">
        <f>+$K$15</f>
        <v>0</v>
      </c>
      <c r="L257" s="697"/>
      <c r="M257" s="680"/>
      <c r="N257" s="692"/>
      <c r="O257" s="692"/>
      <c r="P257" s="695"/>
      <c r="Q257" s="545"/>
      <c r="R257" s="545"/>
      <c r="S257" s="673"/>
      <c r="T257" s="675"/>
      <c r="U257" s="677"/>
    </row>
    <row r="258" spans="2:21" ht="28.5" hidden="1" customHeight="1">
      <c r="B258" s="651">
        <v>2</v>
      </c>
      <c r="C258" s="712"/>
      <c r="D258" s="712"/>
      <c r="E258" s="712"/>
      <c r="F258" s="712"/>
      <c r="G258" s="715"/>
      <c r="H258" s="684"/>
      <c r="I258" s="687"/>
      <c r="J258" s="183"/>
      <c r="K258" s="38">
        <f>+$K$13</f>
        <v>0</v>
      </c>
      <c r="L258" s="183"/>
      <c r="M258" s="38">
        <f>+$M$13</f>
        <v>0</v>
      </c>
      <c r="N258" s="690"/>
      <c r="O258" s="690"/>
      <c r="P258" s="693"/>
      <c r="Q258" s="544"/>
      <c r="R258" s="544"/>
      <c r="S258" s="671">
        <f>IF(COUNTIF(J258:K260,"CUMPLE")&gt;=1,(G258*I258),0)* (IF(N258="PRESENTÓ CERTIFICADO",1,0))* (IF(O258="ACORDE A ITEM 5.2.2 (T.R.)",1,0) )* ( IF(OR(Q258="SIN OBSERVACIÓN", Q258="REQUERIMIENTOS SUBSANADOS"),1,0)) *(IF(OR(R258="NINGUNO", R258="CUMPLEN CON LO SOLICITADO"),1,0))</f>
        <v>0</v>
      </c>
      <c r="T258" s="675"/>
      <c r="U258" s="677">
        <f t="shared" ref="U258" si="50">IF(COUNTIF(J258:K260,"CUMPLE")&gt;=1,1,0)</f>
        <v>0</v>
      </c>
    </row>
    <row r="259" spans="2:21" ht="28.5" hidden="1" customHeight="1">
      <c r="B259" s="652"/>
      <c r="C259" s="713"/>
      <c r="D259" s="713"/>
      <c r="E259" s="713"/>
      <c r="F259" s="713"/>
      <c r="G259" s="716"/>
      <c r="H259" s="685"/>
      <c r="I259" s="688"/>
      <c r="J259" s="183"/>
      <c r="K259" s="38">
        <f>+$K$14</f>
        <v>0</v>
      </c>
      <c r="L259" s="696"/>
      <c r="M259" s="678">
        <f>+$M$14</f>
        <v>0</v>
      </c>
      <c r="N259" s="691"/>
      <c r="O259" s="691"/>
      <c r="P259" s="694"/>
      <c r="Q259" s="567"/>
      <c r="R259" s="567"/>
      <c r="S259" s="672"/>
      <c r="T259" s="675"/>
      <c r="U259" s="677"/>
    </row>
    <row r="260" spans="2:21" ht="28.5" hidden="1" customHeight="1">
      <c r="B260" s="653"/>
      <c r="C260" s="714"/>
      <c r="D260" s="714"/>
      <c r="E260" s="714"/>
      <c r="F260" s="714"/>
      <c r="G260" s="717"/>
      <c r="H260" s="686"/>
      <c r="I260" s="689"/>
      <c r="J260" s="183"/>
      <c r="K260" s="38">
        <f>+$K$15</f>
        <v>0</v>
      </c>
      <c r="L260" s="697"/>
      <c r="M260" s="680"/>
      <c r="N260" s="692"/>
      <c r="O260" s="692"/>
      <c r="P260" s="695"/>
      <c r="Q260" s="545"/>
      <c r="R260" s="545"/>
      <c r="S260" s="673"/>
      <c r="T260" s="675"/>
      <c r="U260" s="677"/>
    </row>
    <row r="261" spans="2:21" ht="28.5" hidden="1" customHeight="1">
      <c r="B261" s="651">
        <v>3</v>
      </c>
      <c r="C261" s="654"/>
      <c r="D261" s="654"/>
      <c r="E261" s="654"/>
      <c r="F261" s="654"/>
      <c r="G261" s="681"/>
      <c r="H261" s="684"/>
      <c r="I261" s="687"/>
      <c r="J261" s="183"/>
      <c r="K261" s="38">
        <f>+$K$13</f>
        <v>0</v>
      </c>
      <c r="L261" s="183"/>
      <c r="M261" s="38">
        <f>+$M$13</f>
        <v>0</v>
      </c>
      <c r="N261" s="690"/>
      <c r="O261" s="690"/>
      <c r="P261" s="693"/>
      <c r="Q261" s="544"/>
      <c r="R261" s="544"/>
      <c r="S261" s="671">
        <f>IF(COUNTIF(J261:K263,"CUMPLE")&gt;=1,(G261*I261),0)* (IF(N261="PRESENTÓ CERTIFICADO",1,0))* (IF(O261="ACORDE A ITEM 5.2.2 (T.R.)",1,0) )* ( IF(OR(Q261="SIN OBSERVACIÓN", Q261="REQUERIMIENTOS SUBSANADOS"),1,0)) *(IF(OR(R261="NINGUNO", R261="CUMPLEN CON LO SOLICITADO"),1,0))</f>
        <v>0</v>
      </c>
      <c r="T261" s="675"/>
      <c r="U261" s="677">
        <f t="shared" ref="U261" si="51">IF(COUNTIF(J261:K263,"CUMPLE")&gt;=1,1,0)</f>
        <v>0</v>
      </c>
    </row>
    <row r="262" spans="2:21" ht="28.5" hidden="1" customHeight="1">
      <c r="B262" s="652"/>
      <c r="C262" s="655"/>
      <c r="D262" s="655"/>
      <c r="E262" s="655"/>
      <c r="F262" s="655"/>
      <c r="G262" s="682"/>
      <c r="H262" s="685"/>
      <c r="I262" s="688"/>
      <c r="J262" s="183"/>
      <c r="K262" s="38">
        <f>+$K$14</f>
        <v>0</v>
      </c>
      <c r="L262" s="696"/>
      <c r="M262" s="678">
        <f>+$M$14</f>
        <v>0</v>
      </c>
      <c r="N262" s="691"/>
      <c r="O262" s="691"/>
      <c r="P262" s="694"/>
      <c r="Q262" s="567"/>
      <c r="R262" s="567"/>
      <c r="S262" s="672"/>
      <c r="T262" s="675"/>
      <c r="U262" s="677"/>
    </row>
    <row r="263" spans="2:21" ht="28.5" hidden="1" customHeight="1">
      <c r="B263" s="653"/>
      <c r="C263" s="656"/>
      <c r="D263" s="656"/>
      <c r="E263" s="656"/>
      <c r="F263" s="656"/>
      <c r="G263" s="683"/>
      <c r="H263" s="686"/>
      <c r="I263" s="689"/>
      <c r="J263" s="183"/>
      <c r="K263" s="38">
        <f>+$K$15</f>
        <v>0</v>
      </c>
      <c r="L263" s="697"/>
      <c r="M263" s="680"/>
      <c r="N263" s="692"/>
      <c r="O263" s="692"/>
      <c r="P263" s="695"/>
      <c r="Q263" s="545"/>
      <c r="R263" s="545"/>
      <c r="S263" s="673"/>
      <c r="T263" s="675"/>
      <c r="U263" s="677"/>
    </row>
    <row r="264" spans="2:21" ht="28.5" hidden="1" customHeight="1">
      <c r="B264" s="651">
        <v>4</v>
      </c>
      <c r="C264" s="712"/>
      <c r="D264" s="712"/>
      <c r="E264" s="712"/>
      <c r="F264" s="712"/>
      <c r="G264" s="715"/>
      <c r="H264" s="684"/>
      <c r="I264" s="687"/>
      <c r="J264" s="183"/>
      <c r="K264" s="38">
        <f>+$K$13</f>
        <v>0</v>
      </c>
      <c r="L264" s="183"/>
      <c r="M264" s="38">
        <f>+$M$13</f>
        <v>0</v>
      </c>
      <c r="N264" s="690"/>
      <c r="O264" s="690"/>
      <c r="P264" s="693"/>
      <c r="Q264" s="544"/>
      <c r="R264" s="544"/>
      <c r="S264" s="671">
        <f>IF(COUNTIF(J264:K266,"CUMPLE")&gt;=1,(G264*I264),0)* (IF(N264="PRESENTÓ CERTIFICADO",1,0))* (IF(O264="ACORDE A ITEM 5.2.2 (T.R.)",1,0) )* ( IF(OR(Q264="SIN OBSERVACIÓN", Q264="REQUERIMIENTOS SUBSANADOS"),1,0)) *(IF(OR(R264="NINGUNO", R264="CUMPLEN CON LO SOLICITADO"),1,0))</f>
        <v>0</v>
      </c>
      <c r="T264" s="675"/>
      <c r="U264" s="677">
        <f t="shared" ref="U264" si="52">IF(COUNTIF(J264:K266,"CUMPLE")&gt;=1,1,0)</f>
        <v>0</v>
      </c>
    </row>
    <row r="265" spans="2:21" ht="28.5" hidden="1" customHeight="1">
      <c r="B265" s="652"/>
      <c r="C265" s="713"/>
      <c r="D265" s="713"/>
      <c r="E265" s="713"/>
      <c r="F265" s="713"/>
      <c r="G265" s="716"/>
      <c r="H265" s="685"/>
      <c r="I265" s="688"/>
      <c r="J265" s="183"/>
      <c r="K265" s="38">
        <f>+$K$14</f>
        <v>0</v>
      </c>
      <c r="L265" s="696"/>
      <c r="M265" s="678">
        <f>+$M$14</f>
        <v>0</v>
      </c>
      <c r="N265" s="691"/>
      <c r="O265" s="691"/>
      <c r="P265" s="694"/>
      <c r="Q265" s="567"/>
      <c r="R265" s="567"/>
      <c r="S265" s="672"/>
      <c r="T265" s="675"/>
      <c r="U265" s="677"/>
    </row>
    <row r="266" spans="2:21" ht="28.5" hidden="1" customHeight="1">
      <c r="B266" s="653"/>
      <c r="C266" s="714"/>
      <c r="D266" s="714"/>
      <c r="E266" s="714"/>
      <c r="F266" s="714"/>
      <c r="G266" s="717"/>
      <c r="H266" s="686"/>
      <c r="I266" s="689"/>
      <c r="J266" s="183"/>
      <c r="K266" s="38">
        <f>+$K$15</f>
        <v>0</v>
      </c>
      <c r="L266" s="697"/>
      <c r="M266" s="680"/>
      <c r="N266" s="692"/>
      <c r="O266" s="692"/>
      <c r="P266" s="695"/>
      <c r="Q266" s="545"/>
      <c r="R266" s="545"/>
      <c r="S266" s="673"/>
      <c r="T266" s="675"/>
      <c r="U266" s="677"/>
    </row>
    <row r="267" spans="2:21" ht="28.5" hidden="1" customHeight="1">
      <c r="B267" s="651">
        <v>5</v>
      </c>
      <c r="C267" s="654"/>
      <c r="D267" s="654"/>
      <c r="E267" s="654"/>
      <c r="F267" s="654"/>
      <c r="G267" s="681"/>
      <c r="H267" s="684"/>
      <c r="I267" s="687"/>
      <c r="J267" s="183"/>
      <c r="K267" s="38">
        <f>+$K$13</f>
        <v>0</v>
      </c>
      <c r="L267" s="183"/>
      <c r="M267" s="38">
        <f>+$M$13</f>
        <v>0</v>
      </c>
      <c r="N267" s="690"/>
      <c r="O267" s="690"/>
      <c r="P267" s="693"/>
      <c r="Q267" s="544"/>
      <c r="R267" s="544"/>
      <c r="S267" s="671">
        <f>IF(COUNTIF(J267:K269,"CUMPLE")&gt;=1,(G267*I267),0)* (IF(N267="PRESENTÓ CERTIFICADO",1,0))* (IF(O267="ACORDE A ITEM 5.2.2 (T.R.)",1,0) )* ( IF(OR(Q267="SIN OBSERVACIÓN", Q267="REQUERIMIENTOS SUBSANADOS"),1,0)) *(IF(OR(R267="NINGUNO", R267="CUMPLEN CON LO SOLICITADO"),1,0))</f>
        <v>0</v>
      </c>
      <c r="T267" s="675"/>
      <c r="U267" s="677">
        <f t="shared" ref="U267" si="53">IF(COUNTIF(J267:K269,"CUMPLE")&gt;=1,1,0)</f>
        <v>0</v>
      </c>
    </row>
    <row r="268" spans="2:21" ht="28.5" hidden="1" customHeight="1">
      <c r="B268" s="652"/>
      <c r="C268" s="655"/>
      <c r="D268" s="655"/>
      <c r="E268" s="655"/>
      <c r="F268" s="655"/>
      <c r="G268" s="682"/>
      <c r="H268" s="685"/>
      <c r="I268" s="688"/>
      <c r="J268" s="183"/>
      <c r="K268" s="38">
        <f>+$K$14</f>
        <v>0</v>
      </c>
      <c r="L268" s="696"/>
      <c r="M268" s="678">
        <f>+$M$14</f>
        <v>0</v>
      </c>
      <c r="N268" s="691"/>
      <c r="O268" s="691"/>
      <c r="P268" s="694"/>
      <c r="Q268" s="567"/>
      <c r="R268" s="567"/>
      <c r="S268" s="672"/>
      <c r="T268" s="675"/>
      <c r="U268" s="677"/>
    </row>
    <row r="269" spans="2:21" ht="28.5" hidden="1" customHeight="1">
      <c r="B269" s="653"/>
      <c r="C269" s="656"/>
      <c r="D269" s="656"/>
      <c r="E269" s="656"/>
      <c r="F269" s="656"/>
      <c r="G269" s="683"/>
      <c r="H269" s="686"/>
      <c r="I269" s="689"/>
      <c r="J269" s="183"/>
      <c r="K269" s="38">
        <f>+$K$15</f>
        <v>0</v>
      </c>
      <c r="L269" s="697"/>
      <c r="M269" s="680"/>
      <c r="N269" s="692"/>
      <c r="O269" s="692"/>
      <c r="P269" s="695"/>
      <c r="Q269" s="545"/>
      <c r="R269" s="545"/>
      <c r="S269" s="673"/>
      <c r="T269" s="676"/>
      <c r="U269" s="677"/>
    </row>
    <row r="270" spans="2:21" ht="18" hidden="1" customHeight="1">
      <c r="B270" s="698" t="str">
        <f>IF(S271=" "," ",IF(S271&gt;=$H$6,"CUMPLE CON LA EXPERIENCIA REQUERIDA","NO CUMPLE CON LA EXPERIENCIA REQUERIDA"))</f>
        <v>NO CUMPLE CON LA EXPERIENCIA REQUERIDA</v>
      </c>
      <c r="C270" s="699"/>
      <c r="D270" s="699"/>
      <c r="E270" s="699"/>
      <c r="F270" s="699"/>
      <c r="G270" s="699"/>
      <c r="H270" s="699"/>
      <c r="I270" s="699"/>
      <c r="J270" s="699"/>
      <c r="K270" s="699"/>
      <c r="L270" s="699"/>
      <c r="M270" s="699"/>
      <c r="N270" s="699"/>
      <c r="O270" s="700"/>
      <c r="P270" s="704" t="s">
        <v>46</v>
      </c>
      <c r="Q270" s="705"/>
      <c r="R270" s="706"/>
      <c r="S270" s="44">
        <f>IF(T255="SI",SUM(S255:S269),0)</f>
        <v>0</v>
      </c>
      <c r="T270" s="707" t="str">
        <f>IF(S271=" "," ",IF(S271&gt;=$H$6,"CUMPLE","NO CUMPLE"))</f>
        <v>NO CUMPLE</v>
      </c>
      <c r="U270" s="28"/>
    </row>
    <row r="271" spans="2:21" ht="18" hidden="1" customHeight="1">
      <c r="B271" s="701"/>
      <c r="C271" s="702"/>
      <c r="D271" s="702"/>
      <c r="E271" s="702"/>
      <c r="F271" s="702"/>
      <c r="G271" s="702"/>
      <c r="H271" s="702"/>
      <c r="I271" s="702"/>
      <c r="J271" s="702"/>
      <c r="K271" s="702"/>
      <c r="L271" s="702"/>
      <c r="M271" s="702"/>
      <c r="N271" s="702"/>
      <c r="O271" s="703"/>
      <c r="P271" s="704" t="s">
        <v>47</v>
      </c>
      <c r="Q271" s="705"/>
      <c r="R271" s="706"/>
      <c r="S271" s="44">
        <f>IFERROR((S270/$P$6)," ")</f>
        <v>0</v>
      </c>
      <c r="T271" s="708"/>
      <c r="U271" s="41"/>
    </row>
    <row r="272" spans="2:21" hidden="1"/>
    <row r="273" spans="2:21" hidden="1"/>
    <row r="274" spans="2:21" ht="34" hidden="1">
      <c r="B274" s="26">
        <v>13</v>
      </c>
      <c r="C274" s="660" t="s">
        <v>25</v>
      </c>
      <c r="D274" s="661"/>
      <c r="E274" s="662"/>
      <c r="F274" s="663">
        <f>IFERROR(VLOOKUP(B274,LISTA_OFERENTES,2,FALSE)," ")</f>
        <v>0</v>
      </c>
      <c r="G274" s="664"/>
      <c r="H274" s="664"/>
      <c r="I274" s="664"/>
      <c r="J274" s="664"/>
      <c r="K274" s="664"/>
      <c r="L274" s="664"/>
      <c r="M274" s="664"/>
      <c r="N274" s="664"/>
      <c r="O274" s="665"/>
      <c r="P274" s="666" t="s">
        <v>26</v>
      </c>
      <c r="Q274" s="667"/>
      <c r="R274" s="668"/>
      <c r="S274" s="27">
        <f>5-(INT(COUNTBLANK(C277:C291))-10)</f>
        <v>0</v>
      </c>
      <c r="T274" s="28"/>
    </row>
    <row r="275" spans="2:21" ht="46.5" hidden="1" customHeight="1">
      <c r="B275" s="669" t="s">
        <v>27</v>
      </c>
      <c r="C275" s="643" t="s">
        <v>28</v>
      </c>
      <c r="D275" s="643" t="s">
        <v>29</v>
      </c>
      <c r="E275" s="643" t="s">
        <v>30</v>
      </c>
      <c r="F275" s="643" t="s">
        <v>31</v>
      </c>
      <c r="G275" s="643" t="s">
        <v>32</v>
      </c>
      <c r="H275" s="643" t="s">
        <v>33</v>
      </c>
      <c r="I275" s="643" t="s">
        <v>34</v>
      </c>
      <c r="J275" s="657" t="s">
        <v>35</v>
      </c>
      <c r="K275" s="658"/>
      <c r="L275" s="658"/>
      <c r="M275" s="659"/>
      <c r="N275" s="643" t="s">
        <v>36</v>
      </c>
      <c r="O275" s="643" t="s">
        <v>37</v>
      </c>
      <c r="P275" s="657" t="s">
        <v>38</v>
      </c>
      <c r="Q275" s="659"/>
      <c r="R275" s="643" t="s">
        <v>39</v>
      </c>
      <c r="S275" s="643" t="s">
        <v>40</v>
      </c>
      <c r="T275" s="643" t="str">
        <f>+$T$11</f>
        <v>Cumple con el requerimiento del numeral 6.2.2.2.1</v>
      </c>
      <c r="U275" s="643" t="str">
        <f>+$U$11</f>
        <v xml:space="preserve">VERIFICACIÓN CONDICIÓN DE EXPERIENCIA  </v>
      </c>
    </row>
    <row r="276" spans="2:21" ht="46.5" hidden="1" customHeight="1">
      <c r="B276" s="670"/>
      <c r="C276" s="644"/>
      <c r="D276" s="644"/>
      <c r="E276" s="644"/>
      <c r="F276" s="644"/>
      <c r="G276" s="644"/>
      <c r="H276" s="644"/>
      <c r="I276" s="644"/>
      <c r="J276" s="648" t="s">
        <v>43</v>
      </c>
      <c r="K276" s="649"/>
      <c r="L276" s="649"/>
      <c r="M276" s="650"/>
      <c r="N276" s="644"/>
      <c r="O276" s="644"/>
      <c r="P276" s="33" t="s">
        <v>10</v>
      </c>
      <c r="Q276" s="33" t="s">
        <v>44</v>
      </c>
      <c r="R276" s="644"/>
      <c r="S276" s="644"/>
      <c r="T276" s="644"/>
      <c r="U276" s="644"/>
    </row>
    <row r="277" spans="2:21" ht="29.25" hidden="1" customHeight="1">
      <c r="B277" s="651">
        <v>1</v>
      </c>
      <c r="C277" s="654"/>
      <c r="D277" s="654"/>
      <c r="E277" s="654"/>
      <c r="F277" s="654"/>
      <c r="G277" s="681"/>
      <c r="H277" s="684"/>
      <c r="I277" s="687"/>
      <c r="J277" s="183"/>
      <c r="K277" s="38">
        <f>+$K$13</f>
        <v>0</v>
      </c>
      <c r="L277" s="183"/>
      <c r="M277" s="38">
        <f>+$M$13</f>
        <v>0</v>
      </c>
      <c r="N277" s="690"/>
      <c r="O277" s="690"/>
      <c r="P277" s="693"/>
      <c r="Q277" s="544"/>
      <c r="R277" s="544"/>
      <c r="S277" s="671">
        <f>IF(COUNTIF(J277:K279,"CUMPLE")&gt;=1,(G277*I277),0)* (IF(N277="PRESENTÓ CERTIFICADO",1,0))* (IF(O277="ACORDE A ITEM 5.2.2 (T.R.)",1,0) )* ( IF(OR(Q277="SIN OBSERVACIÓN", Q277="REQUERIMIENTOS SUBSANADOS"),1,0)) *(IF(OR(R277="NINGUNO", R277="CUMPLEN CON LO SOLICITADO"),1,0))</f>
        <v>0</v>
      </c>
      <c r="T277" s="674"/>
      <c r="U277" s="677">
        <f>IF(COUNTIF(J277:K279,"CUMPLE")&gt;=1,1,0)</f>
        <v>0</v>
      </c>
    </row>
    <row r="278" spans="2:21" ht="29.25" hidden="1" customHeight="1">
      <c r="B278" s="652"/>
      <c r="C278" s="655"/>
      <c r="D278" s="655"/>
      <c r="E278" s="655"/>
      <c r="F278" s="655"/>
      <c r="G278" s="682"/>
      <c r="H278" s="685"/>
      <c r="I278" s="688"/>
      <c r="J278" s="183"/>
      <c r="K278" s="38">
        <f>+$K$14</f>
        <v>0</v>
      </c>
      <c r="L278" s="696"/>
      <c r="M278" s="678">
        <f>+$M$14</f>
        <v>0</v>
      </c>
      <c r="N278" s="691"/>
      <c r="O278" s="691"/>
      <c r="P278" s="694"/>
      <c r="Q278" s="567"/>
      <c r="R278" s="567"/>
      <c r="S278" s="672"/>
      <c r="T278" s="675"/>
      <c r="U278" s="677"/>
    </row>
    <row r="279" spans="2:21" ht="29.25" hidden="1" customHeight="1">
      <c r="B279" s="653"/>
      <c r="C279" s="656"/>
      <c r="D279" s="656"/>
      <c r="E279" s="656"/>
      <c r="F279" s="656"/>
      <c r="G279" s="683"/>
      <c r="H279" s="686"/>
      <c r="I279" s="689"/>
      <c r="J279" s="183"/>
      <c r="K279" s="38">
        <f>+$K$15</f>
        <v>0</v>
      </c>
      <c r="L279" s="697"/>
      <c r="M279" s="680"/>
      <c r="N279" s="692"/>
      <c r="O279" s="692"/>
      <c r="P279" s="695"/>
      <c r="Q279" s="545"/>
      <c r="R279" s="545"/>
      <c r="S279" s="673"/>
      <c r="T279" s="675"/>
      <c r="U279" s="677"/>
    </row>
    <row r="280" spans="2:21" ht="29.25" hidden="1" customHeight="1">
      <c r="B280" s="651">
        <v>2</v>
      </c>
      <c r="C280" s="712"/>
      <c r="D280" s="712"/>
      <c r="E280" s="712"/>
      <c r="F280" s="712"/>
      <c r="G280" s="715"/>
      <c r="H280" s="684"/>
      <c r="I280" s="709"/>
      <c r="J280" s="183"/>
      <c r="K280" s="38">
        <f>+$K$13</f>
        <v>0</v>
      </c>
      <c r="L280" s="183"/>
      <c r="M280" s="38">
        <f>+$M$13</f>
        <v>0</v>
      </c>
      <c r="N280" s="690"/>
      <c r="O280" s="690"/>
      <c r="P280" s="693"/>
      <c r="Q280" s="544"/>
      <c r="R280" s="544"/>
      <c r="S280" s="671">
        <f>IF(COUNTIF(J280:K282,"CUMPLE")&gt;=1,(G280*I280),0)* (IF(N280="PRESENTÓ CERTIFICADO",1,0))* (IF(O280="ACORDE A ITEM 5.2.2 (T.R.)",1,0) )* ( IF(OR(Q280="SIN OBSERVACIÓN", Q280="REQUERIMIENTOS SUBSANADOS"),1,0)) *(IF(OR(R280="NINGUNO", R280="CUMPLEN CON LO SOLICITADO"),1,0))</f>
        <v>0</v>
      </c>
      <c r="T280" s="675"/>
      <c r="U280" s="677">
        <f t="shared" ref="U280" si="54">IF(COUNTIF(J280:K282,"CUMPLE")&gt;=1,1,0)</f>
        <v>0</v>
      </c>
    </row>
    <row r="281" spans="2:21" ht="29.25" hidden="1" customHeight="1">
      <c r="B281" s="652"/>
      <c r="C281" s="713"/>
      <c r="D281" s="713"/>
      <c r="E281" s="713"/>
      <c r="F281" s="713"/>
      <c r="G281" s="716"/>
      <c r="H281" s="685"/>
      <c r="I281" s="710"/>
      <c r="J281" s="183"/>
      <c r="K281" s="38">
        <f>+$K$14</f>
        <v>0</v>
      </c>
      <c r="L281" s="696"/>
      <c r="M281" s="678">
        <f>+$M$14</f>
        <v>0</v>
      </c>
      <c r="N281" s="691"/>
      <c r="O281" s="691"/>
      <c r="P281" s="694"/>
      <c r="Q281" s="567"/>
      <c r="R281" s="567"/>
      <c r="S281" s="672"/>
      <c r="T281" s="675"/>
      <c r="U281" s="677"/>
    </row>
    <row r="282" spans="2:21" ht="29.25" hidden="1" customHeight="1">
      <c r="B282" s="653"/>
      <c r="C282" s="714"/>
      <c r="D282" s="714"/>
      <c r="E282" s="714"/>
      <c r="F282" s="714"/>
      <c r="G282" s="717"/>
      <c r="H282" s="686"/>
      <c r="I282" s="711"/>
      <c r="J282" s="183"/>
      <c r="K282" s="38">
        <f>+$K$15</f>
        <v>0</v>
      </c>
      <c r="L282" s="697"/>
      <c r="M282" s="680"/>
      <c r="N282" s="692"/>
      <c r="O282" s="692"/>
      <c r="P282" s="695"/>
      <c r="Q282" s="545"/>
      <c r="R282" s="545"/>
      <c r="S282" s="673"/>
      <c r="T282" s="675"/>
      <c r="U282" s="677"/>
    </row>
    <row r="283" spans="2:21" ht="29.25" hidden="1" customHeight="1">
      <c r="B283" s="651">
        <v>3</v>
      </c>
      <c r="C283" s="654"/>
      <c r="D283" s="654"/>
      <c r="E283" s="654"/>
      <c r="F283" s="654"/>
      <c r="G283" s="681"/>
      <c r="H283" s="684"/>
      <c r="I283" s="687"/>
      <c r="J283" s="183"/>
      <c r="K283" s="38">
        <f>+$K$13</f>
        <v>0</v>
      </c>
      <c r="L283" s="183"/>
      <c r="M283" s="38">
        <f>+$M$13</f>
        <v>0</v>
      </c>
      <c r="N283" s="690"/>
      <c r="O283" s="690"/>
      <c r="P283" s="693"/>
      <c r="Q283" s="544"/>
      <c r="R283" s="544"/>
      <c r="S283" s="671">
        <f>IF(COUNTIF(J283:K285,"CUMPLE")&gt;=1,(G283*I283),0)* (IF(N283="PRESENTÓ CERTIFICADO",1,0))* (IF(O283="ACORDE A ITEM 5.2.2 (T.R.)",1,0) )* ( IF(OR(Q283="SIN OBSERVACIÓN", Q283="REQUERIMIENTOS SUBSANADOS"),1,0)) *(IF(OR(R283="NINGUNO", R283="CUMPLEN CON LO SOLICITADO"),1,0))</f>
        <v>0</v>
      </c>
      <c r="T283" s="675"/>
      <c r="U283" s="677">
        <f t="shared" ref="U283" si="55">IF(COUNTIF(J283:K285,"CUMPLE")&gt;=1,1,0)</f>
        <v>0</v>
      </c>
    </row>
    <row r="284" spans="2:21" ht="29.25" hidden="1" customHeight="1">
      <c r="B284" s="652"/>
      <c r="C284" s="655"/>
      <c r="D284" s="655"/>
      <c r="E284" s="655"/>
      <c r="F284" s="655"/>
      <c r="G284" s="682"/>
      <c r="H284" s="685"/>
      <c r="I284" s="688"/>
      <c r="J284" s="183"/>
      <c r="K284" s="38">
        <f>+$K$14</f>
        <v>0</v>
      </c>
      <c r="L284" s="696"/>
      <c r="M284" s="678">
        <f>+$M$14</f>
        <v>0</v>
      </c>
      <c r="N284" s="691"/>
      <c r="O284" s="691"/>
      <c r="P284" s="694"/>
      <c r="Q284" s="567"/>
      <c r="R284" s="567"/>
      <c r="S284" s="672"/>
      <c r="T284" s="675"/>
      <c r="U284" s="677"/>
    </row>
    <row r="285" spans="2:21" ht="29.25" hidden="1" customHeight="1">
      <c r="B285" s="653"/>
      <c r="C285" s="656"/>
      <c r="D285" s="656"/>
      <c r="E285" s="656"/>
      <c r="F285" s="656"/>
      <c r="G285" s="683"/>
      <c r="H285" s="686"/>
      <c r="I285" s="689"/>
      <c r="J285" s="183"/>
      <c r="K285" s="38">
        <f>+$K$15</f>
        <v>0</v>
      </c>
      <c r="L285" s="697"/>
      <c r="M285" s="680"/>
      <c r="N285" s="692"/>
      <c r="O285" s="692"/>
      <c r="P285" s="695"/>
      <c r="Q285" s="545"/>
      <c r="R285" s="545"/>
      <c r="S285" s="673"/>
      <c r="T285" s="675"/>
      <c r="U285" s="677"/>
    </row>
    <row r="286" spans="2:21" ht="29.25" hidden="1" customHeight="1">
      <c r="B286" s="651">
        <v>4</v>
      </c>
      <c r="C286" s="712"/>
      <c r="D286" s="712"/>
      <c r="E286" s="712"/>
      <c r="F286" s="712"/>
      <c r="G286" s="715"/>
      <c r="H286" s="684"/>
      <c r="I286" s="709"/>
      <c r="J286" s="183"/>
      <c r="K286" s="38">
        <f>+$K$13</f>
        <v>0</v>
      </c>
      <c r="L286" s="183"/>
      <c r="M286" s="38">
        <f>+$M$13</f>
        <v>0</v>
      </c>
      <c r="N286" s="690"/>
      <c r="O286" s="690"/>
      <c r="P286" s="693"/>
      <c r="Q286" s="544"/>
      <c r="R286" s="544"/>
      <c r="S286" s="671">
        <f>IF(COUNTIF(J286:K288,"CUMPLE")&gt;=1,(G286*I286),0)* (IF(N286="PRESENTÓ CERTIFICADO",1,0))* (IF(O286="ACORDE A ITEM 5.2.2 (T.R.)",1,0) )* ( IF(OR(Q286="SIN OBSERVACIÓN", Q286="REQUERIMIENTOS SUBSANADOS"),1,0)) *(IF(OR(R286="NINGUNO", R286="CUMPLEN CON LO SOLICITADO"),1,0))</f>
        <v>0</v>
      </c>
      <c r="T286" s="675"/>
      <c r="U286" s="677">
        <f>IF(COUNTIF(L286:M288,"CUMPLE")&gt;=1,1,0)</f>
        <v>0</v>
      </c>
    </row>
    <row r="287" spans="2:21" ht="29.25" hidden="1" customHeight="1">
      <c r="B287" s="652"/>
      <c r="C287" s="713"/>
      <c r="D287" s="713"/>
      <c r="E287" s="713"/>
      <c r="F287" s="713"/>
      <c r="G287" s="716"/>
      <c r="H287" s="685"/>
      <c r="I287" s="710"/>
      <c r="J287" s="183"/>
      <c r="K287" s="38">
        <f>+$K$14</f>
        <v>0</v>
      </c>
      <c r="L287" s="696"/>
      <c r="M287" s="678">
        <f>+$M$14</f>
        <v>0</v>
      </c>
      <c r="N287" s="691"/>
      <c r="O287" s="691"/>
      <c r="P287" s="694"/>
      <c r="Q287" s="567"/>
      <c r="R287" s="567"/>
      <c r="S287" s="672"/>
      <c r="T287" s="675"/>
      <c r="U287" s="677"/>
    </row>
    <row r="288" spans="2:21" ht="29.25" hidden="1" customHeight="1">
      <c r="B288" s="653"/>
      <c r="C288" s="714"/>
      <c r="D288" s="714"/>
      <c r="E288" s="714"/>
      <c r="F288" s="714"/>
      <c r="G288" s="717"/>
      <c r="H288" s="686"/>
      <c r="I288" s="711"/>
      <c r="J288" s="183"/>
      <c r="K288" s="38">
        <f>+$K$15</f>
        <v>0</v>
      </c>
      <c r="L288" s="697"/>
      <c r="M288" s="680"/>
      <c r="N288" s="692"/>
      <c r="O288" s="692"/>
      <c r="P288" s="695"/>
      <c r="Q288" s="545"/>
      <c r="R288" s="545"/>
      <c r="S288" s="673"/>
      <c r="T288" s="675"/>
      <c r="U288" s="677"/>
    </row>
    <row r="289" spans="2:21" ht="29.25" hidden="1" customHeight="1">
      <c r="B289" s="651">
        <v>5</v>
      </c>
      <c r="C289" s="654"/>
      <c r="D289" s="654"/>
      <c r="E289" s="654"/>
      <c r="F289" s="654"/>
      <c r="G289" s="681"/>
      <c r="H289" s="684"/>
      <c r="I289" s="687"/>
      <c r="J289" s="183"/>
      <c r="K289" s="38">
        <f>+$K$13</f>
        <v>0</v>
      </c>
      <c r="L289" s="183"/>
      <c r="M289" s="38">
        <f>+$M$13</f>
        <v>0</v>
      </c>
      <c r="N289" s="690"/>
      <c r="O289" s="690"/>
      <c r="P289" s="693"/>
      <c r="Q289" s="544"/>
      <c r="R289" s="544"/>
      <c r="S289" s="671">
        <f>IF(COUNTIF(J289:K291,"CUMPLE")&gt;=1,(G289*I289),0)* (IF(N289="PRESENTÓ CERTIFICADO",1,0))* (IF(O289="ACORDE A ITEM 5.2.2 (T.R.)",1,0) )* ( IF(OR(Q289="SIN OBSERVACIÓN", Q289="REQUERIMIENTOS SUBSANADOS"),1,0)) *(IF(OR(R289="NINGUNO", R289="CUMPLEN CON LO SOLICITADO"),1,0))</f>
        <v>0</v>
      </c>
      <c r="T289" s="675"/>
      <c r="U289" s="677">
        <f>IF(COUNTIF(L289:M291,"CUMPLE")&gt;=1,1,0)</f>
        <v>0</v>
      </c>
    </row>
    <row r="290" spans="2:21" ht="29.25" hidden="1" customHeight="1">
      <c r="B290" s="652"/>
      <c r="C290" s="655"/>
      <c r="D290" s="655"/>
      <c r="E290" s="655"/>
      <c r="F290" s="655"/>
      <c r="G290" s="682"/>
      <c r="H290" s="685"/>
      <c r="I290" s="688"/>
      <c r="J290" s="183"/>
      <c r="K290" s="38">
        <f>+$K$14</f>
        <v>0</v>
      </c>
      <c r="L290" s="696"/>
      <c r="M290" s="678">
        <f>+$M$14</f>
        <v>0</v>
      </c>
      <c r="N290" s="691"/>
      <c r="O290" s="691"/>
      <c r="P290" s="694"/>
      <c r="Q290" s="567"/>
      <c r="R290" s="567"/>
      <c r="S290" s="672"/>
      <c r="T290" s="675"/>
      <c r="U290" s="677"/>
    </row>
    <row r="291" spans="2:21" ht="29.25" hidden="1" customHeight="1">
      <c r="B291" s="653"/>
      <c r="C291" s="656"/>
      <c r="D291" s="656"/>
      <c r="E291" s="656"/>
      <c r="F291" s="656"/>
      <c r="G291" s="683"/>
      <c r="H291" s="686"/>
      <c r="I291" s="689"/>
      <c r="J291" s="183"/>
      <c r="K291" s="38">
        <f>+$K$15</f>
        <v>0</v>
      </c>
      <c r="L291" s="697"/>
      <c r="M291" s="680"/>
      <c r="N291" s="692"/>
      <c r="O291" s="692"/>
      <c r="P291" s="695"/>
      <c r="Q291" s="545"/>
      <c r="R291" s="545"/>
      <c r="S291" s="673"/>
      <c r="T291" s="676"/>
      <c r="U291" s="677"/>
    </row>
    <row r="292" spans="2:21" ht="18" hidden="1" customHeight="1">
      <c r="B292" s="698" t="str">
        <f>IF(S293=" "," ",IF(S293&gt;=$H$6,"CUMPLE CON LA EXPERIENCIA REQUERIDA","NO CUMPLE CON LA EXPERIENCIA REQUERIDA"))</f>
        <v>NO CUMPLE CON LA EXPERIENCIA REQUERIDA</v>
      </c>
      <c r="C292" s="699"/>
      <c r="D292" s="699"/>
      <c r="E292" s="699"/>
      <c r="F292" s="699"/>
      <c r="G292" s="699"/>
      <c r="H292" s="699"/>
      <c r="I292" s="699"/>
      <c r="J292" s="699"/>
      <c r="K292" s="699"/>
      <c r="L292" s="699"/>
      <c r="M292" s="699"/>
      <c r="N292" s="699"/>
      <c r="O292" s="700"/>
      <c r="P292" s="704" t="s">
        <v>46</v>
      </c>
      <c r="Q292" s="705"/>
      <c r="R292" s="706"/>
      <c r="S292" s="44">
        <f>IF(T277="SI",SUM(S277:S291),0)</f>
        <v>0</v>
      </c>
      <c r="T292" s="707" t="str">
        <f>IF(S293=" "," ",IF(S293&gt;=$H$6,"CUMPLE","NO CUMPLE"))</f>
        <v>NO CUMPLE</v>
      </c>
      <c r="U292" s="28"/>
    </row>
    <row r="293" spans="2:21" ht="18" hidden="1" customHeight="1">
      <c r="B293" s="701"/>
      <c r="C293" s="702"/>
      <c r="D293" s="702"/>
      <c r="E293" s="702"/>
      <c r="F293" s="702"/>
      <c r="G293" s="702"/>
      <c r="H293" s="702"/>
      <c r="I293" s="702"/>
      <c r="J293" s="702"/>
      <c r="K293" s="702"/>
      <c r="L293" s="702"/>
      <c r="M293" s="702"/>
      <c r="N293" s="702"/>
      <c r="O293" s="703"/>
      <c r="P293" s="704" t="s">
        <v>47</v>
      </c>
      <c r="Q293" s="705"/>
      <c r="R293" s="706"/>
      <c r="S293" s="44">
        <f>IFERROR((S292/$P$6)," ")</f>
        <v>0</v>
      </c>
      <c r="T293" s="708"/>
      <c r="U293" s="41"/>
    </row>
    <row r="294" spans="2:21" hidden="1"/>
    <row r="295" spans="2:21" hidden="1"/>
    <row r="296" spans="2:21" ht="34" hidden="1">
      <c r="B296" s="26">
        <v>14</v>
      </c>
      <c r="C296" s="660" t="s">
        <v>25</v>
      </c>
      <c r="D296" s="661"/>
      <c r="E296" s="662"/>
      <c r="F296" s="663">
        <f>IFERROR(VLOOKUP(B296,LISTA_OFERENTES,2,FALSE)," ")</f>
        <v>0</v>
      </c>
      <c r="G296" s="664"/>
      <c r="H296" s="664"/>
      <c r="I296" s="664"/>
      <c r="J296" s="664"/>
      <c r="K296" s="664"/>
      <c r="L296" s="664"/>
      <c r="M296" s="664"/>
      <c r="N296" s="664"/>
      <c r="O296" s="665"/>
      <c r="P296" s="666" t="s">
        <v>26</v>
      </c>
      <c r="Q296" s="667"/>
      <c r="R296" s="668"/>
      <c r="S296" s="27">
        <f>5-(INT(COUNTBLANK(C299:C313))-10)</f>
        <v>0</v>
      </c>
      <c r="T296" s="28"/>
    </row>
    <row r="297" spans="2:21" ht="51" hidden="1" customHeight="1">
      <c r="B297" s="669" t="s">
        <v>27</v>
      </c>
      <c r="C297" s="643" t="s">
        <v>28</v>
      </c>
      <c r="D297" s="643" t="s">
        <v>29</v>
      </c>
      <c r="E297" s="643" t="s">
        <v>30</v>
      </c>
      <c r="F297" s="643" t="s">
        <v>31</v>
      </c>
      <c r="G297" s="643" t="s">
        <v>32</v>
      </c>
      <c r="H297" s="643" t="s">
        <v>33</v>
      </c>
      <c r="I297" s="643" t="s">
        <v>34</v>
      </c>
      <c r="J297" s="657" t="s">
        <v>35</v>
      </c>
      <c r="K297" s="658"/>
      <c r="L297" s="658"/>
      <c r="M297" s="659"/>
      <c r="N297" s="643" t="s">
        <v>36</v>
      </c>
      <c r="O297" s="643" t="s">
        <v>37</v>
      </c>
      <c r="P297" s="657" t="s">
        <v>38</v>
      </c>
      <c r="Q297" s="659"/>
      <c r="R297" s="643" t="s">
        <v>39</v>
      </c>
      <c r="S297" s="643" t="s">
        <v>40</v>
      </c>
      <c r="T297" s="643" t="str">
        <f>+$T$11</f>
        <v>Cumple con el requerimiento del numeral 6.2.2.2.1</v>
      </c>
      <c r="U297" s="643" t="str">
        <f>+$U$11</f>
        <v xml:space="preserve">VERIFICACIÓN CONDICIÓN DE EXPERIENCIA  </v>
      </c>
    </row>
    <row r="298" spans="2:21" ht="54.75" hidden="1" customHeight="1">
      <c r="B298" s="670"/>
      <c r="C298" s="644"/>
      <c r="D298" s="644"/>
      <c r="E298" s="644"/>
      <c r="F298" s="644"/>
      <c r="G298" s="644"/>
      <c r="H298" s="644"/>
      <c r="I298" s="644"/>
      <c r="J298" s="648" t="s">
        <v>43</v>
      </c>
      <c r="K298" s="649"/>
      <c r="L298" s="649"/>
      <c r="M298" s="650"/>
      <c r="N298" s="644"/>
      <c r="O298" s="644"/>
      <c r="P298" s="33" t="s">
        <v>10</v>
      </c>
      <c r="Q298" s="33" t="s">
        <v>44</v>
      </c>
      <c r="R298" s="644"/>
      <c r="S298" s="644"/>
      <c r="T298" s="644"/>
      <c r="U298" s="644"/>
    </row>
    <row r="299" spans="2:21" ht="33" hidden="1" customHeight="1">
      <c r="B299" s="651">
        <v>1</v>
      </c>
      <c r="C299" s="654"/>
      <c r="D299" s="654"/>
      <c r="E299" s="654"/>
      <c r="F299" s="654"/>
      <c r="G299" s="681"/>
      <c r="H299" s="684"/>
      <c r="I299" s="687"/>
      <c r="J299" s="183"/>
      <c r="K299" s="38">
        <f>+$K$13</f>
        <v>0</v>
      </c>
      <c r="L299" s="183"/>
      <c r="M299" s="38">
        <f>+$M$13</f>
        <v>0</v>
      </c>
      <c r="N299" s="690"/>
      <c r="O299" s="690"/>
      <c r="P299" s="693"/>
      <c r="Q299" s="544"/>
      <c r="R299" s="544"/>
      <c r="S299" s="671">
        <f>IF(COUNTIF(J299:K301,"CUMPLE")&gt;=1,(G299*I299),0)* (IF(N299="PRESENTÓ CERTIFICADO",1,0))* (IF(O299="ACORDE A ITEM 5.2.2 (T.R.)",1,0) )* ( IF(OR(Q299="SIN OBSERVACIÓN", Q299="REQUERIMIENTOS SUBSANADOS"),1,0)) *(IF(OR(R299="NINGUNO", R299="CUMPLEN CON LO SOLICITADO"),1,0))</f>
        <v>0</v>
      </c>
      <c r="T299" s="674"/>
      <c r="U299" s="677">
        <f>IF(COUNTIF(L299:M301,"CUMPLE")&gt;=1,1,0)</f>
        <v>0</v>
      </c>
    </row>
    <row r="300" spans="2:21" ht="33" hidden="1" customHeight="1">
      <c r="B300" s="652"/>
      <c r="C300" s="655"/>
      <c r="D300" s="655"/>
      <c r="E300" s="655"/>
      <c r="F300" s="655"/>
      <c r="G300" s="682"/>
      <c r="H300" s="685"/>
      <c r="I300" s="688"/>
      <c r="J300" s="183"/>
      <c r="K300" s="38">
        <f>+$K$14</f>
        <v>0</v>
      </c>
      <c r="L300" s="696"/>
      <c r="M300" s="678">
        <f>+$M$14</f>
        <v>0</v>
      </c>
      <c r="N300" s="691"/>
      <c r="O300" s="691"/>
      <c r="P300" s="694"/>
      <c r="Q300" s="567"/>
      <c r="R300" s="567"/>
      <c r="S300" s="672"/>
      <c r="T300" s="675"/>
      <c r="U300" s="677"/>
    </row>
    <row r="301" spans="2:21" ht="33" hidden="1" customHeight="1">
      <c r="B301" s="653"/>
      <c r="C301" s="656"/>
      <c r="D301" s="656"/>
      <c r="E301" s="656"/>
      <c r="F301" s="656"/>
      <c r="G301" s="683"/>
      <c r="H301" s="686"/>
      <c r="I301" s="689"/>
      <c r="J301" s="183"/>
      <c r="K301" s="38">
        <f>+$K$15</f>
        <v>0</v>
      </c>
      <c r="L301" s="697"/>
      <c r="M301" s="680"/>
      <c r="N301" s="692"/>
      <c r="O301" s="692"/>
      <c r="P301" s="695"/>
      <c r="Q301" s="545"/>
      <c r="R301" s="545"/>
      <c r="S301" s="673"/>
      <c r="T301" s="675"/>
      <c r="U301" s="677"/>
    </row>
    <row r="302" spans="2:21" ht="33" hidden="1" customHeight="1">
      <c r="B302" s="651">
        <v>2</v>
      </c>
      <c r="C302" s="712"/>
      <c r="D302" s="712"/>
      <c r="E302" s="712"/>
      <c r="F302" s="712"/>
      <c r="G302" s="715"/>
      <c r="H302" s="684"/>
      <c r="I302" s="709"/>
      <c r="J302" s="183"/>
      <c r="K302" s="38">
        <f>+$K$13</f>
        <v>0</v>
      </c>
      <c r="L302" s="183"/>
      <c r="M302" s="38">
        <f>+$M$13</f>
        <v>0</v>
      </c>
      <c r="N302" s="690"/>
      <c r="O302" s="690"/>
      <c r="P302" s="693"/>
      <c r="Q302" s="544"/>
      <c r="R302" s="544"/>
      <c r="S302" s="671">
        <f>IF(COUNTIF(J302:K304,"CUMPLE")&gt;=1,(G302*I302),0)* (IF(N302="PRESENTÓ CERTIFICADO",1,0))* (IF(O302="ACORDE A ITEM 5.2.2 (T.R.)",1,0) )* ( IF(OR(Q302="SIN OBSERVACIÓN", Q302="REQUERIMIENTOS SUBSANADOS"),1,0)) *(IF(OR(R302="NINGUNO", R302="CUMPLEN CON LO SOLICITADO"),1,0))</f>
        <v>0</v>
      </c>
      <c r="T302" s="675"/>
      <c r="U302" s="677">
        <f>IF(COUNTIF(L302:M304,"CUMPLE")&gt;=1,1,0)</f>
        <v>0</v>
      </c>
    </row>
    <row r="303" spans="2:21" ht="33" hidden="1" customHeight="1">
      <c r="B303" s="652"/>
      <c r="C303" s="713"/>
      <c r="D303" s="713"/>
      <c r="E303" s="713"/>
      <c r="F303" s="713"/>
      <c r="G303" s="716"/>
      <c r="H303" s="685"/>
      <c r="I303" s="710"/>
      <c r="J303" s="183"/>
      <c r="K303" s="38">
        <f>+$K$14</f>
        <v>0</v>
      </c>
      <c r="L303" s="696"/>
      <c r="M303" s="678">
        <f>+$M$14</f>
        <v>0</v>
      </c>
      <c r="N303" s="691"/>
      <c r="O303" s="691"/>
      <c r="P303" s="694"/>
      <c r="Q303" s="567"/>
      <c r="R303" s="567"/>
      <c r="S303" s="672"/>
      <c r="T303" s="675"/>
      <c r="U303" s="677"/>
    </row>
    <row r="304" spans="2:21" ht="33" hidden="1" customHeight="1">
      <c r="B304" s="653"/>
      <c r="C304" s="714"/>
      <c r="D304" s="714"/>
      <c r="E304" s="714"/>
      <c r="F304" s="714"/>
      <c r="G304" s="717"/>
      <c r="H304" s="686"/>
      <c r="I304" s="711"/>
      <c r="J304" s="183"/>
      <c r="K304" s="38">
        <f>+$K$15</f>
        <v>0</v>
      </c>
      <c r="L304" s="697"/>
      <c r="M304" s="680"/>
      <c r="N304" s="692"/>
      <c r="O304" s="692"/>
      <c r="P304" s="695"/>
      <c r="Q304" s="545"/>
      <c r="R304" s="545"/>
      <c r="S304" s="673"/>
      <c r="T304" s="675"/>
      <c r="U304" s="677"/>
    </row>
    <row r="305" spans="2:21" ht="33" hidden="1" customHeight="1">
      <c r="B305" s="651">
        <v>3</v>
      </c>
      <c r="C305" s="654"/>
      <c r="D305" s="654"/>
      <c r="E305" s="654"/>
      <c r="F305" s="654"/>
      <c r="G305" s="681"/>
      <c r="H305" s="684"/>
      <c r="I305" s="687"/>
      <c r="J305" s="183"/>
      <c r="K305" s="38">
        <f>+$K$13</f>
        <v>0</v>
      </c>
      <c r="L305" s="183"/>
      <c r="M305" s="38">
        <f>+$M$13</f>
        <v>0</v>
      </c>
      <c r="N305" s="690"/>
      <c r="O305" s="690"/>
      <c r="P305" s="693"/>
      <c r="Q305" s="544"/>
      <c r="R305" s="544"/>
      <c r="S305" s="671">
        <f>IF(COUNTIF(J305:K307,"CUMPLE")&gt;=1,(G305*I305),0)* (IF(N305="PRESENTÓ CERTIFICADO",1,0))* (IF(O305="ACORDE A ITEM 5.2.2 (T.R.)",1,0) )* ( IF(OR(Q305="SIN OBSERVACIÓN", Q305="REQUERIMIENTOS SUBSANADOS"),1,0)) *(IF(OR(R305="NINGUNO", R305="CUMPLEN CON LO SOLICITADO"),1,0))</f>
        <v>0</v>
      </c>
      <c r="T305" s="675"/>
      <c r="U305" s="677">
        <f>IF(COUNTIF(L305:M307,"CUMPLE")&gt;=1,1,0)</f>
        <v>0</v>
      </c>
    </row>
    <row r="306" spans="2:21" ht="33" hidden="1" customHeight="1">
      <c r="B306" s="652"/>
      <c r="C306" s="655"/>
      <c r="D306" s="655"/>
      <c r="E306" s="655"/>
      <c r="F306" s="655"/>
      <c r="G306" s="682"/>
      <c r="H306" s="685"/>
      <c r="I306" s="688"/>
      <c r="J306" s="183"/>
      <c r="K306" s="38">
        <f>+$K$14</f>
        <v>0</v>
      </c>
      <c r="L306" s="696"/>
      <c r="M306" s="678">
        <f>+$M$14</f>
        <v>0</v>
      </c>
      <c r="N306" s="691"/>
      <c r="O306" s="691"/>
      <c r="P306" s="694"/>
      <c r="Q306" s="567"/>
      <c r="R306" s="567"/>
      <c r="S306" s="672"/>
      <c r="T306" s="675"/>
      <c r="U306" s="677"/>
    </row>
    <row r="307" spans="2:21" ht="33" hidden="1" customHeight="1">
      <c r="B307" s="653"/>
      <c r="C307" s="656"/>
      <c r="D307" s="656"/>
      <c r="E307" s="656"/>
      <c r="F307" s="656"/>
      <c r="G307" s="683"/>
      <c r="H307" s="686"/>
      <c r="I307" s="689"/>
      <c r="J307" s="183"/>
      <c r="K307" s="38">
        <f>+$K$15</f>
        <v>0</v>
      </c>
      <c r="L307" s="697"/>
      <c r="M307" s="680"/>
      <c r="N307" s="692"/>
      <c r="O307" s="692"/>
      <c r="P307" s="695"/>
      <c r="Q307" s="545"/>
      <c r="R307" s="545"/>
      <c r="S307" s="673"/>
      <c r="T307" s="675"/>
      <c r="U307" s="677"/>
    </row>
    <row r="308" spans="2:21" ht="33" hidden="1" customHeight="1">
      <c r="B308" s="651">
        <v>4</v>
      </c>
      <c r="C308" s="712"/>
      <c r="D308" s="712"/>
      <c r="E308" s="712"/>
      <c r="F308" s="712"/>
      <c r="G308" s="715"/>
      <c r="H308" s="684"/>
      <c r="I308" s="709"/>
      <c r="J308" s="183"/>
      <c r="K308" s="38">
        <f>+$K$13</f>
        <v>0</v>
      </c>
      <c r="L308" s="183"/>
      <c r="M308" s="38">
        <f>+$M$13</f>
        <v>0</v>
      </c>
      <c r="N308" s="690"/>
      <c r="O308" s="690"/>
      <c r="P308" s="693"/>
      <c r="Q308" s="544"/>
      <c r="R308" s="544"/>
      <c r="S308" s="671">
        <f>IF(COUNTIF(J308:K310,"CUMPLE")&gt;=1,(G308*I308),0)* (IF(N308="PRESENTÓ CERTIFICADO",1,0))* (IF(O308="ACORDE A ITEM 5.2.2 (T.R.)",1,0) )* ( IF(OR(Q308="SIN OBSERVACIÓN", Q308="REQUERIMIENTOS SUBSANADOS"),1,0)) *(IF(OR(R308="NINGUNO", R308="CUMPLEN CON LO SOLICITADO"),1,0))</f>
        <v>0</v>
      </c>
      <c r="T308" s="675"/>
      <c r="U308" s="677">
        <f>IF(COUNTIF(L308:M310,"CUMPLE")&gt;=1,1,0)</f>
        <v>0</v>
      </c>
    </row>
    <row r="309" spans="2:21" ht="33" hidden="1" customHeight="1">
      <c r="B309" s="652"/>
      <c r="C309" s="713"/>
      <c r="D309" s="713"/>
      <c r="E309" s="713"/>
      <c r="F309" s="713"/>
      <c r="G309" s="716"/>
      <c r="H309" s="685"/>
      <c r="I309" s="710"/>
      <c r="J309" s="183"/>
      <c r="K309" s="38">
        <f>+$K$14</f>
        <v>0</v>
      </c>
      <c r="L309" s="696"/>
      <c r="M309" s="678">
        <f>+$M$14</f>
        <v>0</v>
      </c>
      <c r="N309" s="691"/>
      <c r="O309" s="691"/>
      <c r="P309" s="694"/>
      <c r="Q309" s="567"/>
      <c r="R309" s="567"/>
      <c r="S309" s="672"/>
      <c r="T309" s="675"/>
      <c r="U309" s="677"/>
    </row>
    <row r="310" spans="2:21" ht="33" hidden="1" customHeight="1">
      <c r="B310" s="653"/>
      <c r="C310" s="714"/>
      <c r="D310" s="714"/>
      <c r="E310" s="714"/>
      <c r="F310" s="714"/>
      <c r="G310" s="717"/>
      <c r="H310" s="686"/>
      <c r="I310" s="711"/>
      <c r="J310" s="183"/>
      <c r="K310" s="38">
        <f>+$K$15</f>
        <v>0</v>
      </c>
      <c r="L310" s="697"/>
      <c r="M310" s="680"/>
      <c r="N310" s="692"/>
      <c r="O310" s="692"/>
      <c r="P310" s="695"/>
      <c r="Q310" s="545"/>
      <c r="R310" s="545"/>
      <c r="S310" s="673"/>
      <c r="T310" s="675"/>
      <c r="U310" s="677"/>
    </row>
    <row r="311" spans="2:21" ht="33" hidden="1" customHeight="1">
      <c r="B311" s="651">
        <v>5</v>
      </c>
      <c r="C311" s="654"/>
      <c r="D311" s="654"/>
      <c r="E311" s="654"/>
      <c r="F311" s="654"/>
      <c r="G311" s="681"/>
      <c r="H311" s="684"/>
      <c r="I311" s="687"/>
      <c r="J311" s="183"/>
      <c r="K311" s="38">
        <f>+$K$13</f>
        <v>0</v>
      </c>
      <c r="L311" s="183"/>
      <c r="M311" s="38">
        <f>+$M$13</f>
        <v>0</v>
      </c>
      <c r="N311" s="690"/>
      <c r="O311" s="690"/>
      <c r="P311" s="693"/>
      <c r="Q311" s="544"/>
      <c r="R311" s="544"/>
      <c r="S311" s="671">
        <f>IF(COUNTIF(J311:K313,"CUMPLE")&gt;=1,(G311*I311),0)* (IF(N311="PRESENTÓ CERTIFICADO",1,0))* (IF(O311="ACORDE A ITEM 5.2.2 (T.R.)",1,0) )* ( IF(OR(Q311="SIN OBSERVACIÓN", Q311="REQUERIMIENTOS SUBSANADOS"),1,0)) *(IF(OR(R311="NINGUNO", R311="CUMPLEN CON LO SOLICITADO"),1,0))</f>
        <v>0</v>
      </c>
      <c r="T311" s="675"/>
      <c r="U311" s="677">
        <f>IF(COUNTIF(L311:M313,"CUMPLE")&gt;=1,1,0)</f>
        <v>0</v>
      </c>
    </row>
    <row r="312" spans="2:21" ht="33" hidden="1" customHeight="1">
      <c r="B312" s="652"/>
      <c r="C312" s="655"/>
      <c r="D312" s="655"/>
      <c r="E312" s="655"/>
      <c r="F312" s="655"/>
      <c r="G312" s="682"/>
      <c r="H312" s="685"/>
      <c r="I312" s="688"/>
      <c r="J312" s="183"/>
      <c r="K312" s="38">
        <f>+$K$14</f>
        <v>0</v>
      </c>
      <c r="L312" s="696"/>
      <c r="M312" s="678">
        <f>+$M$14</f>
        <v>0</v>
      </c>
      <c r="N312" s="691"/>
      <c r="O312" s="691"/>
      <c r="P312" s="694"/>
      <c r="Q312" s="567"/>
      <c r="R312" s="567"/>
      <c r="S312" s="672"/>
      <c r="T312" s="675"/>
      <c r="U312" s="677"/>
    </row>
    <row r="313" spans="2:21" ht="33" hidden="1" customHeight="1">
      <c r="B313" s="653"/>
      <c r="C313" s="656"/>
      <c r="D313" s="656"/>
      <c r="E313" s="656"/>
      <c r="F313" s="656"/>
      <c r="G313" s="683"/>
      <c r="H313" s="686"/>
      <c r="I313" s="689"/>
      <c r="J313" s="183"/>
      <c r="K313" s="38">
        <f>+$K$15</f>
        <v>0</v>
      </c>
      <c r="L313" s="697"/>
      <c r="M313" s="680"/>
      <c r="N313" s="692"/>
      <c r="O313" s="692"/>
      <c r="P313" s="695"/>
      <c r="Q313" s="545"/>
      <c r="R313" s="545"/>
      <c r="S313" s="673"/>
      <c r="T313" s="676"/>
      <c r="U313" s="677"/>
    </row>
    <row r="314" spans="2:21" ht="18" hidden="1" customHeight="1">
      <c r="B314" s="698" t="str">
        <f>IF(S315=" "," ",IF(S315&gt;=$H$6,"CUMPLE CON LA EXPERIENCIA REQUERIDA","NO CUMPLE CON LA EXPERIENCIA REQUERIDA"))</f>
        <v>NO CUMPLE CON LA EXPERIENCIA REQUERIDA</v>
      </c>
      <c r="C314" s="699"/>
      <c r="D314" s="699"/>
      <c r="E314" s="699"/>
      <c r="F314" s="699"/>
      <c r="G314" s="699"/>
      <c r="H314" s="699"/>
      <c r="I314" s="699"/>
      <c r="J314" s="699"/>
      <c r="K314" s="699"/>
      <c r="L314" s="699"/>
      <c r="M314" s="699"/>
      <c r="N314" s="699"/>
      <c r="O314" s="700"/>
      <c r="P314" s="704" t="s">
        <v>46</v>
      </c>
      <c r="Q314" s="705"/>
      <c r="R314" s="706"/>
      <c r="S314" s="44">
        <f>IF(T299="SI",SUM(S299:S313),0)</f>
        <v>0</v>
      </c>
      <c r="T314" s="707" t="str">
        <f>IF(S315=" "," ",IF(S315&gt;=$H$6,"CUMPLE","NO CUMPLE"))</f>
        <v>NO CUMPLE</v>
      </c>
      <c r="U314" s="28"/>
    </row>
    <row r="315" spans="2:21" ht="18" hidden="1" customHeight="1">
      <c r="B315" s="701"/>
      <c r="C315" s="702"/>
      <c r="D315" s="702"/>
      <c r="E315" s="702"/>
      <c r="F315" s="702"/>
      <c r="G315" s="702"/>
      <c r="H315" s="702"/>
      <c r="I315" s="702"/>
      <c r="J315" s="702"/>
      <c r="K315" s="702"/>
      <c r="L315" s="702"/>
      <c r="M315" s="702"/>
      <c r="N315" s="702"/>
      <c r="O315" s="703"/>
      <c r="P315" s="704" t="s">
        <v>47</v>
      </c>
      <c r="Q315" s="705"/>
      <c r="R315" s="706"/>
      <c r="S315" s="44">
        <f>IFERROR((S314/$P$6)," ")</f>
        <v>0</v>
      </c>
      <c r="T315" s="708"/>
      <c r="U315" s="41"/>
    </row>
    <row r="324" spans="8:8">
      <c r="H324" s="281"/>
    </row>
    <row r="325" spans="8:8">
      <c r="H325" s="305"/>
    </row>
  </sheetData>
  <sheetProtection algorithmName="SHA-512" hashValue="kj3RnGb0bMMfgzqfYmm26q4+aIgsHA0TwaESst2rRstF4sZesSus2Rzg+rnU5+d8MrU4+79dXij0ZN6zBqBAFw==" saltValue="qllw3tWHSR7ph8vaAs9UMA==" spinCount="100000" sheet="1" objects="1" scenarios="1"/>
  <mergeCells count="1550">
    <mergeCell ref="B314:O315"/>
    <mergeCell ref="P314:R314"/>
    <mergeCell ref="T314:T315"/>
    <mergeCell ref="P315:R315"/>
    <mergeCell ref="H311:H313"/>
    <mergeCell ref="I311:I313"/>
    <mergeCell ref="N311:N313"/>
    <mergeCell ref="O311:O313"/>
    <mergeCell ref="P311:P313"/>
    <mergeCell ref="Q311:Q313"/>
    <mergeCell ref="B311:B313"/>
    <mergeCell ref="C311:C313"/>
    <mergeCell ref="D311:D313"/>
    <mergeCell ref="E311:E313"/>
    <mergeCell ref="F311:F313"/>
    <mergeCell ref="G311:G313"/>
    <mergeCell ref="R308:R310"/>
    <mergeCell ref="S308:S310"/>
    <mergeCell ref="B308:B310"/>
    <mergeCell ref="C308:C310"/>
    <mergeCell ref="D308:D310"/>
    <mergeCell ref="E308:E310"/>
    <mergeCell ref="F308:F310"/>
    <mergeCell ref="U308:U310"/>
    <mergeCell ref="L309:L310"/>
    <mergeCell ref="M309:M310"/>
    <mergeCell ref="G308:G310"/>
    <mergeCell ref="H308:H310"/>
    <mergeCell ref="I308:I310"/>
    <mergeCell ref="N308:N310"/>
    <mergeCell ref="O308:O310"/>
    <mergeCell ref="P308:P310"/>
    <mergeCell ref="R305:R307"/>
    <mergeCell ref="S305:S307"/>
    <mergeCell ref="U305:U307"/>
    <mergeCell ref="L306:L307"/>
    <mergeCell ref="M306:M307"/>
    <mergeCell ref="T299:T313"/>
    <mergeCell ref="U299:U301"/>
    <mergeCell ref="U302:U304"/>
    <mergeCell ref="R311:R313"/>
    <mergeCell ref="S311:S313"/>
    <mergeCell ref="U311:U313"/>
    <mergeCell ref="L312:L313"/>
    <mergeCell ref="M312:M313"/>
    <mergeCell ref="H305:H307"/>
    <mergeCell ref="I305:I307"/>
    <mergeCell ref="N305:N307"/>
    <mergeCell ref="O305:O307"/>
    <mergeCell ref="P305:P307"/>
    <mergeCell ref="Q305:Q307"/>
    <mergeCell ref="Q299:Q301"/>
    <mergeCell ref="R299:R301"/>
    <mergeCell ref="S299:S301"/>
    <mergeCell ref="L300:L301"/>
    <mergeCell ref="B305:B307"/>
    <mergeCell ref="C305:C307"/>
    <mergeCell ref="D305:D307"/>
    <mergeCell ref="E305:E307"/>
    <mergeCell ref="F305:F307"/>
    <mergeCell ref="G305:G307"/>
    <mergeCell ref="Q308:Q310"/>
    <mergeCell ref="H302:H304"/>
    <mergeCell ref="I302:I304"/>
    <mergeCell ref="N302:N304"/>
    <mergeCell ref="O302:O304"/>
    <mergeCell ref="P302:P304"/>
    <mergeCell ref="Q302:Q304"/>
    <mergeCell ref="L303:L304"/>
    <mergeCell ref="M303:M304"/>
    <mergeCell ref="B302:B304"/>
    <mergeCell ref="C302:C304"/>
    <mergeCell ref="D302:D304"/>
    <mergeCell ref="E302:E304"/>
    <mergeCell ref="F302:F304"/>
    <mergeCell ref="G302:G304"/>
    <mergeCell ref="M300:M301"/>
    <mergeCell ref="R302:R304"/>
    <mergeCell ref="S302:S304"/>
    <mergeCell ref="G299:G301"/>
    <mergeCell ref="H299:H301"/>
    <mergeCell ref="I299:I301"/>
    <mergeCell ref="N299:N301"/>
    <mergeCell ref="O299:O301"/>
    <mergeCell ref="P299:P301"/>
    <mergeCell ref="R297:R298"/>
    <mergeCell ref="S297:S298"/>
    <mergeCell ref="T297:T298"/>
    <mergeCell ref="U297:U298"/>
    <mergeCell ref="J298:M298"/>
    <mergeCell ref="B299:B301"/>
    <mergeCell ref="C299:C301"/>
    <mergeCell ref="D299:D301"/>
    <mergeCell ref="E299:E301"/>
    <mergeCell ref="F299:F301"/>
    <mergeCell ref="H297:H298"/>
    <mergeCell ref="I297:I298"/>
    <mergeCell ref="J297:M297"/>
    <mergeCell ref="N297:N298"/>
    <mergeCell ref="O297:O298"/>
    <mergeCell ref="P297:Q297"/>
    <mergeCell ref="B297:B298"/>
    <mergeCell ref="C297:C298"/>
    <mergeCell ref="D297:D298"/>
    <mergeCell ref="E297:E298"/>
    <mergeCell ref="F297:F298"/>
    <mergeCell ref="G297:G298"/>
    <mergeCell ref="B292:O293"/>
    <mergeCell ref="P292:R292"/>
    <mergeCell ref="T292:T293"/>
    <mergeCell ref="P293:R293"/>
    <mergeCell ref="C296:E296"/>
    <mergeCell ref="F296:O296"/>
    <mergeCell ref="P296:R296"/>
    <mergeCell ref="Q289:Q291"/>
    <mergeCell ref="R289:R291"/>
    <mergeCell ref="S289:S291"/>
    <mergeCell ref="U289:U291"/>
    <mergeCell ref="L290:L291"/>
    <mergeCell ref="M290:M291"/>
    <mergeCell ref="G289:G291"/>
    <mergeCell ref="H289:H291"/>
    <mergeCell ref="I289:I291"/>
    <mergeCell ref="N289:N291"/>
    <mergeCell ref="O289:O291"/>
    <mergeCell ref="P289:P291"/>
    <mergeCell ref="B289:B291"/>
    <mergeCell ref="C289:C291"/>
    <mergeCell ref="D289:D291"/>
    <mergeCell ref="E289:E291"/>
    <mergeCell ref="F289:F291"/>
    <mergeCell ref="P286:P288"/>
    <mergeCell ref="Q286:Q288"/>
    <mergeCell ref="S283:S285"/>
    <mergeCell ref="U283:U285"/>
    <mergeCell ref="L284:L285"/>
    <mergeCell ref="M284:M285"/>
    <mergeCell ref="B286:B288"/>
    <mergeCell ref="C286:C288"/>
    <mergeCell ref="D286:D288"/>
    <mergeCell ref="E286:E288"/>
    <mergeCell ref="F286:F288"/>
    <mergeCell ref="G286:G288"/>
    <mergeCell ref="H283:H285"/>
    <mergeCell ref="I283:I285"/>
    <mergeCell ref="N283:N285"/>
    <mergeCell ref="O283:O285"/>
    <mergeCell ref="P283:P285"/>
    <mergeCell ref="Q283:Q285"/>
    <mergeCell ref="B283:B285"/>
    <mergeCell ref="C283:C285"/>
    <mergeCell ref="D283:D285"/>
    <mergeCell ref="E283:E285"/>
    <mergeCell ref="F283:F285"/>
    <mergeCell ref="G283:G285"/>
    <mergeCell ref="M281:M282"/>
    <mergeCell ref="B280:B282"/>
    <mergeCell ref="C280:C282"/>
    <mergeCell ref="D280:D282"/>
    <mergeCell ref="E280:E282"/>
    <mergeCell ref="F280:F282"/>
    <mergeCell ref="G280:G282"/>
    <mergeCell ref="C275:C276"/>
    <mergeCell ref="D275:D276"/>
    <mergeCell ref="E275:E276"/>
    <mergeCell ref="F275:F276"/>
    <mergeCell ref="G275:G276"/>
    <mergeCell ref="H275:H276"/>
    <mergeCell ref="H286:H288"/>
    <mergeCell ref="I286:I288"/>
    <mergeCell ref="N286:N288"/>
    <mergeCell ref="O286:O288"/>
    <mergeCell ref="R277:R279"/>
    <mergeCell ref="S277:S279"/>
    <mergeCell ref="T277:T291"/>
    <mergeCell ref="U277:U279"/>
    <mergeCell ref="L278:L279"/>
    <mergeCell ref="M278:M279"/>
    <mergeCell ref="R280:R282"/>
    <mergeCell ref="S280:S282"/>
    <mergeCell ref="U280:U282"/>
    <mergeCell ref="R283:R285"/>
    <mergeCell ref="H277:H279"/>
    <mergeCell ref="I277:I279"/>
    <mergeCell ref="N277:N279"/>
    <mergeCell ref="O277:O279"/>
    <mergeCell ref="P277:P279"/>
    <mergeCell ref="Q277:Q279"/>
    <mergeCell ref="S275:S276"/>
    <mergeCell ref="T275:T276"/>
    <mergeCell ref="U275:U276"/>
    <mergeCell ref="J276:M276"/>
    <mergeCell ref="R286:R288"/>
    <mergeCell ref="S286:S288"/>
    <mergeCell ref="U286:U288"/>
    <mergeCell ref="L287:L288"/>
    <mergeCell ref="M287:M288"/>
    <mergeCell ref="H280:H282"/>
    <mergeCell ref="I280:I282"/>
    <mergeCell ref="N280:N282"/>
    <mergeCell ref="O280:O282"/>
    <mergeCell ref="P280:P282"/>
    <mergeCell ref="Q280:Q282"/>
    <mergeCell ref="L281:L282"/>
    <mergeCell ref="B270:O271"/>
    <mergeCell ref="P270:R270"/>
    <mergeCell ref="T270:T271"/>
    <mergeCell ref="P271:R271"/>
    <mergeCell ref="H267:H269"/>
    <mergeCell ref="I267:I269"/>
    <mergeCell ref="N267:N269"/>
    <mergeCell ref="O267:O269"/>
    <mergeCell ref="P267:P269"/>
    <mergeCell ref="Q267:Q269"/>
    <mergeCell ref="B267:B269"/>
    <mergeCell ref="C267:C269"/>
    <mergeCell ref="D267:D269"/>
    <mergeCell ref="E267:E269"/>
    <mergeCell ref="F267:F269"/>
    <mergeCell ref="G267:G269"/>
    <mergeCell ref="B277:B279"/>
    <mergeCell ref="C277:C279"/>
    <mergeCell ref="D277:D279"/>
    <mergeCell ref="E277:E279"/>
    <mergeCell ref="F277:F279"/>
    <mergeCell ref="G277:G279"/>
    <mergeCell ref="I275:I276"/>
    <mergeCell ref="J275:M275"/>
    <mergeCell ref="N275:N276"/>
    <mergeCell ref="O275:O276"/>
    <mergeCell ref="P275:Q275"/>
    <mergeCell ref="R275:R276"/>
    <mergeCell ref="C274:E274"/>
    <mergeCell ref="F274:O274"/>
    <mergeCell ref="P274:R274"/>
    <mergeCell ref="B275:B276"/>
    <mergeCell ref="R264:R266"/>
    <mergeCell ref="S264:S266"/>
    <mergeCell ref="U264:U266"/>
    <mergeCell ref="L265:L266"/>
    <mergeCell ref="M265:M266"/>
    <mergeCell ref="G264:G266"/>
    <mergeCell ref="H264:H266"/>
    <mergeCell ref="I264:I266"/>
    <mergeCell ref="N264:N266"/>
    <mergeCell ref="O264:O266"/>
    <mergeCell ref="P264:P266"/>
    <mergeCell ref="R261:R263"/>
    <mergeCell ref="S261:S263"/>
    <mergeCell ref="U261:U263"/>
    <mergeCell ref="L262:L263"/>
    <mergeCell ref="M262:M263"/>
    <mergeCell ref="T255:T269"/>
    <mergeCell ref="U255:U257"/>
    <mergeCell ref="U258:U260"/>
    <mergeCell ref="R267:R269"/>
    <mergeCell ref="S267:S269"/>
    <mergeCell ref="U267:U269"/>
    <mergeCell ref="L268:L269"/>
    <mergeCell ref="M268:M269"/>
    <mergeCell ref="H258:H260"/>
    <mergeCell ref="I258:I260"/>
    <mergeCell ref="N258:N260"/>
    <mergeCell ref="O258:O260"/>
    <mergeCell ref="P258:P260"/>
    <mergeCell ref="Q258:Q260"/>
    <mergeCell ref="L259:L260"/>
    <mergeCell ref="M259:M260"/>
    <mergeCell ref="B264:B266"/>
    <mergeCell ref="C264:C266"/>
    <mergeCell ref="D264:D266"/>
    <mergeCell ref="E264:E266"/>
    <mergeCell ref="F264:F266"/>
    <mergeCell ref="H261:H263"/>
    <mergeCell ref="I261:I263"/>
    <mergeCell ref="N261:N263"/>
    <mergeCell ref="O261:O263"/>
    <mergeCell ref="P261:P263"/>
    <mergeCell ref="Q261:Q263"/>
    <mergeCell ref="B261:B263"/>
    <mergeCell ref="C261:C263"/>
    <mergeCell ref="D261:D263"/>
    <mergeCell ref="E261:E263"/>
    <mergeCell ref="F261:F263"/>
    <mergeCell ref="G261:G263"/>
    <mergeCell ref="Q264:Q266"/>
    <mergeCell ref="B258:B260"/>
    <mergeCell ref="C258:C260"/>
    <mergeCell ref="D258:D260"/>
    <mergeCell ref="E258:E260"/>
    <mergeCell ref="F258:F260"/>
    <mergeCell ref="G258:G260"/>
    <mergeCell ref="Q255:Q257"/>
    <mergeCell ref="R255:R257"/>
    <mergeCell ref="S255:S257"/>
    <mergeCell ref="L256:L257"/>
    <mergeCell ref="M256:M257"/>
    <mergeCell ref="R258:R260"/>
    <mergeCell ref="S258:S260"/>
    <mergeCell ref="G255:G257"/>
    <mergeCell ref="H255:H257"/>
    <mergeCell ref="I255:I257"/>
    <mergeCell ref="N255:N257"/>
    <mergeCell ref="O255:O257"/>
    <mergeCell ref="P255:P257"/>
    <mergeCell ref="R253:R254"/>
    <mergeCell ref="S253:S254"/>
    <mergeCell ref="T253:T254"/>
    <mergeCell ref="U253:U254"/>
    <mergeCell ref="J254:M254"/>
    <mergeCell ref="B255:B257"/>
    <mergeCell ref="C255:C257"/>
    <mergeCell ref="D255:D257"/>
    <mergeCell ref="E255:E257"/>
    <mergeCell ref="F255:F257"/>
    <mergeCell ref="H253:H254"/>
    <mergeCell ref="I253:I254"/>
    <mergeCell ref="J253:M253"/>
    <mergeCell ref="N253:N254"/>
    <mergeCell ref="O253:O254"/>
    <mergeCell ref="P253:Q253"/>
    <mergeCell ref="B253:B254"/>
    <mergeCell ref="C253:C254"/>
    <mergeCell ref="D253:D254"/>
    <mergeCell ref="E253:E254"/>
    <mergeCell ref="F253:F254"/>
    <mergeCell ref="G253:G254"/>
    <mergeCell ref="B248:O249"/>
    <mergeCell ref="P248:R248"/>
    <mergeCell ref="T248:T249"/>
    <mergeCell ref="P249:R249"/>
    <mergeCell ref="C252:E252"/>
    <mergeCell ref="F252:O252"/>
    <mergeCell ref="P252:R252"/>
    <mergeCell ref="Q245:Q247"/>
    <mergeCell ref="R245:R247"/>
    <mergeCell ref="S245:S247"/>
    <mergeCell ref="U245:U247"/>
    <mergeCell ref="L246:L247"/>
    <mergeCell ref="M246:M247"/>
    <mergeCell ref="G245:G247"/>
    <mergeCell ref="H245:H247"/>
    <mergeCell ref="I245:I247"/>
    <mergeCell ref="N245:N247"/>
    <mergeCell ref="O245:O247"/>
    <mergeCell ref="P245:P247"/>
    <mergeCell ref="B245:B247"/>
    <mergeCell ref="C245:C247"/>
    <mergeCell ref="D245:D247"/>
    <mergeCell ref="E245:E247"/>
    <mergeCell ref="F245:F247"/>
    <mergeCell ref="P242:P244"/>
    <mergeCell ref="Q242:Q244"/>
    <mergeCell ref="S239:S241"/>
    <mergeCell ref="U239:U241"/>
    <mergeCell ref="L240:L241"/>
    <mergeCell ref="M240:M241"/>
    <mergeCell ref="B242:B244"/>
    <mergeCell ref="C242:C244"/>
    <mergeCell ref="D242:D244"/>
    <mergeCell ref="E242:E244"/>
    <mergeCell ref="F242:F244"/>
    <mergeCell ref="G242:G244"/>
    <mergeCell ref="H239:H241"/>
    <mergeCell ref="I239:I241"/>
    <mergeCell ref="N239:N241"/>
    <mergeCell ref="O239:O241"/>
    <mergeCell ref="P239:P241"/>
    <mergeCell ref="Q239:Q241"/>
    <mergeCell ref="B239:B241"/>
    <mergeCell ref="C239:C241"/>
    <mergeCell ref="D239:D241"/>
    <mergeCell ref="E239:E241"/>
    <mergeCell ref="F239:F241"/>
    <mergeCell ref="G239:G241"/>
    <mergeCell ref="M237:M238"/>
    <mergeCell ref="B236:B238"/>
    <mergeCell ref="C236:C238"/>
    <mergeCell ref="D236:D238"/>
    <mergeCell ref="E236:E238"/>
    <mergeCell ref="F236:F238"/>
    <mergeCell ref="G236:G238"/>
    <mergeCell ref="C231:C232"/>
    <mergeCell ref="D231:D232"/>
    <mergeCell ref="E231:E232"/>
    <mergeCell ref="F231:F232"/>
    <mergeCell ref="G231:G232"/>
    <mergeCell ref="H231:H232"/>
    <mergeCell ref="H242:H244"/>
    <mergeCell ref="I242:I244"/>
    <mergeCell ref="N242:N244"/>
    <mergeCell ref="O242:O244"/>
    <mergeCell ref="R233:R235"/>
    <mergeCell ref="S233:S235"/>
    <mergeCell ref="T233:T247"/>
    <mergeCell ref="U233:U235"/>
    <mergeCell ref="L234:L235"/>
    <mergeCell ref="M234:M235"/>
    <mergeCell ref="R236:R238"/>
    <mergeCell ref="S236:S238"/>
    <mergeCell ref="U236:U238"/>
    <mergeCell ref="R239:R241"/>
    <mergeCell ref="H233:H235"/>
    <mergeCell ref="I233:I235"/>
    <mergeCell ref="N233:N235"/>
    <mergeCell ref="O233:O235"/>
    <mergeCell ref="P233:P235"/>
    <mergeCell ref="Q233:Q235"/>
    <mergeCell ref="S231:S232"/>
    <mergeCell ref="T231:T232"/>
    <mergeCell ref="U231:U232"/>
    <mergeCell ref="J232:M232"/>
    <mergeCell ref="R242:R244"/>
    <mergeCell ref="S242:S244"/>
    <mergeCell ref="U242:U244"/>
    <mergeCell ref="L243:L244"/>
    <mergeCell ref="M243:M244"/>
    <mergeCell ref="H236:H238"/>
    <mergeCell ref="I236:I238"/>
    <mergeCell ref="N236:N238"/>
    <mergeCell ref="O236:O238"/>
    <mergeCell ref="P236:P238"/>
    <mergeCell ref="Q236:Q238"/>
    <mergeCell ref="L237:L238"/>
    <mergeCell ref="B226:O227"/>
    <mergeCell ref="P226:R226"/>
    <mergeCell ref="T226:T227"/>
    <mergeCell ref="P227:R227"/>
    <mergeCell ref="H223:H225"/>
    <mergeCell ref="I223:I225"/>
    <mergeCell ref="N223:N225"/>
    <mergeCell ref="O223:O225"/>
    <mergeCell ref="P223:P225"/>
    <mergeCell ref="Q223:Q225"/>
    <mergeCell ref="B223:B225"/>
    <mergeCell ref="C223:C225"/>
    <mergeCell ref="D223:D225"/>
    <mergeCell ref="E223:E225"/>
    <mergeCell ref="F223:F225"/>
    <mergeCell ref="G223:G225"/>
    <mergeCell ref="B233:B235"/>
    <mergeCell ref="C233:C235"/>
    <mergeCell ref="D233:D235"/>
    <mergeCell ref="E233:E235"/>
    <mergeCell ref="F233:F235"/>
    <mergeCell ref="G233:G235"/>
    <mergeCell ref="I231:I232"/>
    <mergeCell ref="J231:M231"/>
    <mergeCell ref="N231:N232"/>
    <mergeCell ref="O231:O232"/>
    <mergeCell ref="P231:Q231"/>
    <mergeCell ref="R231:R232"/>
    <mergeCell ref="C230:E230"/>
    <mergeCell ref="F230:O230"/>
    <mergeCell ref="P230:R230"/>
    <mergeCell ref="B231:B232"/>
    <mergeCell ref="R220:R222"/>
    <mergeCell ref="S220:S222"/>
    <mergeCell ref="U220:U222"/>
    <mergeCell ref="L221:L222"/>
    <mergeCell ref="M221:M222"/>
    <mergeCell ref="G220:G222"/>
    <mergeCell ref="H220:H222"/>
    <mergeCell ref="I220:I222"/>
    <mergeCell ref="N220:N222"/>
    <mergeCell ref="O220:O222"/>
    <mergeCell ref="P220:P222"/>
    <mergeCell ref="R217:R219"/>
    <mergeCell ref="S217:S219"/>
    <mergeCell ref="U217:U219"/>
    <mergeCell ref="L218:L219"/>
    <mergeCell ref="M218:M219"/>
    <mergeCell ref="T211:T225"/>
    <mergeCell ref="U211:U213"/>
    <mergeCell ref="U214:U216"/>
    <mergeCell ref="R223:R225"/>
    <mergeCell ref="S223:S225"/>
    <mergeCell ref="U223:U225"/>
    <mergeCell ref="L224:L225"/>
    <mergeCell ref="M224:M225"/>
    <mergeCell ref="H214:H216"/>
    <mergeCell ref="I214:I216"/>
    <mergeCell ref="N214:N216"/>
    <mergeCell ref="O214:O216"/>
    <mergeCell ref="P214:P216"/>
    <mergeCell ref="Q214:Q216"/>
    <mergeCell ref="L215:L216"/>
    <mergeCell ref="M215:M216"/>
    <mergeCell ref="B220:B222"/>
    <mergeCell ref="C220:C222"/>
    <mergeCell ref="D220:D222"/>
    <mergeCell ref="E220:E222"/>
    <mergeCell ref="F220:F222"/>
    <mergeCell ref="H217:H219"/>
    <mergeCell ref="I217:I219"/>
    <mergeCell ref="N217:N219"/>
    <mergeCell ref="O217:O219"/>
    <mergeCell ref="P217:P219"/>
    <mergeCell ref="Q217:Q219"/>
    <mergeCell ref="B217:B219"/>
    <mergeCell ref="C217:C219"/>
    <mergeCell ref="D217:D219"/>
    <mergeCell ref="E217:E219"/>
    <mergeCell ref="F217:F219"/>
    <mergeCell ref="G217:G219"/>
    <mergeCell ref="Q220:Q222"/>
    <mergeCell ref="B214:B216"/>
    <mergeCell ref="C214:C216"/>
    <mergeCell ref="D214:D216"/>
    <mergeCell ref="E214:E216"/>
    <mergeCell ref="F214:F216"/>
    <mergeCell ref="G214:G216"/>
    <mergeCell ref="Q211:Q213"/>
    <mergeCell ref="R211:R213"/>
    <mergeCell ref="S211:S213"/>
    <mergeCell ref="L212:L213"/>
    <mergeCell ref="M212:M213"/>
    <mergeCell ref="R214:R216"/>
    <mergeCell ref="S214:S216"/>
    <mergeCell ref="G211:G213"/>
    <mergeCell ref="H211:H213"/>
    <mergeCell ref="I211:I213"/>
    <mergeCell ref="N211:N213"/>
    <mergeCell ref="O211:O213"/>
    <mergeCell ref="P211:P213"/>
    <mergeCell ref="R209:R210"/>
    <mergeCell ref="S209:S210"/>
    <mergeCell ref="T209:T210"/>
    <mergeCell ref="U209:U210"/>
    <mergeCell ref="J210:M210"/>
    <mergeCell ref="B211:B213"/>
    <mergeCell ref="C211:C213"/>
    <mergeCell ref="D211:D213"/>
    <mergeCell ref="E211:E213"/>
    <mergeCell ref="F211:F213"/>
    <mergeCell ref="H209:H210"/>
    <mergeCell ref="I209:I210"/>
    <mergeCell ref="J209:M209"/>
    <mergeCell ref="N209:N210"/>
    <mergeCell ref="O209:O210"/>
    <mergeCell ref="P209:Q209"/>
    <mergeCell ref="B209:B210"/>
    <mergeCell ref="C209:C210"/>
    <mergeCell ref="D209:D210"/>
    <mergeCell ref="E209:E210"/>
    <mergeCell ref="F209:F210"/>
    <mergeCell ref="G209:G210"/>
    <mergeCell ref="B204:O205"/>
    <mergeCell ref="P204:R204"/>
    <mergeCell ref="T204:T205"/>
    <mergeCell ref="P205:R205"/>
    <mergeCell ref="C208:E208"/>
    <mergeCell ref="F208:O208"/>
    <mergeCell ref="P208:R208"/>
    <mergeCell ref="Q201:Q203"/>
    <mergeCell ref="R201:R203"/>
    <mergeCell ref="S201:S203"/>
    <mergeCell ref="U201:U203"/>
    <mergeCell ref="L202:L203"/>
    <mergeCell ref="M202:M203"/>
    <mergeCell ref="G201:G203"/>
    <mergeCell ref="H201:H203"/>
    <mergeCell ref="I201:I203"/>
    <mergeCell ref="N201:N203"/>
    <mergeCell ref="O201:O203"/>
    <mergeCell ref="P201:P203"/>
    <mergeCell ref="B201:B203"/>
    <mergeCell ref="C201:C203"/>
    <mergeCell ref="D201:D203"/>
    <mergeCell ref="E201:E203"/>
    <mergeCell ref="F201:F203"/>
    <mergeCell ref="P198:P200"/>
    <mergeCell ref="Q198:Q200"/>
    <mergeCell ref="S195:S197"/>
    <mergeCell ref="U195:U197"/>
    <mergeCell ref="L196:L197"/>
    <mergeCell ref="M196:M197"/>
    <mergeCell ref="B198:B200"/>
    <mergeCell ref="C198:C200"/>
    <mergeCell ref="D198:D200"/>
    <mergeCell ref="E198:E200"/>
    <mergeCell ref="F198:F200"/>
    <mergeCell ref="G198:G200"/>
    <mergeCell ref="H195:H197"/>
    <mergeCell ref="I195:I197"/>
    <mergeCell ref="N195:N197"/>
    <mergeCell ref="O195:O197"/>
    <mergeCell ref="P195:P197"/>
    <mergeCell ref="Q195:Q197"/>
    <mergeCell ref="B195:B197"/>
    <mergeCell ref="C195:C197"/>
    <mergeCell ref="D195:D197"/>
    <mergeCell ref="E195:E197"/>
    <mergeCell ref="F195:F197"/>
    <mergeCell ref="G195:G197"/>
    <mergeCell ref="M193:M194"/>
    <mergeCell ref="B192:B194"/>
    <mergeCell ref="C192:C194"/>
    <mergeCell ref="D192:D194"/>
    <mergeCell ref="E192:E194"/>
    <mergeCell ref="F192:F194"/>
    <mergeCell ref="G192:G194"/>
    <mergeCell ref="C187:C188"/>
    <mergeCell ref="D187:D188"/>
    <mergeCell ref="E187:E188"/>
    <mergeCell ref="F187:F188"/>
    <mergeCell ref="G187:G188"/>
    <mergeCell ref="H187:H188"/>
    <mergeCell ref="H198:H200"/>
    <mergeCell ref="I198:I200"/>
    <mergeCell ref="N198:N200"/>
    <mergeCell ref="O198:O200"/>
    <mergeCell ref="R189:R191"/>
    <mergeCell ref="S189:S191"/>
    <mergeCell ref="T189:T203"/>
    <mergeCell ref="U189:U191"/>
    <mergeCell ref="L190:L191"/>
    <mergeCell ref="M190:M191"/>
    <mergeCell ref="R192:R194"/>
    <mergeCell ref="S192:S194"/>
    <mergeCell ref="U192:U194"/>
    <mergeCell ref="R195:R197"/>
    <mergeCell ref="H189:H191"/>
    <mergeCell ref="I189:I191"/>
    <mergeCell ref="N189:N191"/>
    <mergeCell ref="O189:O191"/>
    <mergeCell ref="P189:P191"/>
    <mergeCell ref="Q189:Q191"/>
    <mergeCell ref="S187:S188"/>
    <mergeCell ref="T187:T188"/>
    <mergeCell ref="U187:U188"/>
    <mergeCell ref="J188:M188"/>
    <mergeCell ref="R198:R200"/>
    <mergeCell ref="S198:S200"/>
    <mergeCell ref="U198:U200"/>
    <mergeCell ref="L199:L200"/>
    <mergeCell ref="M199:M200"/>
    <mergeCell ref="H192:H194"/>
    <mergeCell ref="I192:I194"/>
    <mergeCell ref="N192:N194"/>
    <mergeCell ref="O192:O194"/>
    <mergeCell ref="P192:P194"/>
    <mergeCell ref="Q192:Q194"/>
    <mergeCell ref="L193:L194"/>
    <mergeCell ref="B182:O183"/>
    <mergeCell ref="P182:R182"/>
    <mergeCell ref="T182:T183"/>
    <mergeCell ref="P183:R183"/>
    <mergeCell ref="H179:H181"/>
    <mergeCell ref="I179:I181"/>
    <mergeCell ref="N179:N181"/>
    <mergeCell ref="O179:O181"/>
    <mergeCell ref="P179:P181"/>
    <mergeCell ref="Q179:Q181"/>
    <mergeCell ref="B179:B181"/>
    <mergeCell ref="C179:C181"/>
    <mergeCell ref="D179:D181"/>
    <mergeCell ref="E179:E181"/>
    <mergeCell ref="F179:F181"/>
    <mergeCell ref="G179:G181"/>
    <mergeCell ref="B189:B191"/>
    <mergeCell ref="C189:C191"/>
    <mergeCell ref="D189:D191"/>
    <mergeCell ref="E189:E191"/>
    <mergeCell ref="F189:F191"/>
    <mergeCell ref="G189:G191"/>
    <mergeCell ref="I187:I188"/>
    <mergeCell ref="J187:M187"/>
    <mergeCell ref="N187:N188"/>
    <mergeCell ref="O187:O188"/>
    <mergeCell ref="P187:Q187"/>
    <mergeCell ref="R187:R188"/>
    <mergeCell ref="C186:E186"/>
    <mergeCell ref="F186:O186"/>
    <mergeCell ref="P186:R186"/>
    <mergeCell ref="B187:B188"/>
    <mergeCell ref="R176:R178"/>
    <mergeCell ref="S176:S178"/>
    <mergeCell ref="U176:U178"/>
    <mergeCell ref="L177:L178"/>
    <mergeCell ref="M177:M178"/>
    <mergeCell ref="G176:G178"/>
    <mergeCell ref="H176:H178"/>
    <mergeCell ref="I176:I178"/>
    <mergeCell ref="N176:N178"/>
    <mergeCell ref="O176:O178"/>
    <mergeCell ref="P176:P178"/>
    <mergeCell ref="R173:R175"/>
    <mergeCell ref="S173:S175"/>
    <mergeCell ref="U173:U175"/>
    <mergeCell ref="L174:L175"/>
    <mergeCell ref="M174:M175"/>
    <mergeCell ref="T167:T181"/>
    <mergeCell ref="U167:U169"/>
    <mergeCell ref="U170:U172"/>
    <mergeCell ref="R179:R181"/>
    <mergeCell ref="S179:S181"/>
    <mergeCell ref="U179:U181"/>
    <mergeCell ref="L180:L181"/>
    <mergeCell ref="M180:M181"/>
    <mergeCell ref="H170:H172"/>
    <mergeCell ref="I170:I172"/>
    <mergeCell ref="N170:N172"/>
    <mergeCell ref="O170:O172"/>
    <mergeCell ref="P170:P172"/>
    <mergeCell ref="Q170:Q172"/>
    <mergeCell ref="L171:L172"/>
    <mergeCell ref="M171:M172"/>
    <mergeCell ref="B176:B178"/>
    <mergeCell ref="C176:C178"/>
    <mergeCell ref="D176:D178"/>
    <mergeCell ref="E176:E178"/>
    <mergeCell ref="F176:F178"/>
    <mergeCell ref="H173:H175"/>
    <mergeCell ref="I173:I175"/>
    <mergeCell ref="N173:N175"/>
    <mergeCell ref="O173:O175"/>
    <mergeCell ref="P173:P175"/>
    <mergeCell ref="Q173:Q175"/>
    <mergeCell ref="B173:B175"/>
    <mergeCell ref="C173:C175"/>
    <mergeCell ref="D173:D175"/>
    <mergeCell ref="E173:E175"/>
    <mergeCell ref="F173:F175"/>
    <mergeCell ref="G173:G175"/>
    <mergeCell ref="Q176:Q178"/>
    <mergeCell ref="B170:B172"/>
    <mergeCell ref="C170:C172"/>
    <mergeCell ref="D170:D172"/>
    <mergeCell ref="E170:E172"/>
    <mergeCell ref="F170:F172"/>
    <mergeCell ref="G170:G172"/>
    <mergeCell ref="Q167:Q169"/>
    <mergeCell ref="R167:R169"/>
    <mergeCell ref="S167:S169"/>
    <mergeCell ref="L168:L169"/>
    <mergeCell ref="M168:M169"/>
    <mergeCell ref="R170:R172"/>
    <mergeCell ref="S170:S172"/>
    <mergeCell ref="G167:G169"/>
    <mergeCell ref="H167:H169"/>
    <mergeCell ref="I167:I169"/>
    <mergeCell ref="N167:N169"/>
    <mergeCell ref="O167:O169"/>
    <mergeCell ref="P167:P169"/>
    <mergeCell ref="R165:R166"/>
    <mergeCell ref="S165:S166"/>
    <mergeCell ref="T165:T166"/>
    <mergeCell ref="U165:U166"/>
    <mergeCell ref="J166:M166"/>
    <mergeCell ref="B167:B169"/>
    <mergeCell ref="C167:C169"/>
    <mergeCell ref="D167:D169"/>
    <mergeCell ref="E167:E169"/>
    <mergeCell ref="F167:F169"/>
    <mergeCell ref="H165:H166"/>
    <mergeCell ref="I165:I166"/>
    <mergeCell ref="J165:M165"/>
    <mergeCell ref="N165:N166"/>
    <mergeCell ref="O165:O166"/>
    <mergeCell ref="P165:Q165"/>
    <mergeCell ref="B165:B166"/>
    <mergeCell ref="C165:C166"/>
    <mergeCell ref="D165:D166"/>
    <mergeCell ref="E165:E166"/>
    <mergeCell ref="F165:F166"/>
    <mergeCell ref="G165:G166"/>
    <mergeCell ref="B160:O161"/>
    <mergeCell ref="P160:R160"/>
    <mergeCell ref="T160:T161"/>
    <mergeCell ref="P161:R161"/>
    <mergeCell ref="C164:E164"/>
    <mergeCell ref="F164:O164"/>
    <mergeCell ref="P164:R164"/>
    <mergeCell ref="Q157:Q159"/>
    <mergeCell ref="R157:R159"/>
    <mergeCell ref="S157:S159"/>
    <mergeCell ref="U157:U159"/>
    <mergeCell ref="L158:L159"/>
    <mergeCell ref="M158:M159"/>
    <mergeCell ref="G157:G159"/>
    <mergeCell ref="H157:H159"/>
    <mergeCell ref="I157:I159"/>
    <mergeCell ref="N157:N159"/>
    <mergeCell ref="O157:O159"/>
    <mergeCell ref="P157:P159"/>
    <mergeCell ref="B157:B159"/>
    <mergeCell ref="C157:C159"/>
    <mergeCell ref="D157:D159"/>
    <mergeCell ref="E157:E159"/>
    <mergeCell ref="F157:F159"/>
    <mergeCell ref="P154:P156"/>
    <mergeCell ref="Q154:Q156"/>
    <mergeCell ref="S151:S153"/>
    <mergeCell ref="U151:U153"/>
    <mergeCell ref="L152:L153"/>
    <mergeCell ref="M152:M153"/>
    <mergeCell ref="B154:B156"/>
    <mergeCell ref="C154:C156"/>
    <mergeCell ref="D154:D156"/>
    <mergeCell ref="E154:E156"/>
    <mergeCell ref="F154:F156"/>
    <mergeCell ref="G154:G156"/>
    <mergeCell ref="H151:H153"/>
    <mergeCell ref="I151:I153"/>
    <mergeCell ref="N151:N153"/>
    <mergeCell ref="O151:O153"/>
    <mergeCell ref="P151:P153"/>
    <mergeCell ref="Q151:Q153"/>
    <mergeCell ref="B151:B153"/>
    <mergeCell ref="C151:C153"/>
    <mergeCell ref="D151:D153"/>
    <mergeCell ref="E151:E153"/>
    <mergeCell ref="F151:F153"/>
    <mergeCell ref="G151:G153"/>
    <mergeCell ref="M149:M150"/>
    <mergeCell ref="B148:B150"/>
    <mergeCell ref="C148:C150"/>
    <mergeCell ref="D148:D150"/>
    <mergeCell ref="E148:E150"/>
    <mergeCell ref="F148:F150"/>
    <mergeCell ref="G148:G150"/>
    <mergeCell ref="C143:C144"/>
    <mergeCell ref="D143:D144"/>
    <mergeCell ref="E143:E144"/>
    <mergeCell ref="F143:F144"/>
    <mergeCell ref="G143:G144"/>
    <mergeCell ref="H143:H144"/>
    <mergeCell ref="H154:H156"/>
    <mergeCell ref="I154:I156"/>
    <mergeCell ref="N154:N156"/>
    <mergeCell ref="O154:O156"/>
    <mergeCell ref="R145:R147"/>
    <mergeCell ref="S145:S147"/>
    <mergeCell ref="T145:T159"/>
    <mergeCell ref="U145:U147"/>
    <mergeCell ref="L146:L147"/>
    <mergeCell ref="M146:M147"/>
    <mergeCell ref="R148:R150"/>
    <mergeCell ref="S148:S150"/>
    <mergeCell ref="U148:U150"/>
    <mergeCell ref="R151:R153"/>
    <mergeCell ref="H145:H147"/>
    <mergeCell ref="I145:I147"/>
    <mergeCell ref="N145:N147"/>
    <mergeCell ref="O145:O147"/>
    <mergeCell ref="P145:P147"/>
    <mergeCell ref="Q145:Q147"/>
    <mergeCell ref="S143:S144"/>
    <mergeCell ref="T143:T144"/>
    <mergeCell ref="U143:U144"/>
    <mergeCell ref="J144:M144"/>
    <mergeCell ref="R154:R156"/>
    <mergeCell ref="S154:S156"/>
    <mergeCell ref="U154:U156"/>
    <mergeCell ref="L155:L156"/>
    <mergeCell ref="M155:M156"/>
    <mergeCell ref="H148:H150"/>
    <mergeCell ref="I148:I150"/>
    <mergeCell ref="N148:N150"/>
    <mergeCell ref="O148:O150"/>
    <mergeCell ref="P148:P150"/>
    <mergeCell ref="Q148:Q150"/>
    <mergeCell ref="L149:L150"/>
    <mergeCell ref="B138:O139"/>
    <mergeCell ref="P138:R138"/>
    <mergeCell ref="T138:T139"/>
    <mergeCell ref="P139:R139"/>
    <mergeCell ref="H135:H137"/>
    <mergeCell ref="I135:I137"/>
    <mergeCell ref="N135:N137"/>
    <mergeCell ref="O135:O137"/>
    <mergeCell ref="P135:P137"/>
    <mergeCell ref="Q135:Q137"/>
    <mergeCell ref="B135:B137"/>
    <mergeCell ref="C135:C137"/>
    <mergeCell ref="D135:D137"/>
    <mergeCell ref="E135:E137"/>
    <mergeCell ref="F135:F137"/>
    <mergeCell ref="G135:G137"/>
    <mergeCell ref="B145:B147"/>
    <mergeCell ref="C145:C147"/>
    <mergeCell ref="D145:D147"/>
    <mergeCell ref="E145:E147"/>
    <mergeCell ref="F145:F147"/>
    <mergeCell ref="G145:G147"/>
    <mergeCell ref="I143:I144"/>
    <mergeCell ref="J143:M143"/>
    <mergeCell ref="N143:N144"/>
    <mergeCell ref="O143:O144"/>
    <mergeCell ref="P143:Q143"/>
    <mergeCell ref="R143:R144"/>
    <mergeCell ref="C142:E142"/>
    <mergeCell ref="F142:O142"/>
    <mergeCell ref="P142:R142"/>
    <mergeCell ref="B143:B144"/>
    <mergeCell ref="R132:R134"/>
    <mergeCell ref="S132:S134"/>
    <mergeCell ref="U132:U134"/>
    <mergeCell ref="L133:L134"/>
    <mergeCell ref="M133:M134"/>
    <mergeCell ref="G132:G134"/>
    <mergeCell ref="H132:H134"/>
    <mergeCell ref="I132:I134"/>
    <mergeCell ref="N132:N134"/>
    <mergeCell ref="O132:O134"/>
    <mergeCell ref="P132:P134"/>
    <mergeCell ref="R129:R131"/>
    <mergeCell ref="S129:S131"/>
    <mergeCell ref="U129:U131"/>
    <mergeCell ref="L130:L131"/>
    <mergeCell ref="M130:M131"/>
    <mergeCell ref="T123:T137"/>
    <mergeCell ref="U123:U125"/>
    <mergeCell ref="U126:U128"/>
    <mergeCell ref="R135:R137"/>
    <mergeCell ref="S135:S137"/>
    <mergeCell ref="U135:U137"/>
    <mergeCell ref="L136:L137"/>
    <mergeCell ref="M136:M137"/>
    <mergeCell ref="H126:H128"/>
    <mergeCell ref="I126:I128"/>
    <mergeCell ref="N126:N128"/>
    <mergeCell ref="O126:O128"/>
    <mergeCell ref="P126:P128"/>
    <mergeCell ref="Q126:Q128"/>
    <mergeCell ref="L127:L128"/>
    <mergeCell ref="M127:M128"/>
    <mergeCell ref="B132:B134"/>
    <mergeCell ref="C132:C134"/>
    <mergeCell ref="D132:D134"/>
    <mergeCell ref="E132:E134"/>
    <mergeCell ref="F132:F134"/>
    <mergeCell ref="H129:H131"/>
    <mergeCell ref="I129:I131"/>
    <mergeCell ref="N129:N131"/>
    <mergeCell ref="O129:O131"/>
    <mergeCell ref="P129:P131"/>
    <mergeCell ref="Q129:Q131"/>
    <mergeCell ref="B129:B131"/>
    <mergeCell ref="C129:C131"/>
    <mergeCell ref="D129:D131"/>
    <mergeCell ref="E129:E131"/>
    <mergeCell ref="F129:F131"/>
    <mergeCell ref="G129:G131"/>
    <mergeCell ref="Q132:Q134"/>
    <mergeCell ref="B126:B128"/>
    <mergeCell ref="C126:C128"/>
    <mergeCell ref="D126:D128"/>
    <mergeCell ref="E126:E128"/>
    <mergeCell ref="F126:F128"/>
    <mergeCell ref="G126:G128"/>
    <mergeCell ref="Q123:Q125"/>
    <mergeCell ref="R123:R125"/>
    <mergeCell ref="S123:S125"/>
    <mergeCell ref="L124:L125"/>
    <mergeCell ref="M124:M125"/>
    <mergeCell ref="R126:R128"/>
    <mergeCell ref="S126:S128"/>
    <mergeCell ref="G123:G125"/>
    <mergeCell ref="H123:H125"/>
    <mergeCell ref="I123:I125"/>
    <mergeCell ref="N123:N125"/>
    <mergeCell ref="O123:O125"/>
    <mergeCell ref="P123:P125"/>
    <mergeCell ref="R121:R122"/>
    <mergeCell ref="S121:S122"/>
    <mergeCell ref="T121:T122"/>
    <mergeCell ref="U121:U122"/>
    <mergeCell ref="J122:M122"/>
    <mergeCell ref="B123:B125"/>
    <mergeCell ref="C123:C125"/>
    <mergeCell ref="D123:D125"/>
    <mergeCell ref="E123:E125"/>
    <mergeCell ref="F123:F125"/>
    <mergeCell ref="H121:H122"/>
    <mergeCell ref="I121:I122"/>
    <mergeCell ref="J121:M121"/>
    <mergeCell ref="N121:N122"/>
    <mergeCell ref="O121:O122"/>
    <mergeCell ref="P121:Q121"/>
    <mergeCell ref="B121:B122"/>
    <mergeCell ref="C121:C122"/>
    <mergeCell ref="D121:D122"/>
    <mergeCell ref="E121:E122"/>
    <mergeCell ref="F121:F122"/>
    <mergeCell ref="G121:G122"/>
    <mergeCell ref="B116:O117"/>
    <mergeCell ref="P116:R116"/>
    <mergeCell ref="T116:T117"/>
    <mergeCell ref="P117:R117"/>
    <mergeCell ref="C120:E120"/>
    <mergeCell ref="F120:O120"/>
    <mergeCell ref="P120:R120"/>
    <mergeCell ref="Q113:Q115"/>
    <mergeCell ref="R113:R115"/>
    <mergeCell ref="S113:S115"/>
    <mergeCell ref="U113:U115"/>
    <mergeCell ref="L114:L115"/>
    <mergeCell ref="M114:M115"/>
    <mergeCell ref="G113:G115"/>
    <mergeCell ref="H113:H115"/>
    <mergeCell ref="I113:I115"/>
    <mergeCell ref="N113:N115"/>
    <mergeCell ref="O113:O115"/>
    <mergeCell ref="P113:P115"/>
    <mergeCell ref="B113:B115"/>
    <mergeCell ref="C113:C115"/>
    <mergeCell ref="D113:D115"/>
    <mergeCell ref="E113:E115"/>
    <mergeCell ref="F113:F115"/>
    <mergeCell ref="P110:P112"/>
    <mergeCell ref="Q110:Q112"/>
    <mergeCell ref="S107:S109"/>
    <mergeCell ref="U107:U109"/>
    <mergeCell ref="L108:L109"/>
    <mergeCell ref="M108:M109"/>
    <mergeCell ref="B110:B112"/>
    <mergeCell ref="C110:C112"/>
    <mergeCell ref="D110:D112"/>
    <mergeCell ref="E110:E112"/>
    <mergeCell ref="F110:F112"/>
    <mergeCell ref="G110:G112"/>
    <mergeCell ref="H107:H109"/>
    <mergeCell ref="I107:I109"/>
    <mergeCell ref="N107:N109"/>
    <mergeCell ref="O107:O109"/>
    <mergeCell ref="P107:P109"/>
    <mergeCell ref="Q107:Q109"/>
    <mergeCell ref="B107:B109"/>
    <mergeCell ref="C107:C109"/>
    <mergeCell ref="D107:D109"/>
    <mergeCell ref="E107:E109"/>
    <mergeCell ref="F107:F109"/>
    <mergeCell ref="G107:G109"/>
    <mergeCell ref="M105:M106"/>
    <mergeCell ref="B104:B106"/>
    <mergeCell ref="C104:C106"/>
    <mergeCell ref="D104:D106"/>
    <mergeCell ref="E104:E106"/>
    <mergeCell ref="F104:F106"/>
    <mergeCell ref="G104:G106"/>
    <mergeCell ref="C99:C100"/>
    <mergeCell ref="D99:D100"/>
    <mergeCell ref="E99:E100"/>
    <mergeCell ref="F99:F100"/>
    <mergeCell ref="G99:G100"/>
    <mergeCell ref="H99:H100"/>
    <mergeCell ref="H110:H112"/>
    <mergeCell ref="I110:I112"/>
    <mergeCell ref="N110:N112"/>
    <mergeCell ref="O110:O112"/>
    <mergeCell ref="R101:R103"/>
    <mergeCell ref="S101:S103"/>
    <mergeCell ref="T101:T115"/>
    <mergeCell ref="U101:U103"/>
    <mergeCell ref="L102:L103"/>
    <mergeCell ref="M102:M103"/>
    <mergeCell ref="R104:R106"/>
    <mergeCell ref="S104:S106"/>
    <mergeCell ref="U104:U106"/>
    <mergeCell ref="R107:R109"/>
    <mergeCell ref="H101:H103"/>
    <mergeCell ref="I101:I103"/>
    <mergeCell ref="N101:N103"/>
    <mergeCell ref="O101:O103"/>
    <mergeCell ref="P101:P103"/>
    <mergeCell ref="Q101:Q103"/>
    <mergeCell ref="S99:S100"/>
    <mergeCell ref="T99:T100"/>
    <mergeCell ref="U99:U100"/>
    <mergeCell ref="J100:M100"/>
    <mergeCell ref="R110:R112"/>
    <mergeCell ref="S110:S112"/>
    <mergeCell ref="U110:U112"/>
    <mergeCell ref="L111:L112"/>
    <mergeCell ref="M111:M112"/>
    <mergeCell ref="H104:H106"/>
    <mergeCell ref="I104:I106"/>
    <mergeCell ref="N104:N106"/>
    <mergeCell ref="O104:O106"/>
    <mergeCell ref="P104:P106"/>
    <mergeCell ref="Q104:Q106"/>
    <mergeCell ref="L105:L106"/>
    <mergeCell ref="B94:O95"/>
    <mergeCell ref="P94:R94"/>
    <mergeCell ref="T94:T95"/>
    <mergeCell ref="P95:R95"/>
    <mergeCell ref="H91:H93"/>
    <mergeCell ref="I91:I93"/>
    <mergeCell ref="N91:N93"/>
    <mergeCell ref="O91:O93"/>
    <mergeCell ref="P91:P93"/>
    <mergeCell ref="Q91:Q93"/>
    <mergeCell ref="B91:B93"/>
    <mergeCell ref="C91:C93"/>
    <mergeCell ref="D91:D93"/>
    <mergeCell ref="E91:E93"/>
    <mergeCell ref="F91:F93"/>
    <mergeCell ref="G91:G93"/>
    <mergeCell ref="B101:B103"/>
    <mergeCell ref="C101:C103"/>
    <mergeCell ref="D101:D103"/>
    <mergeCell ref="E101:E103"/>
    <mergeCell ref="F101:F103"/>
    <mergeCell ref="G101:G103"/>
    <mergeCell ref="I99:I100"/>
    <mergeCell ref="J99:M99"/>
    <mergeCell ref="N99:N100"/>
    <mergeCell ref="O99:O100"/>
    <mergeCell ref="P99:Q99"/>
    <mergeCell ref="R99:R100"/>
    <mergeCell ref="C98:E98"/>
    <mergeCell ref="F98:O98"/>
    <mergeCell ref="P98:R98"/>
    <mergeCell ref="B99:B100"/>
    <mergeCell ref="R88:R90"/>
    <mergeCell ref="S88:S90"/>
    <mergeCell ref="U88:U90"/>
    <mergeCell ref="L89:L90"/>
    <mergeCell ref="M89:M90"/>
    <mergeCell ref="G88:G90"/>
    <mergeCell ref="H88:H90"/>
    <mergeCell ref="I88:I90"/>
    <mergeCell ref="N88:N90"/>
    <mergeCell ref="O88:O90"/>
    <mergeCell ref="P88:P90"/>
    <mergeCell ref="R85:R87"/>
    <mergeCell ref="S85:S87"/>
    <mergeCell ref="U85:U87"/>
    <mergeCell ref="L86:L87"/>
    <mergeCell ref="M86:M87"/>
    <mergeCell ref="T79:T93"/>
    <mergeCell ref="U79:U81"/>
    <mergeCell ref="U82:U84"/>
    <mergeCell ref="R91:R93"/>
    <mergeCell ref="S91:S93"/>
    <mergeCell ref="U91:U93"/>
    <mergeCell ref="L92:L93"/>
    <mergeCell ref="M92:M93"/>
    <mergeCell ref="H82:H84"/>
    <mergeCell ref="I82:I84"/>
    <mergeCell ref="N82:N84"/>
    <mergeCell ref="O82:O84"/>
    <mergeCell ref="P82:P84"/>
    <mergeCell ref="Q82:Q84"/>
    <mergeCell ref="L83:L84"/>
    <mergeCell ref="M83:M84"/>
    <mergeCell ref="B88:B90"/>
    <mergeCell ref="C88:C90"/>
    <mergeCell ref="D88:D90"/>
    <mergeCell ref="E88:E90"/>
    <mergeCell ref="F88:F90"/>
    <mergeCell ref="H85:H87"/>
    <mergeCell ref="I85:I87"/>
    <mergeCell ref="N85:N87"/>
    <mergeCell ref="O85:O87"/>
    <mergeCell ref="P85:P87"/>
    <mergeCell ref="Q85:Q87"/>
    <mergeCell ref="B85:B87"/>
    <mergeCell ref="C85:C87"/>
    <mergeCell ref="D85:D87"/>
    <mergeCell ref="E85:E87"/>
    <mergeCell ref="F85:F87"/>
    <mergeCell ref="G85:G87"/>
    <mergeCell ref="Q88:Q90"/>
    <mergeCell ref="B82:B84"/>
    <mergeCell ref="C82:C84"/>
    <mergeCell ref="D82:D84"/>
    <mergeCell ref="E82:E84"/>
    <mergeCell ref="F82:F84"/>
    <mergeCell ref="G82:G84"/>
    <mergeCell ref="Q79:Q81"/>
    <mergeCell ref="R79:R81"/>
    <mergeCell ref="S79:S81"/>
    <mergeCell ref="L80:L81"/>
    <mergeCell ref="M80:M81"/>
    <mergeCell ref="R82:R84"/>
    <mergeCell ref="S82:S84"/>
    <mergeCell ref="G79:G81"/>
    <mergeCell ref="H79:H81"/>
    <mergeCell ref="I79:I81"/>
    <mergeCell ref="N79:N81"/>
    <mergeCell ref="O79:O81"/>
    <mergeCell ref="P79:P81"/>
    <mergeCell ref="R77:R78"/>
    <mergeCell ref="S77:S78"/>
    <mergeCell ref="T77:T78"/>
    <mergeCell ref="U77:U78"/>
    <mergeCell ref="J78:M78"/>
    <mergeCell ref="B79:B81"/>
    <mergeCell ref="C79:C81"/>
    <mergeCell ref="D79:D81"/>
    <mergeCell ref="E79:E81"/>
    <mergeCell ref="F79:F81"/>
    <mergeCell ref="H77:H78"/>
    <mergeCell ref="I77:I78"/>
    <mergeCell ref="J77:M77"/>
    <mergeCell ref="N77:N78"/>
    <mergeCell ref="O77:O78"/>
    <mergeCell ref="P77:Q77"/>
    <mergeCell ref="B77:B78"/>
    <mergeCell ref="C77:C78"/>
    <mergeCell ref="D77:D78"/>
    <mergeCell ref="E77:E78"/>
    <mergeCell ref="F77:F78"/>
    <mergeCell ref="G77:G78"/>
    <mergeCell ref="B72:O73"/>
    <mergeCell ref="P72:R72"/>
    <mergeCell ref="T72:T73"/>
    <mergeCell ref="P73:R73"/>
    <mergeCell ref="C76:E76"/>
    <mergeCell ref="F76:O76"/>
    <mergeCell ref="P76:R76"/>
    <mergeCell ref="Q69:Q71"/>
    <mergeCell ref="R69:R71"/>
    <mergeCell ref="S69:S71"/>
    <mergeCell ref="U69:U71"/>
    <mergeCell ref="L70:L71"/>
    <mergeCell ref="M70:M71"/>
    <mergeCell ref="G69:G71"/>
    <mergeCell ref="H69:H71"/>
    <mergeCell ref="I69:I71"/>
    <mergeCell ref="N69:N71"/>
    <mergeCell ref="O69:O71"/>
    <mergeCell ref="P69:P71"/>
    <mergeCell ref="B69:B71"/>
    <mergeCell ref="C69:C71"/>
    <mergeCell ref="D69:D71"/>
    <mergeCell ref="E69:E71"/>
    <mergeCell ref="F69:F71"/>
    <mergeCell ref="P66:P68"/>
    <mergeCell ref="Q66:Q68"/>
    <mergeCell ref="S63:S65"/>
    <mergeCell ref="U63:U65"/>
    <mergeCell ref="L64:L65"/>
    <mergeCell ref="M64:M65"/>
    <mergeCell ref="B66:B68"/>
    <mergeCell ref="C66:C68"/>
    <mergeCell ref="D66:D68"/>
    <mergeCell ref="E66:E68"/>
    <mergeCell ref="F66:F68"/>
    <mergeCell ref="G66:G68"/>
    <mergeCell ref="H63:H65"/>
    <mergeCell ref="I63:I65"/>
    <mergeCell ref="N63:N65"/>
    <mergeCell ref="O63:O65"/>
    <mergeCell ref="P63:P65"/>
    <mergeCell ref="Q63:Q65"/>
    <mergeCell ref="B63:B65"/>
    <mergeCell ref="C63:C65"/>
    <mergeCell ref="D63:D65"/>
    <mergeCell ref="E63:E65"/>
    <mergeCell ref="F63:F65"/>
    <mergeCell ref="G63:G65"/>
    <mergeCell ref="M61:M62"/>
    <mergeCell ref="B60:B62"/>
    <mergeCell ref="C60:C62"/>
    <mergeCell ref="D60:D62"/>
    <mergeCell ref="E60:E62"/>
    <mergeCell ref="F60:F62"/>
    <mergeCell ref="G60:G62"/>
    <mergeCell ref="C55:C56"/>
    <mergeCell ref="D55:D56"/>
    <mergeCell ref="E55:E56"/>
    <mergeCell ref="F55:F56"/>
    <mergeCell ref="G55:G56"/>
    <mergeCell ref="H55:H56"/>
    <mergeCell ref="H66:H68"/>
    <mergeCell ref="I66:I68"/>
    <mergeCell ref="N66:N68"/>
    <mergeCell ref="O66:O68"/>
    <mergeCell ref="R57:R59"/>
    <mergeCell ref="S57:S59"/>
    <mergeCell ref="T57:T71"/>
    <mergeCell ref="U57:U59"/>
    <mergeCell ref="L58:L59"/>
    <mergeCell ref="M58:M59"/>
    <mergeCell ref="R60:R62"/>
    <mergeCell ref="S60:S62"/>
    <mergeCell ref="U60:U62"/>
    <mergeCell ref="R63:R65"/>
    <mergeCell ref="H57:H59"/>
    <mergeCell ref="I57:I59"/>
    <mergeCell ref="N57:N59"/>
    <mergeCell ref="O57:O59"/>
    <mergeCell ref="P57:P59"/>
    <mergeCell ref="Q57:Q59"/>
    <mergeCell ref="S55:S56"/>
    <mergeCell ref="T55:T56"/>
    <mergeCell ref="U55:U56"/>
    <mergeCell ref="J56:M56"/>
    <mergeCell ref="R66:R68"/>
    <mergeCell ref="S66:S68"/>
    <mergeCell ref="U66:U68"/>
    <mergeCell ref="L67:L68"/>
    <mergeCell ref="M67:M68"/>
    <mergeCell ref="H60:H62"/>
    <mergeCell ref="I60:I62"/>
    <mergeCell ref="N60:N62"/>
    <mergeCell ref="O60:O62"/>
    <mergeCell ref="P60:P62"/>
    <mergeCell ref="Q60:Q62"/>
    <mergeCell ref="L61:L62"/>
    <mergeCell ref="B50:O51"/>
    <mergeCell ref="P50:R50"/>
    <mergeCell ref="T50:T51"/>
    <mergeCell ref="P51:R51"/>
    <mergeCell ref="H47:H49"/>
    <mergeCell ref="I47:I49"/>
    <mergeCell ref="N47:N49"/>
    <mergeCell ref="O47:O49"/>
    <mergeCell ref="P47:P49"/>
    <mergeCell ref="Q47:Q49"/>
    <mergeCell ref="B47:B49"/>
    <mergeCell ref="C47:C49"/>
    <mergeCell ref="D47:D49"/>
    <mergeCell ref="E47:E49"/>
    <mergeCell ref="F47:F49"/>
    <mergeCell ref="G47:G49"/>
    <mergeCell ref="B57:B59"/>
    <mergeCell ref="C57:C59"/>
    <mergeCell ref="D57:D59"/>
    <mergeCell ref="E57:E59"/>
    <mergeCell ref="F57:F59"/>
    <mergeCell ref="G57:G59"/>
    <mergeCell ref="I55:I56"/>
    <mergeCell ref="J55:M55"/>
    <mergeCell ref="N55:N56"/>
    <mergeCell ref="O55:O56"/>
    <mergeCell ref="P55:Q55"/>
    <mergeCell ref="R55:R56"/>
    <mergeCell ref="C54:E54"/>
    <mergeCell ref="F54:O54"/>
    <mergeCell ref="P54:R54"/>
    <mergeCell ref="B55:B56"/>
    <mergeCell ref="R44:R46"/>
    <mergeCell ref="S44:S46"/>
    <mergeCell ref="U44:U46"/>
    <mergeCell ref="L45:L46"/>
    <mergeCell ref="M45:M46"/>
    <mergeCell ref="G44:G46"/>
    <mergeCell ref="H44:H46"/>
    <mergeCell ref="I44:I46"/>
    <mergeCell ref="N44:N46"/>
    <mergeCell ref="O44:O46"/>
    <mergeCell ref="P44:P46"/>
    <mergeCell ref="R41:R43"/>
    <mergeCell ref="S41:S43"/>
    <mergeCell ref="U41:U43"/>
    <mergeCell ref="L42:L43"/>
    <mergeCell ref="M42:M43"/>
    <mergeCell ref="T35:T49"/>
    <mergeCell ref="U35:U37"/>
    <mergeCell ref="U38:U40"/>
    <mergeCell ref="R47:R49"/>
    <mergeCell ref="S47:S49"/>
    <mergeCell ref="U47:U49"/>
    <mergeCell ref="L48:L49"/>
    <mergeCell ref="M48:M49"/>
    <mergeCell ref="H38:H40"/>
    <mergeCell ref="I38:I40"/>
    <mergeCell ref="N38:N40"/>
    <mergeCell ref="O38:O40"/>
    <mergeCell ref="P38:P40"/>
    <mergeCell ref="Q38:Q40"/>
    <mergeCell ref="L39:L40"/>
    <mergeCell ref="M39:M40"/>
    <mergeCell ref="B44:B46"/>
    <mergeCell ref="C44:C46"/>
    <mergeCell ref="D44:D46"/>
    <mergeCell ref="E44:E46"/>
    <mergeCell ref="F44:F46"/>
    <mergeCell ref="H41:H43"/>
    <mergeCell ref="I41:I43"/>
    <mergeCell ref="N41:N43"/>
    <mergeCell ref="O41:O43"/>
    <mergeCell ref="P41:P43"/>
    <mergeCell ref="Q41:Q43"/>
    <mergeCell ref="B41:B43"/>
    <mergeCell ref="C41:C43"/>
    <mergeCell ref="D41:D43"/>
    <mergeCell ref="E41:E43"/>
    <mergeCell ref="F41:F43"/>
    <mergeCell ref="G41:G43"/>
    <mergeCell ref="Q44:Q46"/>
    <mergeCell ref="F32:O32"/>
    <mergeCell ref="P32:R32"/>
    <mergeCell ref="Q25:Q27"/>
    <mergeCell ref="R25:R27"/>
    <mergeCell ref="B38:B40"/>
    <mergeCell ref="C38:C40"/>
    <mergeCell ref="D38:D40"/>
    <mergeCell ref="E38:E40"/>
    <mergeCell ref="F38:F40"/>
    <mergeCell ref="G38:G40"/>
    <mergeCell ref="Q35:Q37"/>
    <mergeCell ref="R35:R37"/>
    <mergeCell ref="S35:S37"/>
    <mergeCell ref="L36:L37"/>
    <mergeCell ref="M36:M37"/>
    <mergeCell ref="R38:R40"/>
    <mergeCell ref="S38:S40"/>
    <mergeCell ref="G35:G37"/>
    <mergeCell ref="H35:H37"/>
    <mergeCell ref="I35:I37"/>
    <mergeCell ref="N35:N37"/>
    <mergeCell ref="O35:O37"/>
    <mergeCell ref="P35:P37"/>
    <mergeCell ref="B35:B37"/>
    <mergeCell ref="C35:C37"/>
    <mergeCell ref="D35:D37"/>
    <mergeCell ref="E35:E37"/>
    <mergeCell ref="F35:F37"/>
    <mergeCell ref="S25:S27"/>
    <mergeCell ref="U25:U27"/>
    <mergeCell ref="L26:L27"/>
    <mergeCell ref="M26:M27"/>
    <mergeCell ref="G25:G27"/>
    <mergeCell ref="H25:H27"/>
    <mergeCell ref="I25:I27"/>
    <mergeCell ref="N25:N27"/>
    <mergeCell ref="O25:O27"/>
    <mergeCell ref="P25:P27"/>
    <mergeCell ref="R33:R34"/>
    <mergeCell ref="S33:S34"/>
    <mergeCell ref="T33:T34"/>
    <mergeCell ref="U33:U34"/>
    <mergeCell ref="J34:M34"/>
    <mergeCell ref="B25:B27"/>
    <mergeCell ref="C25:C27"/>
    <mergeCell ref="D25:D27"/>
    <mergeCell ref="E25:E27"/>
    <mergeCell ref="F25:F27"/>
    <mergeCell ref="H33:H34"/>
    <mergeCell ref="I33:I34"/>
    <mergeCell ref="J33:M33"/>
    <mergeCell ref="N33:N34"/>
    <mergeCell ref="O33:O34"/>
    <mergeCell ref="P33:Q33"/>
    <mergeCell ref="B33:B34"/>
    <mergeCell ref="C33:C34"/>
    <mergeCell ref="D33:D34"/>
    <mergeCell ref="E33:E34"/>
    <mergeCell ref="F33:F34"/>
    <mergeCell ref="G33:G34"/>
    <mergeCell ref="C32:E32"/>
    <mergeCell ref="S19:S21"/>
    <mergeCell ref="U19:U21"/>
    <mergeCell ref="L20:L21"/>
    <mergeCell ref="M20:M21"/>
    <mergeCell ref="B22:B24"/>
    <mergeCell ref="C22:C24"/>
    <mergeCell ref="D22:D24"/>
    <mergeCell ref="E22:E24"/>
    <mergeCell ref="F22:F24"/>
    <mergeCell ref="G22:G24"/>
    <mergeCell ref="H19:H21"/>
    <mergeCell ref="I19:I21"/>
    <mergeCell ref="N19:N21"/>
    <mergeCell ref="O19:O21"/>
    <mergeCell ref="P19:P21"/>
    <mergeCell ref="Q19:Q21"/>
    <mergeCell ref="B19:B21"/>
    <mergeCell ref="C19:C21"/>
    <mergeCell ref="D19:D21"/>
    <mergeCell ref="E19:E21"/>
    <mergeCell ref="F19:F21"/>
    <mergeCell ref="G19:G21"/>
    <mergeCell ref="L17:L18"/>
    <mergeCell ref="M17:M18"/>
    <mergeCell ref="B16:B18"/>
    <mergeCell ref="C16:C18"/>
    <mergeCell ref="D16:D18"/>
    <mergeCell ref="E16:E18"/>
    <mergeCell ref="F16:F18"/>
    <mergeCell ref="G16:G18"/>
    <mergeCell ref="G11:G12"/>
    <mergeCell ref="H11:H12"/>
    <mergeCell ref="Q13:Q15"/>
    <mergeCell ref="H22:H24"/>
    <mergeCell ref="I22:I24"/>
    <mergeCell ref="N22:N24"/>
    <mergeCell ref="O22:O24"/>
    <mergeCell ref="P22:P24"/>
    <mergeCell ref="Q22:Q24"/>
    <mergeCell ref="R13:R15"/>
    <mergeCell ref="S13:S15"/>
    <mergeCell ref="T13:T27"/>
    <mergeCell ref="U13:U15"/>
    <mergeCell ref="AI13:AI28"/>
    <mergeCell ref="R16:R18"/>
    <mergeCell ref="S16:S18"/>
    <mergeCell ref="U16:U18"/>
    <mergeCell ref="R19:R21"/>
    <mergeCell ref="G13:G15"/>
    <mergeCell ref="H13:H15"/>
    <mergeCell ref="I13:I15"/>
    <mergeCell ref="N13:N15"/>
    <mergeCell ref="O13:O15"/>
    <mergeCell ref="P13:P15"/>
    <mergeCell ref="L14:L15"/>
    <mergeCell ref="M14:M15"/>
    <mergeCell ref="R22:R24"/>
    <mergeCell ref="S22:S24"/>
    <mergeCell ref="U22:U24"/>
    <mergeCell ref="L23:L24"/>
    <mergeCell ref="M23:M24"/>
    <mergeCell ref="B28:O29"/>
    <mergeCell ref="P28:R28"/>
    <mergeCell ref="T28:T29"/>
    <mergeCell ref="P29:R29"/>
    <mergeCell ref="H16:H18"/>
    <mergeCell ref="I16:I18"/>
    <mergeCell ref="N16:N18"/>
    <mergeCell ref="O16:O18"/>
    <mergeCell ref="P16:P18"/>
    <mergeCell ref="Q16:Q18"/>
    <mergeCell ref="B1:S1"/>
    <mergeCell ref="B3:S3"/>
    <mergeCell ref="F4:N4"/>
    <mergeCell ref="F5:G5"/>
    <mergeCell ref="L5:M6"/>
    <mergeCell ref="N5:O5"/>
    <mergeCell ref="F6:G6"/>
    <mergeCell ref="N6:O6"/>
    <mergeCell ref="S11:S12"/>
    <mergeCell ref="T11:T12"/>
    <mergeCell ref="U11:U12"/>
    <mergeCell ref="W11:Y11"/>
    <mergeCell ref="J12:M12"/>
    <mergeCell ref="B13:B15"/>
    <mergeCell ref="C13:C15"/>
    <mergeCell ref="D13:D15"/>
    <mergeCell ref="E13:E15"/>
    <mergeCell ref="F13:F15"/>
    <mergeCell ref="I11:I12"/>
    <mergeCell ref="J11:M11"/>
    <mergeCell ref="N11:N12"/>
    <mergeCell ref="O11:O12"/>
    <mergeCell ref="P11:Q11"/>
    <mergeCell ref="R11:R12"/>
    <mergeCell ref="C10:E10"/>
    <mergeCell ref="F10:O10"/>
    <mergeCell ref="P10:R10"/>
    <mergeCell ref="B11:B12"/>
    <mergeCell ref="C11:C12"/>
    <mergeCell ref="D11:D12"/>
    <mergeCell ref="E11:E12"/>
    <mergeCell ref="F11:F12"/>
  </mergeCells>
  <conditionalFormatting sqref="K13">
    <cfRule type="expression" dxfId="3587" priority="3195">
      <formula>J13="NO CUMPLE"</formula>
    </cfRule>
    <cfRule type="expression" dxfId="3586" priority="3196">
      <formula>J13="CUMPLE"</formula>
    </cfRule>
  </conditionalFormatting>
  <conditionalFormatting sqref="M13">
    <cfRule type="expression" dxfId="3585" priority="3193">
      <formula>L13="NO CUMPLE"</formula>
    </cfRule>
    <cfRule type="expression" dxfId="3584" priority="3194">
      <formula>L13="CUMPLE"</formula>
    </cfRule>
  </conditionalFormatting>
  <conditionalFormatting sqref="J16:J24">
    <cfRule type="cellIs" dxfId="3583" priority="3191" operator="equal">
      <formula>"NO CUMPLE"</formula>
    </cfRule>
    <cfRule type="cellIs" dxfId="3582" priority="3192" operator="equal">
      <formula>"CUMPLE"</formula>
    </cfRule>
  </conditionalFormatting>
  <conditionalFormatting sqref="L13:L14">
    <cfRule type="cellIs" dxfId="3581" priority="3189" operator="equal">
      <formula>"NO CUMPLE"</formula>
    </cfRule>
    <cfRule type="cellIs" dxfId="3580" priority="3190" operator="equal">
      <formula>"CUMPLE"</formula>
    </cfRule>
  </conditionalFormatting>
  <conditionalFormatting sqref="T28">
    <cfRule type="cellIs" dxfId="3579" priority="3187" operator="equal">
      <formula>"NO CUMPLE"</formula>
    </cfRule>
    <cfRule type="cellIs" dxfId="3578" priority="3188" operator="equal">
      <formula>"CUMPLE"</formula>
    </cfRule>
  </conditionalFormatting>
  <conditionalFormatting sqref="B28">
    <cfRule type="cellIs" dxfId="3577" priority="3185" operator="equal">
      <formula>"NO CUMPLE CON LA EXPERIENCIA REQUERIDA"</formula>
    </cfRule>
    <cfRule type="cellIs" dxfId="3576" priority="3186" operator="equal">
      <formula>"CUMPLE CON LA EXPERIENCIA REQUERIDA"</formula>
    </cfRule>
  </conditionalFormatting>
  <conditionalFormatting sqref="H16 H19 H22 H25">
    <cfRule type="notContainsBlanks" dxfId="3575" priority="3184">
      <formula>LEN(TRIM(H16))&gt;0</formula>
    </cfRule>
  </conditionalFormatting>
  <conditionalFormatting sqref="T13">
    <cfRule type="cellIs" dxfId="3574" priority="3182" operator="equal">
      <formula>"NO"</formula>
    </cfRule>
    <cfRule type="cellIs" dxfId="3573" priority="3183" operator="equal">
      <formula>"SI"</formula>
    </cfRule>
  </conditionalFormatting>
  <conditionalFormatting sqref="K14:K15">
    <cfRule type="expression" dxfId="3572" priority="3180">
      <formula>J14="NO CUMPLE"</formula>
    </cfRule>
    <cfRule type="expression" dxfId="3571" priority="3181">
      <formula>J14="CUMPLE"</formula>
    </cfRule>
  </conditionalFormatting>
  <conditionalFormatting sqref="M14">
    <cfRule type="expression" dxfId="3570" priority="3178">
      <formula>L14="NO CUMPLE"</formula>
    </cfRule>
    <cfRule type="expression" dxfId="3569" priority="3179">
      <formula>L14="CUMPLE"</formula>
    </cfRule>
  </conditionalFormatting>
  <conditionalFormatting sqref="Z12:Z28">
    <cfRule type="cellIs" dxfId="3568" priority="3176" operator="equal">
      <formula>"NH"</formula>
    </cfRule>
    <cfRule type="cellIs" dxfId="3567" priority="3177" operator="equal">
      <formula>"H"</formula>
    </cfRule>
  </conditionalFormatting>
  <conditionalFormatting sqref="L19:L20">
    <cfRule type="cellIs" dxfId="3566" priority="3172" operator="equal">
      <formula>"NO CUMPLE"</formula>
    </cfRule>
    <cfRule type="cellIs" dxfId="3565" priority="3173" operator="equal">
      <formula>"CUMPLE"</formula>
    </cfRule>
  </conditionalFormatting>
  <conditionalFormatting sqref="L22:L23">
    <cfRule type="cellIs" dxfId="3564" priority="3164" operator="equal">
      <formula>"NO CUMPLE"</formula>
    </cfRule>
    <cfRule type="cellIs" dxfId="3563" priority="3165" operator="equal">
      <formula>"CUMPLE"</formula>
    </cfRule>
  </conditionalFormatting>
  <conditionalFormatting sqref="L16:L17">
    <cfRule type="cellIs" dxfId="3562" priority="3174" operator="equal">
      <formula>"NO CUMPLE"</formula>
    </cfRule>
    <cfRule type="cellIs" dxfId="3561" priority="3175" operator="equal">
      <formula>"CUMPLE"</formula>
    </cfRule>
  </conditionalFormatting>
  <conditionalFormatting sqref="G19">
    <cfRule type="notContainsBlanks" dxfId="3560" priority="3171">
      <formula>LEN(TRIM(G19))&gt;0</formula>
    </cfRule>
  </conditionalFormatting>
  <conditionalFormatting sqref="F19">
    <cfRule type="notContainsBlanks" dxfId="3559" priority="3170">
      <formula>LEN(TRIM(F19))&gt;0</formula>
    </cfRule>
  </conditionalFormatting>
  <conditionalFormatting sqref="E19">
    <cfRule type="notContainsBlanks" dxfId="3558" priority="3169">
      <formula>LEN(TRIM(E19))&gt;0</formula>
    </cfRule>
  </conditionalFormatting>
  <conditionalFormatting sqref="D19">
    <cfRule type="notContainsBlanks" dxfId="3557" priority="3168">
      <formula>LEN(TRIM(D19))&gt;0</formula>
    </cfRule>
  </conditionalFormatting>
  <conditionalFormatting sqref="C19">
    <cfRule type="notContainsBlanks" dxfId="3556" priority="3167">
      <formula>LEN(TRIM(C19))&gt;0</formula>
    </cfRule>
  </conditionalFormatting>
  <conditionalFormatting sqref="I19">
    <cfRule type="notContainsBlanks" dxfId="3555" priority="3166">
      <formula>LEN(TRIM(I19))&gt;0</formula>
    </cfRule>
  </conditionalFormatting>
  <conditionalFormatting sqref="J25">
    <cfRule type="cellIs" dxfId="3554" priority="3162" operator="equal">
      <formula>"NO CUMPLE"</formula>
    </cfRule>
    <cfRule type="cellIs" dxfId="3553" priority="3163" operator="equal">
      <formula>"CUMPLE"</formula>
    </cfRule>
  </conditionalFormatting>
  <conditionalFormatting sqref="L25:L26">
    <cfRule type="cellIs" dxfId="3552" priority="3160" operator="equal">
      <formula>"NO CUMPLE"</formula>
    </cfRule>
    <cfRule type="cellIs" dxfId="3551" priority="3161" operator="equal">
      <formula>"CUMPLE"</formula>
    </cfRule>
  </conditionalFormatting>
  <conditionalFormatting sqref="G25">
    <cfRule type="notContainsBlanks" dxfId="3550" priority="3159">
      <formula>LEN(TRIM(G25))&gt;0</formula>
    </cfRule>
  </conditionalFormatting>
  <conditionalFormatting sqref="F25">
    <cfRule type="notContainsBlanks" dxfId="3549" priority="3158">
      <formula>LEN(TRIM(F25))&gt;0</formula>
    </cfRule>
  </conditionalFormatting>
  <conditionalFormatting sqref="E25">
    <cfRule type="notContainsBlanks" dxfId="3548" priority="3157">
      <formula>LEN(TRIM(E25))&gt;0</formula>
    </cfRule>
  </conditionalFormatting>
  <conditionalFormatting sqref="D25">
    <cfRule type="notContainsBlanks" dxfId="3547" priority="3156">
      <formula>LEN(TRIM(D25))&gt;0</formula>
    </cfRule>
  </conditionalFormatting>
  <conditionalFormatting sqref="C25">
    <cfRule type="notContainsBlanks" dxfId="3546" priority="3155">
      <formula>LEN(TRIM(C25))&gt;0</formula>
    </cfRule>
  </conditionalFormatting>
  <conditionalFormatting sqref="I25">
    <cfRule type="notContainsBlanks" dxfId="3545" priority="3154">
      <formula>LEN(TRIM(I25))&gt;0</formula>
    </cfRule>
  </conditionalFormatting>
  <conditionalFormatting sqref="J26:J27">
    <cfRule type="cellIs" dxfId="3544" priority="3152" operator="equal">
      <formula>"NO CUMPLE"</formula>
    </cfRule>
    <cfRule type="cellIs" dxfId="3543" priority="3153" operator="equal">
      <formula>"CUMPLE"</formula>
    </cfRule>
  </conditionalFormatting>
  <conditionalFormatting sqref="G16">
    <cfRule type="notContainsBlanks" dxfId="3542" priority="3151">
      <formula>LEN(TRIM(G16))&gt;0</formula>
    </cfRule>
  </conditionalFormatting>
  <conditionalFormatting sqref="F16">
    <cfRule type="notContainsBlanks" dxfId="3541" priority="3150">
      <formula>LEN(TRIM(F16))&gt;0</formula>
    </cfRule>
  </conditionalFormatting>
  <conditionalFormatting sqref="E16">
    <cfRule type="notContainsBlanks" dxfId="3540" priority="3149">
      <formula>LEN(TRIM(E16))&gt;0</formula>
    </cfRule>
  </conditionalFormatting>
  <conditionalFormatting sqref="D16">
    <cfRule type="notContainsBlanks" dxfId="3539" priority="3148">
      <formula>LEN(TRIM(D16))&gt;0</formula>
    </cfRule>
  </conditionalFormatting>
  <conditionalFormatting sqref="C16">
    <cfRule type="notContainsBlanks" dxfId="3538" priority="3147">
      <formula>LEN(TRIM(C16))&gt;0</formula>
    </cfRule>
  </conditionalFormatting>
  <conditionalFormatting sqref="G22">
    <cfRule type="notContainsBlanks" dxfId="3537" priority="3146">
      <formula>LEN(TRIM(G22))&gt;0</formula>
    </cfRule>
  </conditionalFormatting>
  <conditionalFormatting sqref="F22">
    <cfRule type="notContainsBlanks" dxfId="3536" priority="3145">
      <formula>LEN(TRIM(F22))&gt;0</formula>
    </cfRule>
  </conditionalFormatting>
  <conditionalFormatting sqref="E22">
    <cfRule type="notContainsBlanks" dxfId="3535" priority="3144">
      <formula>LEN(TRIM(E22))&gt;0</formula>
    </cfRule>
  </conditionalFormatting>
  <conditionalFormatting sqref="D22">
    <cfRule type="notContainsBlanks" dxfId="3534" priority="3143">
      <formula>LEN(TRIM(D22))&gt;0</formula>
    </cfRule>
  </conditionalFormatting>
  <conditionalFormatting sqref="C22">
    <cfRule type="notContainsBlanks" dxfId="3533" priority="3142">
      <formula>LEN(TRIM(C22))&gt;0</formula>
    </cfRule>
  </conditionalFormatting>
  <conditionalFormatting sqref="I16">
    <cfRule type="notContainsBlanks" dxfId="3532" priority="3141">
      <formula>LEN(TRIM(I16))&gt;0</formula>
    </cfRule>
  </conditionalFormatting>
  <conditionalFormatting sqref="I22">
    <cfRule type="notContainsBlanks" dxfId="3531" priority="3140">
      <formula>LEN(TRIM(I22))&gt;0</formula>
    </cfRule>
  </conditionalFormatting>
  <conditionalFormatting sqref="S28">
    <cfRule type="expression" dxfId="3530" priority="3138">
      <formula>$S$28&gt;0</formula>
    </cfRule>
    <cfRule type="cellIs" dxfId="3529" priority="3139" operator="equal">
      <formula>0</formula>
    </cfRule>
  </conditionalFormatting>
  <conditionalFormatting sqref="S29">
    <cfRule type="expression" dxfId="3528" priority="3136">
      <formula>$S$28&gt;0</formula>
    </cfRule>
    <cfRule type="cellIs" dxfId="3527" priority="3137" operator="equal">
      <formula>0</formula>
    </cfRule>
  </conditionalFormatting>
  <conditionalFormatting sqref="U16:U18">
    <cfRule type="cellIs" dxfId="3526" priority="3134" operator="equal">
      <formula>0</formula>
    </cfRule>
    <cfRule type="cellIs" dxfId="3525" priority="3135" operator="equal">
      <formula>1</formula>
    </cfRule>
  </conditionalFormatting>
  <conditionalFormatting sqref="U19:U21">
    <cfRule type="cellIs" dxfId="3524" priority="3132" operator="equal">
      <formula>0</formula>
    </cfRule>
    <cfRule type="cellIs" dxfId="3523" priority="3133" operator="equal">
      <formula>1</formula>
    </cfRule>
  </conditionalFormatting>
  <conditionalFormatting sqref="U22:U24">
    <cfRule type="cellIs" dxfId="3522" priority="3130" operator="equal">
      <formula>0</formula>
    </cfRule>
    <cfRule type="cellIs" dxfId="3521" priority="3131" operator="equal">
      <formula>1</formula>
    </cfRule>
  </conditionalFormatting>
  <conditionalFormatting sqref="U25:U27">
    <cfRule type="cellIs" dxfId="3520" priority="3128" operator="equal">
      <formula>0</formula>
    </cfRule>
    <cfRule type="cellIs" dxfId="3519" priority="3129" operator="equal">
      <formula>1</formula>
    </cfRule>
  </conditionalFormatting>
  <conditionalFormatting sqref="L35:L36">
    <cfRule type="cellIs" dxfId="3518" priority="3126" operator="equal">
      <formula>"NO CUMPLE"</formula>
    </cfRule>
    <cfRule type="cellIs" dxfId="3517" priority="3127" operator="equal">
      <formula>"CUMPLE"</formula>
    </cfRule>
  </conditionalFormatting>
  <conditionalFormatting sqref="T50">
    <cfRule type="cellIs" dxfId="3516" priority="3124" operator="equal">
      <formula>"NO CUMPLE"</formula>
    </cfRule>
    <cfRule type="cellIs" dxfId="3515" priority="3125" operator="equal">
      <formula>"CUMPLE"</formula>
    </cfRule>
  </conditionalFormatting>
  <conditionalFormatting sqref="B50">
    <cfRule type="cellIs" dxfId="3514" priority="3122" operator="equal">
      <formula>"NO CUMPLE CON LA EXPERIENCIA REQUERIDA"</formula>
    </cfRule>
    <cfRule type="cellIs" dxfId="3513" priority="3123" operator="equal">
      <formula>"CUMPLE CON LA EXPERIENCIA REQUERIDA"</formula>
    </cfRule>
  </conditionalFormatting>
  <conditionalFormatting sqref="H41 H44 H47">
    <cfRule type="notContainsBlanks" dxfId="3512" priority="3121">
      <formula>LEN(TRIM(H41))&gt;0</formula>
    </cfRule>
  </conditionalFormatting>
  <conditionalFormatting sqref="T35">
    <cfRule type="cellIs" dxfId="3511" priority="3119" operator="equal">
      <formula>"NO"</formula>
    </cfRule>
    <cfRule type="cellIs" dxfId="3510" priority="3120" operator="equal">
      <formula>"SI"</formula>
    </cfRule>
  </conditionalFormatting>
  <conditionalFormatting sqref="G41">
    <cfRule type="notContainsBlanks" dxfId="3509" priority="3118">
      <formula>LEN(TRIM(G41))&gt;0</formula>
    </cfRule>
  </conditionalFormatting>
  <conditionalFormatting sqref="F41">
    <cfRule type="notContainsBlanks" dxfId="3508" priority="3117">
      <formula>LEN(TRIM(F41))&gt;0</formula>
    </cfRule>
  </conditionalFormatting>
  <conditionalFormatting sqref="E41">
    <cfRule type="notContainsBlanks" dxfId="3507" priority="3116">
      <formula>LEN(TRIM(E41))&gt;0</formula>
    </cfRule>
  </conditionalFormatting>
  <conditionalFormatting sqref="D41">
    <cfRule type="notContainsBlanks" dxfId="3506" priority="3115">
      <formula>LEN(TRIM(D41))&gt;0</formula>
    </cfRule>
  </conditionalFormatting>
  <conditionalFormatting sqref="C41">
    <cfRule type="notContainsBlanks" dxfId="3505" priority="3114">
      <formula>LEN(TRIM(C41))&gt;0</formula>
    </cfRule>
  </conditionalFormatting>
  <conditionalFormatting sqref="I41">
    <cfRule type="notContainsBlanks" dxfId="3504" priority="3113">
      <formula>LEN(TRIM(I41))&gt;0</formula>
    </cfRule>
  </conditionalFormatting>
  <conditionalFormatting sqref="G47">
    <cfRule type="notContainsBlanks" dxfId="3503" priority="3112">
      <formula>LEN(TRIM(G47))&gt;0</formula>
    </cfRule>
  </conditionalFormatting>
  <conditionalFormatting sqref="F47">
    <cfRule type="notContainsBlanks" dxfId="3502" priority="3111">
      <formula>LEN(TRIM(F47))&gt;0</formula>
    </cfRule>
  </conditionalFormatting>
  <conditionalFormatting sqref="E47">
    <cfRule type="notContainsBlanks" dxfId="3501" priority="3110">
      <formula>LEN(TRIM(E47))&gt;0</formula>
    </cfRule>
  </conditionalFormatting>
  <conditionalFormatting sqref="D47">
    <cfRule type="notContainsBlanks" dxfId="3500" priority="3109">
      <formula>LEN(TRIM(D47))&gt;0</formula>
    </cfRule>
  </conditionalFormatting>
  <conditionalFormatting sqref="C47">
    <cfRule type="notContainsBlanks" dxfId="3499" priority="3108">
      <formula>LEN(TRIM(C47))&gt;0</formula>
    </cfRule>
  </conditionalFormatting>
  <conditionalFormatting sqref="I47">
    <cfRule type="notContainsBlanks" dxfId="3498" priority="3107">
      <formula>LEN(TRIM(I47))&gt;0</formula>
    </cfRule>
  </conditionalFormatting>
  <conditionalFormatting sqref="G44">
    <cfRule type="notContainsBlanks" dxfId="3497" priority="3106">
      <formula>LEN(TRIM(G44))&gt;0</formula>
    </cfRule>
  </conditionalFormatting>
  <conditionalFormatting sqref="F44">
    <cfRule type="notContainsBlanks" dxfId="3496" priority="3105">
      <formula>LEN(TRIM(F44))&gt;0</formula>
    </cfRule>
  </conditionalFormatting>
  <conditionalFormatting sqref="E44">
    <cfRule type="notContainsBlanks" dxfId="3495" priority="3104">
      <formula>LEN(TRIM(E44))&gt;0</formula>
    </cfRule>
  </conditionalFormatting>
  <conditionalFormatting sqref="D44">
    <cfRule type="notContainsBlanks" dxfId="3494" priority="3103">
      <formula>LEN(TRIM(D44))&gt;0</formula>
    </cfRule>
  </conditionalFormatting>
  <conditionalFormatting sqref="C44">
    <cfRule type="notContainsBlanks" dxfId="3493" priority="3102">
      <formula>LEN(TRIM(C44))&gt;0</formula>
    </cfRule>
  </conditionalFormatting>
  <conditionalFormatting sqref="I44">
    <cfRule type="notContainsBlanks" dxfId="3492" priority="3101">
      <formula>LEN(TRIM(I44))&gt;0</formula>
    </cfRule>
  </conditionalFormatting>
  <conditionalFormatting sqref="S50">
    <cfRule type="expression" dxfId="3491" priority="3099">
      <formula>$S$28&gt;0</formula>
    </cfRule>
    <cfRule type="cellIs" dxfId="3490" priority="3100" operator="equal">
      <formula>0</formula>
    </cfRule>
  </conditionalFormatting>
  <conditionalFormatting sqref="S51">
    <cfRule type="expression" dxfId="3489" priority="3097">
      <formula>$S$28&gt;0</formula>
    </cfRule>
    <cfRule type="cellIs" dxfId="3488" priority="3098" operator="equal">
      <formula>0</formula>
    </cfRule>
  </conditionalFormatting>
  <conditionalFormatting sqref="N16 N19 N22 N25">
    <cfRule type="expression" dxfId="3487" priority="3094">
      <formula>N16=" "</formula>
    </cfRule>
    <cfRule type="expression" dxfId="3486" priority="3095">
      <formula>N16="NO PRESENTÓ CERTIFICADO"</formula>
    </cfRule>
    <cfRule type="expression" dxfId="3485" priority="3096">
      <formula>N16="PRESENTÓ CERTIFICADO"</formula>
    </cfRule>
  </conditionalFormatting>
  <conditionalFormatting sqref="Q19 Q22 Q25">
    <cfRule type="containsBlanks" dxfId="3484" priority="3085">
      <formula>LEN(TRIM(Q19))=0</formula>
    </cfRule>
    <cfRule type="cellIs" dxfId="3483" priority="3090" operator="equal">
      <formula>"REQUERIMIENTOS SUBSANADOS"</formula>
    </cfRule>
    <cfRule type="containsText" dxfId="3482" priority="3091" operator="containsText" text="NO SUBSANABLE">
      <formula>NOT(ISERROR(SEARCH("NO SUBSANABLE",Q19)))</formula>
    </cfRule>
    <cfRule type="containsText" dxfId="3481" priority="3092" operator="containsText" text="PENDIENTES POR SUBSANAR">
      <formula>NOT(ISERROR(SEARCH("PENDIENTES POR SUBSANAR",Q19)))</formula>
    </cfRule>
    <cfRule type="containsText" dxfId="3480" priority="3093" operator="containsText" text="SIN OBSERVACIÓN">
      <formula>NOT(ISERROR(SEARCH("SIN OBSERVACIÓN",Q19)))</formula>
    </cfRule>
  </conditionalFormatting>
  <conditionalFormatting sqref="R19 R22 R25">
    <cfRule type="containsBlanks" dxfId="3479" priority="3084">
      <formula>LEN(TRIM(R19))=0</formula>
    </cfRule>
    <cfRule type="cellIs" dxfId="3478" priority="3086" operator="equal">
      <formula>"NO CUMPLEN CON LO SOLICITADO"</formula>
    </cfRule>
    <cfRule type="cellIs" dxfId="3477" priority="3087" operator="equal">
      <formula>"CUMPLEN CON LO SOLICITADO"</formula>
    </cfRule>
    <cfRule type="cellIs" dxfId="3476" priority="3088" operator="equal">
      <formula>"PENDIENTES"</formula>
    </cfRule>
    <cfRule type="cellIs" dxfId="3475" priority="3089" operator="equal">
      <formula>"NINGUNO"</formula>
    </cfRule>
  </conditionalFormatting>
  <conditionalFormatting sqref="P16 P19 P22 P25">
    <cfRule type="expression" dxfId="3474" priority="3079">
      <formula>Q16="NO SUBSANABLE"</formula>
    </cfRule>
    <cfRule type="expression" dxfId="3473" priority="3080">
      <formula>Q16="REQUERIMIENTOS SUBSANADOS"</formula>
    </cfRule>
    <cfRule type="expression" dxfId="3472" priority="3081">
      <formula>Q16="PENDIENTES POR SUBSANAR"</formula>
    </cfRule>
    <cfRule type="expression" dxfId="3471" priority="3082">
      <formula>Q16="SIN OBSERVACIÓN"</formula>
    </cfRule>
    <cfRule type="containsBlanks" dxfId="3470" priority="3083">
      <formula>LEN(TRIM(P16))=0</formula>
    </cfRule>
  </conditionalFormatting>
  <conditionalFormatting sqref="T72">
    <cfRule type="cellIs" dxfId="3469" priority="3077" operator="equal">
      <formula>"NO CUMPLE"</formula>
    </cfRule>
    <cfRule type="cellIs" dxfId="3468" priority="3078" operator="equal">
      <formula>"CUMPLE"</formula>
    </cfRule>
  </conditionalFormatting>
  <conditionalFormatting sqref="B72">
    <cfRule type="cellIs" dxfId="3467" priority="3075" operator="equal">
      <formula>"NO CUMPLE CON LA EXPERIENCIA REQUERIDA"</formula>
    </cfRule>
    <cfRule type="cellIs" dxfId="3466" priority="3076" operator="equal">
      <formula>"CUMPLE CON LA EXPERIENCIA REQUERIDA"</formula>
    </cfRule>
  </conditionalFormatting>
  <conditionalFormatting sqref="T57">
    <cfRule type="cellIs" dxfId="3465" priority="3073" operator="equal">
      <formula>"NO"</formula>
    </cfRule>
    <cfRule type="cellIs" dxfId="3464" priority="3074" operator="equal">
      <formula>"SI"</formula>
    </cfRule>
  </conditionalFormatting>
  <conditionalFormatting sqref="S72">
    <cfRule type="expression" dxfId="3463" priority="3071">
      <formula>$S$28&gt;0</formula>
    </cfRule>
    <cfRule type="cellIs" dxfId="3462" priority="3072" operator="equal">
      <formula>0</formula>
    </cfRule>
  </conditionalFormatting>
  <conditionalFormatting sqref="S73">
    <cfRule type="expression" dxfId="3461" priority="3069">
      <formula>$S$28&gt;0</formula>
    </cfRule>
    <cfRule type="cellIs" dxfId="3460" priority="3070" operator="equal">
      <formula>0</formula>
    </cfRule>
  </conditionalFormatting>
  <conditionalFormatting sqref="B94">
    <cfRule type="cellIs" dxfId="3459" priority="3065" operator="equal">
      <formula>"NO CUMPLE CON LA EXPERIENCIA REQUERIDA"</formula>
    </cfRule>
    <cfRule type="cellIs" dxfId="3458" priority="3066" operator="equal">
      <formula>"CUMPLE CON LA EXPERIENCIA REQUERIDA"</formula>
    </cfRule>
  </conditionalFormatting>
  <conditionalFormatting sqref="H79 H82 H85 H88 H91">
    <cfRule type="notContainsBlanks" dxfId="3457" priority="3064">
      <formula>LEN(TRIM(H79))&gt;0</formula>
    </cfRule>
  </conditionalFormatting>
  <conditionalFormatting sqref="G79">
    <cfRule type="notContainsBlanks" dxfId="3456" priority="3063">
      <formula>LEN(TRIM(G79))&gt;0</formula>
    </cfRule>
  </conditionalFormatting>
  <conditionalFormatting sqref="F79">
    <cfRule type="notContainsBlanks" dxfId="3455" priority="3062">
      <formula>LEN(TRIM(F79))&gt;0</formula>
    </cfRule>
  </conditionalFormatting>
  <conditionalFormatting sqref="E79">
    <cfRule type="notContainsBlanks" dxfId="3454" priority="3061">
      <formula>LEN(TRIM(E79))&gt;0</formula>
    </cfRule>
  </conditionalFormatting>
  <conditionalFormatting sqref="D79">
    <cfRule type="notContainsBlanks" dxfId="3453" priority="3060">
      <formula>LEN(TRIM(D79))&gt;0</formula>
    </cfRule>
  </conditionalFormatting>
  <conditionalFormatting sqref="C79">
    <cfRule type="notContainsBlanks" dxfId="3452" priority="3059">
      <formula>LEN(TRIM(C79))&gt;0</formula>
    </cfRule>
  </conditionalFormatting>
  <conditionalFormatting sqref="I79">
    <cfRule type="notContainsBlanks" dxfId="3451" priority="3058">
      <formula>LEN(TRIM(I79))&gt;0</formula>
    </cfRule>
  </conditionalFormatting>
  <conditionalFormatting sqref="T79">
    <cfRule type="cellIs" dxfId="3450" priority="3056" operator="equal">
      <formula>"NO"</formula>
    </cfRule>
    <cfRule type="cellIs" dxfId="3449" priority="3057" operator="equal">
      <formula>"SI"</formula>
    </cfRule>
  </conditionalFormatting>
  <conditionalFormatting sqref="G85">
    <cfRule type="notContainsBlanks" dxfId="3448" priority="3055">
      <formula>LEN(TRIM(G85))&gt;0</formula>
    </cfRule>
  </conditionalFormatting>
  <conditionalFormatting sqref="F85">
    <cfRule type="notContainsBlanks" dxfId="3447" priority="3054">
      <formula>LEN(TRIM(F85))&gt;0</formula>
    </cfRule>
  </conditionalFormatting>
  <conditionalFormatting sqref="E85">
    <cfRule type="notContainsBlanks" dxfId="3446" priority="3053">
      <formula>LEN(TRIM(E85))&gt;0</formula>
    </cfRule>
  </conditionalFormatting>
  <conditionalFormatting sqref="D85">
    <cfRule type="notContainsBlanks" dxfId="3445" priority="3052">
      <formula>LEN(TRIM(D85))&gt;0</formula>
    </cfRule>
  </conditionalFormatting>
  <conditionalFormatting sqref="C85">
    <cfRule type="notContainsBlanks" dxfId="3444" priority="3051">
      <formula>LEN(TRIM(C85))&gt;0</formula>
    </cfRule>
  </conditionalFormatting>
  <conditionalFormatting sqref="I85">
    <cfRule type="notContainsBlanks" dxfId="3443" priority="3050">
      <formula>LEN(TRIM(I85))&gt;0</formula>
    </cfRule>
  </conditionalFormatting>
  <conditionalFormatting sqref="G91">
    <cfRule type="notContainsBlanks" dxfId="3442" priority="3049">
      <formula>LEN(TRIM(G91))&gt;0</formula>
    </cfRule>
  </conditionalFormatting>
  <conditionalFormatting sqref="F91">
    <cfRule type="notContainsBlanks" dxfId="3441" priority="3048">
      <formula>LEN(TRIM(F91))&gt;0</formula>
    </cfRule>
  </conditionalFormatting>
  <conditionalFormatting sqref="E91">
    <cfRule type="notContainsBlanks" dxfId="3440" priority="3047">
      <formula>LEN(TRIM(E91))&gt;0</formula>
    </cfRule>
  </conditionalFormatting>
  <conditionalFormatting sqref="D91">
    <cfRule type="notContainsBlanks" dxfId="3439" priority="3046">
      <formula>LEN(TRIM(D91))&gt;0</formula>
    </cfRule>
  </conditionalFormatting>
  <conditionalFormatting sqref="C91">
    <cfRule type="notContainsBlanks" dxfId="3438" priority="3045">
      <formula>LEN(TRIM(C91))&gt;0</formula>
    </cfRule>
  </conditionalFormatting>
  <conditionalFormatting sqref="I91">
    <cfRule type="notContainsBlanks" dxfId="3437" priority="3044">
      <formula>LEN(TRIM(I91))&gt;0</formula>
    </cfRule>
  </conditionalFormatting>
  <conditionalFormatting sqref="G82">
    <cfRule type="notContainsBlanks" dxfId="3436" priority="3043">
      <formula>LEN(TRIM(G82))&gt;0</formula>
    </cfRule>
  </conditionalFormatting>
  <conditionalFormatting sqref="F82">
    <cfRule type="notContainsBlanks" dxfId="3435" priority="3042">
      <formula>LEN(TRIM(F82))&gt;0</formula>
    </cfRule>
  </conditionalFormatting>
  <conditionalFormatting sqref="E82">
    <cfRule type="notContainsBlanks" dxfId="3434" priority="3041">
      <formula>LEN(TRIM(E82))&gt;0</formula>
    </cfRule>
  </conditionalFormatting>
  <conditionalFormatting sqref="D82">
    <cfRule type="notContainsBlanks" dxfId="3433" priority="3040">
      <formula>LEN(TRIM(D82))&gt;0</formula>
    </cfRule>
  </conditionalFormatting>
  <conditionalFormatting sqref="C82">
    <cfRule type="notContainsBlanks" dxfId="3432" priority="3039">
      <formula>LEN(TRIM(C82))&gt;0</formula>
    </cfRule>
  </conditionalFormatting>
  <conditionalFormatting sqref="G88">
    <cfRule type="notContainsBlanks" dxfId="3431" priority="3038">
      <formula>LEN(TRIM(G88))&gt;0</formula>
    </cfRule>
  </conditionalFormatting>
  <conditionalFormatting sqref="F88">
    <cfRule type="notContainsBlanks" dxfId="3430" priority="3037">
      <formula>LEN(TRIM(F88))&gt;0</formula>
    </cfRule>
  </conditionalFormatting>
  <conditionalFormatting sqref="E88">
    <cfRule type="notContainsBlanks" dxfId="3429" priority="3036">
      <formula>LEN(TRIM(E88))&gt;0</formula>
    </cfRule>
  </conditionalFormatting>
  <conditionalFormatting sqref="D88">
    <cfRule type="notContainsBlanks" dxfId="3428" priority="3035">
      <formula>LEN(TRIM(D88))&gt;0</formula>
    </cfRule>
  </conditionalFormatting>
  <conditionalFormatting sqref="C88">
    <cfRule type="notContainsBlanks" dxfId="3427" priority="3034">
      <formula>LEN(TRIM(C88))&gt;0</formula>
    </cfRule>
  </conditionalFormatting>
  <conditionalFormatting sqref="I82">
    <cfRule type="notContainsBlanks" dxfId="3426" priority="3033">
      <formula>LEN(TRIM(I82))&gt;0</formula>
    </cfRule>
  </conditionalFormatting>
  <conditionalFormatting sqref="I88">
    <cfRule type="notContainsBlanks" dxfId="3425" priority="3032">
      <formula>LEN(TRIM(I88))&gt;0</formula>
    </cfRule>
  </conditionalFormatting>
  <conditionalFormatting sqref="S94">
    <cfRule type="expression" dxfId="3424" priority="3030">
      <formula>$S$28&gt;0</formula>
    </cfRule>
    <cfRule type="cellIs" dxfId="3423" priority="3031" operator="equal">
      <formula>0</formula>
    </cfRule>
  </conditionalFormatting>
  <conditionalFormatting sqref="S95">
    <cfRule type="expression" dxfId="3422" priority="3028">
      <formula>$S$28&gt;0</formula>
    </cfRule>
    <cfRule type="cellIs" dxfId="3421" priority="3029" operator="equal">
      <formula>0</formula>
    </cfRule>
  </conditionalFormatting>
  <conditionalFormatting sqref="S101">
    <cfRule type="cellIs" dxfId="3420" priority="3026" operator="greaterThan">
      <formula>0</formula>
    </cfRule>
    <cfRule type="top10" dxfId="3419" priority="3027" rank="10"/>
  </conditionalFormatting>
  <conditionalFormatting sqref="B116">
    <cfRule type="cellIs" dxfId="3418" priority="3024" operator="equal">
      <formula>"NO CUMPLE CON LA EXPERIENCIA REQUERIDA"</formula>
    </cfRule>
    <cfRule type="cellIs" dxfId="3417" priority="3025" operator="equal">
      <formula>"CUMPLE CON LA EXPERIENCIA REQUERIDA"</formula>
    </cfRule>
  </conditionalFormatting>
  <conditionalFormatting sqref="H101 H110 H113">
    <cfRule type="notContainsBlanks" dxfId="3416" priority="3023">
      <formula>LEN(TRIM(H101))&gt;0</formula>
    </cfRule>
  </conditionalFormatting>
  <conditionalFormatting sqref="G101">
    <cfRule type="notContainsBlanks" dxfId="3415" priority="3022">
      <formula>LEN(TRIM(G101))&gt;0</formula>
    </cfRule>
  </conditionalFormatting>
  <conditionalFormatting sqref="F101">
    <cfRule type="notContainsBlanks" dxfId="3414" priority="3021">
      <formula>LEN(TRIM(F101))&gt;0</formula>
    </cfRule>
  </conditionalFormatting>
  <conditionalFormatting sqref="E101">
    <cfRule type="notContainsBlanks" dxfId="3413" priority="3020">
      <formula>LEN(TRIM(E101))&gt;0</formula>
    </cfRule>
  </conditionalFormatting>
  <conditionalFormatting sqref="D101">
    <cfRule type="notContainsBlanks" dxfId="3412" priority="3019">
      <formula>LEN(TRIM(D101))&gt;0</formula>
    </cfRule>
  </conditionalFormatting>
  <conditionalFormatting sqref="C101">
    <cfRule type="notContainsBlanks" dxfId="3411" priority="3018">
      <formula>LEN(TRIM(C101))&gt;0</formula>
    </cfRule>
  </conditionalFormatting>
  <conditionalFormatting sqref="I101">
    <cfRule type="notContainsBlanks" dxfId="3410" priority="3017">
      <formula>LEN(TRIM(I101))&gt;0</formula>
    </cfRule>
  </conditionalFormatting>
  <conditionalFormatting sqref="S104">
    <cfRule type="cellIs" dxfId="3409" priority="3015" operator="greaterThan">
      <formula>0</formula>
    </cfRule>
    <cfRule type="top10" dxfId="3408" priority="3016" rank="10"/>
  </conditionalFormatting>
  <conditionalFormatting sqref="S107">
    <cfRule type="cellIs" dxfId="3407" priority="3013" operator="greaterThan">
      <formula>0</formula>
    </cfRule>
    <cfRule type="top10" dxfId="3406" priority="3014" rank="10"/>
  </conditionalFormatting>
  <conditionalFormatting sqref="G107">
    <cfRule type="notContainsBlanks" dxfId="3405" priority="3012">
      <formula>LEN(TRIM(G107))&gt;0</formula>
    </cfRule>
  </conditionalFormatting>
  <conditionalFormatting sqref="F107">
    <cfRule type="notContainsBlanks" dxfId="3404" priority="3011">
      <formula>LEN(TRIM(F107))&gt;0</formula>
    </cfRule>
  </conditionalFormatting>
  <conditionalFormatting sqref="E107">
    <cfRule type="notContainsBlanks" dxfId="3403" priority="3010">
      <formula>LEN(TRIM(E107))&gt;0</formula>
    </cfRule>
  </conditionalFormatting>
  <conditionalFormatting sqref="D107">
    <cfRule type="notContainsBlanks" dxfId="3402" priority="3009">
      <formula>LEN(TRIM(D107))&gt;0</formula>
    </cfRule>
  </conditionalFormatting>
  <conditionalFormatting sqref="C107">
    <cfRule type="notContainsBlanks" dxfId="3401" priority="3008">
      <formula>LEN(TRIM(C107))&gt;0</formula>
    </cfRule>
  </conditionalFormatting>
  <conditionalFormatting sqref="S110">
    <cfRule type="cellIs" dxfId="3400" priority="3006" operator="greaterThan">
      <formula>0</formula>
    </cfRule>
    <cfRule type="top10" dxfId="3399" priority="3007" rank="10"/>
  </conditionalFormatting>
  <conditionalFormatting sqref="S113">
    <cfRule type="cellIs" dxfId="3398" priority="3004" operator="greaterThan">
      <formula>0</formula>
    </cfRule>
    <cfRule type="top10" dxfId="3397" priority="3005" rank="10"/>
  </conditionalFormatting>
  <conditionalFormatting sqref="G113">
    <cfRule type="notContainsBlanks" dxfId="3396" priority="3003">
      <formula>LEN(TRIM(G113))&gt;0</formula>
    </cfRule>
  </conditionalFormatting>
  <conditionalFormatting sqref="F113">
    <cfRule type="notContainsBlanks" dxfId="3395" priority="3002">
      <formula>LEN(TRIM(F113))&gt;0</formula>
    </cfRule>
  </conditionalFormatting>
  <conditionalFormatting sqref="E113">
    <cfRule type="notContainsBlanks" dxfId="3394" priority="3001">
      <formula>LEN(TRIM(E113))&gt;0</formula>
    </cfRule>
  </conditionalFormatting>
  <conditionalFormatting sqref="D113">
    <cfRule type="notContainsBlanks" dxfId="3393" priority="3000">
      <formula>LEN(TRIM(D113))&gt;0</formula>
    </cfRule>
  </conditionalFormatting>
  <conditionalFormatting sqref="C113">
    <cfRule type="notContainsBlanks" dxfId="3392" priority="2999">
      <formula>LEN(TRIM(C113))&gt;0</formula>
    </cfRule>
  </conditionalFormatting>
  <conditionalFormatting sqref="I113">
    <cfRule type="notContainsBlanks" dxfId="3391" priority="2998">
      <formula>LEN(TRIM(I113))&gt;0</formula>
    </cfRule>
  </conditionalFormatting>
  <conditionalFormatting sqref="G104">
    <cfRule type="notContainsBlanks" dxfId="3390" priority="2997">
      <formula>LEN(TRIM(G104))&gt;0</formula>
    </cfRule>
  </conditionalFormatting>
  <conditionalFormatting sqref="F104">
    <cfRule type="notContainsBlanks" dxfId="3389" priority="2996">
      <formula>LEN(TRIM(F104))&gt;0</formula>
    </cfRule>
  </conditionalFormatting>
  <conditionalFormatting sqref="E104">
    <cfRule type="notContainsBlanks" dxfId="3388" priority="2995">
      <formula>LEN(TRIM(E104))&gt;0</formula>
    </cfRule>
  </conditionalFormatting>
  <conditionalFormatting sqref="D104">
    <cfRule type="notContainsBlanks" dxfId="3387" priority="2994">
      <formula>LEN(TRIM(D104))&gt;0</formula>
    </cfRule>
  </conditionalFormatting>
  <conditionalFormatting sqref="C104">
    <cfRule type="notContainsBlanks" dxfId="3386" priority="2993">
      <formula>LEN(TRIM(C104))&gt;0</formula>
    </cfRule>
  </conditionalFormatting>
  <conditionalFormatting sqref="G110">
    <cfRule type="notContainsBlanks" dxfId="3385" priority="2992">
      <formula>LEN(TRIM(G110))&gt;0</formula>
    </cfRule>
  </conditionalFormatting>
  <conditionalFormatting sqref="F110">
    <cfRule type="notContainsBlanks" dxfId="3384" priority="2991">
      <formula>LEN(TRIM(F110))&gt;0</formula>
    </cfRule>
  </conditionalFormatting>
  <conditionalFormatting sqref="E110">
    <cfRule type="notContainsBlanks" dxfId="3383" priority="2990">
      <formula>LEN(TRIM(E110))&gt;0</formula>
    </cfRule>
  </conditionalFormatting>
  <conditionalFormatting sqref="D110">
    <cfRule type="notContainsBlanks" dxfId="3382" priority="2989">
      <formula>LEN(TRIM(D110))&gt;0</formula>
    </cfRule>
  </conditionalFormatting>
  <conditionalFormatting sqref="C110">
    <cfRule type="notContainsBlanks" dxfId="3381" priority="2988">
      <formula>LEN(TRIM(C110))&gt;0</formula>
    </cfRule>
  </conditionalFormatting>
  <conditionalFormatting sqref="I110">
    <cfRule type="notContainsBlanks" dxfId="3380" priority="2987">
      <formula>LEN(TRIM(I110))&gt;0</formula>
    </cfRule>
  </conditionalFormatting>
  <conditionalFormatting sqref="S116">
    <cfRule type="expression" dxfId="3379" priority="2985">
      <formula>$S$28&gt;0</formula>
    </cfRule>
    <cfRule type="cellIs" dxfId="3378" priority="2986" operator="equal">
      <formula>0</formula>
    </cfRule>
  </conditionalFormatting>
  <conditionalFormatting sqref="S117">
    <cfRule type="expression" dxfId="3377" priority="2983">
      <formula>$S$28&gt;0</formula>
    </cfRule>
    <cfRule type="cellIs" dxfId="3376" priority="2984" operator="equal">
      <formula>0</formula>
    </cfRule>
  </conditionalFormatting>
  <conditionalFormatting sqref="S123">
    <cfRule type="cellIs" dxfId="3375" priority="2981" operator="greaterThan">
      <formula>0</formula>
    </cfRule>
    <cfRule type="top10" dxfId="3374" priority="2982" rank="10"/>
  </conditionalFormatting>
  <conditionalFormatting sqref="B138">
    <cfRule type="cellIs" dxfId="3373" priority="2979" operator="equal">
      <formula>"NO CUMPLE CON LA EXPERIENCIA REQUERIDA"</formula>
    </cfRule>
    <cfRule type="cellIs" dxfId="3372" priority="2980" operator="equal">
      <formula>"CUMPLE CON LA EXPERIENCIA REQUERIDA"</formula>
    </cfRule>
  </conditionalFormatting>
  <conditionalFormatting sqref="H123 H132 H135">
    <cfRule type="notContainsBlanks" dxfId="3371" priority="2978">
      <formula>LEN(TRIM(H123))&gt;0</formula>
    </cfRule>
  </conditionalFormatting>
  <conditionalFormatting sqref="G123">
    <cfRule type="notContainsBlanks" dxfId="3370" priority="2977">
      <formula>LEN(TRIM(G123))&gt;0</formula>
    </cfRule>
  </conditionalFormatting>
  <conditionalFormatting sqref="F123">
    <cfRule type="notContainsBlanks" dxfId="3369" priority="2976">
      <formula>LEN(TRIM(F123))&gt;0</formula>
    </cfRule>
  </conditionalFormatting>
  <conditionalFormatting sqref="E123">
    <cfRule type="notContainsBlanks" dxfId="3368" priority="2975">
      <formula>LEN(TRIM(E123))&gt;0</formula>
    </cfRule>
  </conditionalFormatting>
  <conditionalFormatting sqref="D123">
    <cfRule type="notContainsBlanks" dxfId="3367" priority="2974">
      <formula>LEN(TRIM(D123))&gt;0</formula>
    </cfRule>
  </conditionalFormatting>
  <conditionalFormatting sqref="C123">
    <cfRule type="notContainsBlanks" dxfId="3366" priority="2973">
      <formula>LEN(TRIM(C123))&gt;0</formula>
    </cfRule>
  </conditionalFormatting>
  <conditionalFormatting sqref="I123">
    <cfRule type="notContainsBlanks" dxfId="3365" priority="2972">
      <formula>LEN(TRIM(I123))&gt;0</formula>
    </cfRule>
  </conditionalFormatting>
  <conditionalFormatting sqref="S126">
    <cfRule type="cellIs" dxfId="3364" priority="2970" operator="greaterThan">
      <formula>0</formula>
    </cfRule>
    <cfRule type="top10" dxfId="3363" priority="2971" rank="10"/>
  </conditionalFormatting>
  <conditionalFormatting sqref="S129">
    <cfRule type="cellIs" dxfId="3362" priority="2968" operator="greaterThan">
      <formula>0</formula>
    </cfRule>
    <cfRule type="top10" dxfId="3361" priority="2969" rank="10"/>
  </conditionalFormatting>
  <conditionalFormatting sqref="G129">
    <cfRule type="notContainsBlanks" dxfId="3360" priority="2967">
      <formula>LEN(TRIM(G129))&gt;0</formula>
    </cfRule>
  </conditionalFormatting>
  <conditionalFormatting sqref="F129">
    <cfRule type="notContainsBlanks" dxfId="3359" priority="2966">
      <formula>LEN(TRIM(F129))&gt;0</formula>
    </cfRule>
  </conditionalFormatting>
  <conditionalFormatting sqref="E129">
    <cfRule type="notContainsBlanks" dxfId="3358" priority="2965">
      <formula>LEN(TRIM(E129))&gt;0</formula>
    </cfRule>
  </conditionalFormatting>
  <conditionalFormatting sqref="D129">
    <cfRule type="notContainsBlanks" dxfId="3357" priority="2964">
      <formula>LEN(TRIM(D129))&gt;0</formula>
    </cfRule>
  </conditionalFormatting>
  <conditionalFormatting sqref="C129">
    <cfRule type="notContainsBlanks" dxfId="3356" priority="2963">
      <formula>LEN(TRIM(C129))&gt;0</formula>
    </cfRule>
  </conditionalFormatting>
  <conditionalFormatting sqref="S132">
    <cfRule type="cellIs" dxfId="3355" priority="2961" operator="greaterThan">
      <formula>0</formula>
    </cfRule>
    <cfRule type="top10" dxfId="3354" priority="2962" rank="10"/>
  </conditionalFormatting>
  <conditionalFormatting sqref="S135">
    <cfRule type="cellIs" dxfId="3353" priority="2959" operator="greaterThan">
      <formula>0</formula>
    </cfRule>
    <cfRule type="top10" dxfId="3352" priority="2960" rank="10"/>
  </conditionalFormatting>
  <conditionalFormatting sqref="G135">
    <cfRule type="notContainsBlanks" dxfId="3351" priority="2958">
      <formula>LEN(TRIM(G135))&gt;0</formula>
    </cfRule>
  </conditionalFormatting>
  <conditionalFormatting sqref="F135">
    <cfRule type="notContainsBlanks" dxfId="3350" priority="2957">
      <formula>LEN(TRIM(F135))&gt;0</formula>
    </cfRule>
  </conditionalFormatting>
  <conditionalFormatting sqref="E135">
    <cfRule type="notContainsBlanks" dxfId="3349" priority="2956">
      <formula>LEN(TRIM(E135))&gt;0</formula>
    </cfRule>
  </conditionalFormatting>
  <conditionalFormatting sqref="D135">
    <cfRule type="notContainsBlanks" dxfId="3348" priority="2955">
      <formula>LEN(TRIM(D135))&gt;0</formula>
    </cfRule>
  </conditionalFormatting>
  <conditionalFormatting sqref="C135">
    <cfRule type="notContainsBlanks" dxfId="3347" priority="2954">
      <formula>LEN(TRIM(C135))&gt;0</formula>
    </cfRule>
  </conditionalFormatting>
  <conditionalFormatting sqref="I135">
    <cfRule type="notContainsBlanks" dxfId="3346" priority="2953">
      <formula>LEN(TRIM(I135))&gt;0</formula>
    </cfRule>
  </conditionalFormatting>
  <conditionalFormatting sqref="G126">
    <cfRule type="notContainsBlanks" dxfId="3345" priority="2952">
      <formula>LEN(TRIM(G126))&gt;0</formula>
    </cfRule>
  </conditionalFormatting>
  <conditionalFormatting sqref="F126">
    <cfRule type="notContainsBlanks" dxfId="3344" priority="2951">
      <formula>LEN(TRIM(F126))&gt;0</formula>
    </cfRule>
  </conditionalFormatting>
  <conditionalFormatting sqref="E126">
    <cfRule type="notContainsBlanks" dxfId="3343" priority="2950">
      <formula>LEN(TRIM(E126))&gt;0</formula>
    </cfRule>
  </conditionalFormatting>
  <conditionalFormatting sqref="D126">
    <cfRule type="notContainsBlanks" dxfId="3342" priority="2949">
      <formula>LEN(TRIM(D126))&gt;0</formula>
    </cfRule>
  </conditionalFormatting>
  <conditionalFormatting sqref="C126">
    <cfRule type="notContainsBlanks" dxfId="3341" priority="2948">
      <formula>LEN(TRIM(C126))&gt;0</formula>
    </cfRule>
  </conditionalFormatting>
  <conditionalFormatting sqref="G132">
    <cfRule type="notContainsBlanks" dxfId="3340" priority="2947">
      <formula>LEN(TRIM(G132))&gt;0</formula>
    </cfRule>
  </conditionalFormatting>
  <conditionalFormatting sqref="F132">
    <cfRule type="notContainsBlanks" dxfId="3339" priority="2946">
      <formula>LEN(TRIM(F132))&gt;0</formula>
    </cfRule>
  </conditionalFormatting>
  <conditionalFormatting sqref="E132">
    <cfRule type="notContainsBlanks" dxfId="3338" priority="2945">
      <formula>LEN(TRIM(E132))&gt;0</formula>
    </cfRule>
  </conditionalFormatting>
  <conditionalFormatting sqref="D132">
    <cfRule type="notContainsBlanks" dxfId="3337" priority="2944">
      <formula>LEN(TRIM(D132))&gt;0</formula>
    </cfRule>
  </conditionalFormatting>
  <conditionalFormatting sqref="C132">
    <cfRule type="notContainsBlanks" dxfId="3336" priority="2943">
      <formula>LEN(TRIM(C132))&gt;0</formula>
    </cfRule>
  </conditionalFormatting>
  <conditionalFormatting sqref="I132">
    <cfRule type="notContainsBlanks" dxfId="3335" priority="2942">
      <formula>LEN(TRIM(I132))&gt;0</formula>
    </cfRule>
  </conditionalFormatting>
  <conditionalFormatting sqref="S138">
    <cfRule type="expression" dxfId="3334" priority="2940">
      <formula>$S$28&gt;0</formula>
    </cfRule>
    <cfRule type="cellIs" dxfId="3333" priority="2941" operator="equal">
      <formula>0</formula>
    </cfRule>
  </conditionalFormatting>
  <conditionalFormatting sqref="S139">
    <cfRule type="expression" dxfId="3332" priority="2938">
      <formula>$S$28&gt;0</formula>
    </cfRule>
    <cfRule type="cellIs" dxfId="3331" priority="2939" operator="equal">
      <formula>0</formula>
    </cfRule>
  </conditionalFormatting>
  <conditionalFormatting sqref="S145">
    <cfRule type="cellIs" dxfId="3330" priority="2936" operator="greaterThan">
      <formula>0</formula>
    </cfRule>
    <cfRule type="top10" dxfId="3329" priority="2937" rank="10"/>
  </conditionalFormatting>
  <conditionalFormatting sqref="B160">
    <cfRule type="cellIs" dxfId="3328" priority="2934" operator="equal">
      <formula>"NO CUMPLE CON LA EXPERIENCIA REQUERIDA"</formula>
    </cfRule>
    <cfRule type="cellIs" dxfId="3327" priority="2935" operator="equal">
      <formula>"CUMPLE CON LA EXPERIENCIA REQUERIDA"</formula>
    </cfRule>
  </conditionalFormatting>
  <conditionalFormatting sqref="H145 H148 H151 H154 H157">
    <cfRule type="notContainsBlanks" dxfId="3326" priority="2933">
      <formula>LEN(TRIM(H145))&gt;0</formula>
    </cfRule>
  </conditionalFormatting>
  <conditionalFormatting sqref="G145">
    <cfRule type="notContainsBlanks" dxfId="3325" priority="2932">
      <formula>LEN(TRIM(G145))&gt;0</formula>
    </cfRule>
  </conditionalFormatting>
  <conditionalFormatting sqref="F145">
    <cfRule type="notContainsBlanks" dxfId="3324" priority="2931">
      <formula>LEN(TRIM(F145))&gt;0</formula>
    </cfRule>
  </conditionalFormatting>
  <conditionalFormatting sqref="E145">
    <cfRule type="notContainsBlanks" dxfId="3323" priority="2930">
      <formula>LEN(TRIM(E145))&gt;0</formula>
    </cfRule>
  </conditionalFormatting>
  <conditionalFormatting sqref="D145">
    <cfRule type="notContainsBlanks" dxfId="3322" priority="2929">
      <formula>LEN(TRIM(D145))&gt;0</formula>
    </cfRule>
  </conditionalFormatting>
  <conditionalFormatting sqref="C145">
    <cfRule type="notContainsBlanks" dxfId="3321" priority="2928">
      <formula>LEN(TRIM(C145))&gt;0</formula>
    </cfRule>
  </conditionalFormatting>
  <conditionalFormatting sqref="I145">
    <cfRule type="notContainsBlanks" dxfId="3320" priority="2927">
      <formula>LEN(TRIM(I145))&gt;0</formula>
    </cfRule>
  </conditionalFormatting>
  <conditionalFormatting sqref="S148">
    <cfRule type="cellIs" dxfId="3319" priority="2925" operator="greaterThan">
      <formula>0</formula>
    </cfRule>
    <cfRule type="top10" dxfId="3318" priority="2926" rank="10"/>
  </conditionalFormatting>
  <conditionalFormatting sqref="S151">
    <cfRule type="cellIs" dxfId="3317" priority="2923" operator="greaterThan">
      <formula>0</formula>
    </cfRule>
    <cfRule type="top10" dxfId="3316" priority="2924" rank="10"/>
  </conditionalFormatting>
  <conditionalFormatting sqref="G151">
    <cfRule type="notContainsBlanks" dxfId="3315" priority="2922">
      <formula>LEN(TRIM(G151))&gt;0</formula>
    </cfRule>
  </conditionalFormatting>
  <conditionalFormatting sqref="F151">
    <cfRule type="notContainsBlanks" dxfId="3314" priority="2921">
      <formula>LEN(TRIM(F151))&gt;0</formula>
    </cfRule>
  </conditionalFormatting>
  <conditionalFormatting sqref="E151">
    <cfRule type="notContainsBlanks" dxfId="3313" priority="2920">
      <formula>LEN(TRIM(E151))&gt;0</formula>
    </cfRule>
  </conditionalFormatting>
  <conditionalFormatting sqref="D151">
    <cfRule type="notContainsBlanks" dxfId="3312" priority="2919">
      <formula>LEN(TRIM(D151))&gt;0</formula>
    </cfRule>
  </conditionalFormatting>
  <conditionalFormatting sqref="C151">
    <cfRule type="notContainsBlanks" dxfId="3311" priority="2918">
      <formula>LEN(TRIM(C151))&gt;0</formula>
    </cfRule>
  </conditionalFormatting>
  <conditionalFormatting sqref="I151">
    <cfRule type="notContainsBlanks" dxfId="3310" priority="2917">
      <formula>LEN(TRIM(I151))&gt;0</formula>
    </cfRule>
  </conditionalFormatting>
  <conditionalFormatting sqref="S154">
    <cfRule type="cellIs" dxfId="3309" priority="2915" operator="greaterThan">
      <formula>0</formula>
    </cfRule>
    <cfRule type="top10" dxfId="3308" priority="2916" rank="10"/>
  </conditionalFormatting>
  <conditionalFormatting sqref="S157">
    <cfRule type="cellIs" dxfId="3307" priority="2913" operator="greaterThan">
      <formula>0</formula>
    </cfRule>
    <cfRule type="top10" dxfId="3306" priority="2914" rank="10"/>
  </conditionalFormatting>
  <conditionalFormatting sqref="G157">
    <cfRule type="notContainsBlanks" dxfId="3305" priority="2912">
      <formula>LEN(TRIM(G157))&gt;0</formula>
    </cfRule>
  </conditionalFormatting>
  <conditionalFormatting sqref="F157">
    <cfRule type="notContainsBlanks" dxfId="3304" priority="2911">
      <formula>LEN(TRIM(F157))&gt;0</formula>
    </cfRule>
  </conditionalFormatting>
  <conditionalFormatting sqref="E157">
    <cfRule type="notContainsBlanks" dxfId="3303" priority="2910">
      <formula>LEN(TRIM(E157))&gt;0</formula>
    </cfRule>
  </conditionalFormatting>
  <conditionalFormatting sqref="D157">
    <cfRule type="notContainsBlanks" dxfId="3302" priority="2909">
      <formula>LEN(TRIM(D157))&gt;0</formula>
    </cfRule>
  </conditionalFormatting>
  <conditionalFormatting sqref="C157">
    <cfRule type="notContainsBlanks" dxfId="3301" priority="2908">
      <formula>LEN(TRIM(C157))&gt;0</formula>
    </cfRule>
  </conditionalFormatting>
  <conditionalFormatting sqref="I157">
    <cfRule type="notContainsBlanks" dxfId="3300" priority="2907">
      <formula>LEN(TRIM(I157))&gt;0</formula>
    </cfRule>
  </conditionalFormatting>
  <conditionalFormatting sqref="G148">
    <cfRule type="notContainsBlanks" dxfId="3299" priority="2906">
      <formula>LEN(TRIM(G148))&gt;0</formula>
    </cfRule>
  </conditionalFormatting>
  <conditionalFormatting sqref="E148">
    <cfRule type="notContainsBlanks" dxfId="3298" priority="2905">
      <formula>LEN(TRIM(E148))&gt;0</formula>
    </cfRule>
  </conditionalFormatting>
  <conditionalFormatting sqref="D148">
    <cfRule type="notContainsBlanks" dxfId="3297" priority="2904">
      <formula>LEN(TRIM(D148))&gt;0</formula>
    </cfRule>
  </conditionalFormatting>
  <conditionalFormatting sqref="C148">
    <cfRule type="notContainsBlanks" dxfId="3296" priority="2903">
      <formula>LEN(TRIM(C148))&gt;0</formula>
    </cfRule>
  </conditionalFormatting>
  <conditionalFormatting sqref="G154">
    <cfRule type="notContainsBlanks" dxfId="3295" priority="2902">
      <formula>LEN(TRIM(G154))&gt;0</formula>
    </cfRule>
  </conditionalFormatting>
  <conditionalFormatting sqref="F154">
    <cfRule type="notContainsBlanks" dxfId="3294" priority="2901">
      <formula>LEN(TRIM(F154))&gt;0</formula>
    </cfRule>
  </conditionalFormatting>
  <conditionalFormatting sqref="E154">
    <cfRule type="notContainsBlanks" dxfId="3293" priority="2900">
      <formula>LEN(TRIM(E154))&gt;0</formula>
    </cfRule>
  </conditionalFormatting>
  <conditionalFormatting sqref="D154">
    <cfRule type="notContainsBlanks" dxfId="3292" priority="2899">
      <formula>LEN(TRIM(D154))&gt;0</formula>
    </cfRule>
  </conditionalFormatting>
  <conditionalFormatting sqref="C154">
    <cfRule type="notContainsBlanks" dxfId="3291" priority="2898">
      <formula>LEN(TRIM(C154))&gt;0</formula>
    </cfRule>
  </conditionalFormatting>
  <conditionalFormatting sqref="I148">
    <cfRule type="notContainsBlanks" dxfId="3290" priority="2897">
      <formula>LEN(TRIM(I148))&gt;0</formula>
    </cfRule>
  </conditionalFormatting>
  <conditionalFormatting sqref="I154">
    <cfRule type="notContainsBlanks" dxfId="3289" priority="2896">
      <formula>LEN(TRIM(I154))&gt;0</formula>
    </cfRule>
  </conditionalFormatting>
  <conditionalFormatting sqref="S160">
    <cfRule type="expression" dxfId="3288" priority="2894">
      <formula>$S$28&gt;0</formula>
    </cfRule>
    <cfRule type="cellIs" dxfId="3287" priority="2895" operator="equal">
      <formula>0</formula>
    </cfRule>
  </conditionalFormatting>
  <conditionalFormatting sqref="S161">
    <cfRule type="expression" dxfId="3286" priority="2892">
      <formula>$S$28&gt;0</formula>
    </cfRule>
    <cfRule type="cellIs" dxfId="3285" priority="2893" operator="equal">
      <formula>0</formula>
    </cfRule>
  </conditionalFormatting>
  <conditionalFormatting sqref="N157">
    <cfRule type="expression" dxfId="3284" priority="2889">
      <formula>N157=" "</formula>
    </cfRule>
    <cfRule type="expression" dxfId="3283" priority="2890">
      <formula>N157="NO PRESENTÓ CERTIFICADO"</formula>
    </cfRule>
    <cfRule type="expression" dxfId="3282" priority="2891">
      <formula>N157="PRESENTÓ CERTIFICADO"</formula>
    </cfRule>
  </conditionalFormatting>
  <conditionalFormatting sqref="O157">
    <cfRule type="cellIs" dxfId="3281" priority="2871" operator="equal">
      <formula>"PENDIENTE POR DESCRIPCIÓN"</formula>
    </cfRule>
    <cfRule type="cellIs" dxfId="3280" priority="2872" operator="equal">
      <formula>"DESCRIPCIÓN INSUFICIENTE"</formula>
    </cfRule>
    <cfRule type="cellIs" dxfId="3279" priority="2873" operator="equal">
      <formula>"NO ESTÁ ACORDE A ITEM 5.2.2 (T.R.)"</formula>
    </cfRule>
    <cfRule type="cellIs" dxfId="3278" priority="2874" operator="equal">
      <formula>"ACORDE A ITEM 5.2.2 (T.R.)"</formula>
    </cfRule>
    <cfRule type="cellIs" dxfId="3277" priority="2881" operator="equal">
      <formula>"PENDIENTE POR DESCRIPCIÓN"</formula>
    </cfRule>
    <cfRule type="cellIs" dxfId="3276" priority="2883" operator="equal">
      <formula>"DESCRIPCIÓN INSUFICIENTE"</formula>
    </cfRule>
    <cfRule type="cellIs" dxfId="3275" priority="2884" operator="equal">
      <formula>"NO ESTÁ ACORDE A ITEM 5.2.1 (T.R.)"</formula>
    </cfRule>
    <cfRule type="cellIs" dxfId="3274" priority="2885" operator="equal">
      <formula>"ACORDE A ITEM 5.2.1 (T.R.)"</formula>
    </cfRule>
  </conditionalFormatting>
  <conditionalFormatting sqref="Q157">
    <cfRule type="containsBlanks" dxfId="3273" priority="2876">
      <formula>LEN(TRIM(Q157))=0</formula>
    </cfRule>
    <cfRule type="cellIs" dxfId="3272" priority="2882" operator="equal">
      <formula>"REQUERIMIENTOS SUBSANADOS"</formula>
    </cfRule>
    <cfRule type="containsText" dxfId="3271" priority="2886" operator="containsText" text="NO SUBSANABLE">
      <formula>NOT(ISERROR(SEARCH("NO SUBSANABLE",Q157)))</formula>
    </cfRule>
    <cfRule type="containsText" dxfId="3270" priority="2887" operator="containsText" text="PENDIENTES POR SUBSANAR">
      <formula>NOT(ISERROR(SEARCH("PENDIENTES POR SUBSANAR",Q157)))</formula>
    </cfRule>
    <cfRule type="containsText" dxfId="3269" priority="2888" operator="containsText" text="SIN OBSERVACIÓN">
      <formula>NOT(ISERROR(SEARCH("SIN OBSERVACIÓN",Q157)))</formula>
    </cfRule>
  </conditionalFormatting>
  <conditionalFormatting sqref="R157">
    <cfRule type="containsBlanks" dxfId="3268" priority="2875">
      <formula>LEN(TRIM(R157))=0</formula>
    </cfRule>
    <cfRule type="cellIs" dxfId="3267" priority="2877" operator="equal">
      <formula>"NO CUMPLEN CON LO SOLICITADO"</formula>
    </cfRule>
    <cfRule type="cellIs" dxfId="3266" priority="2878" operator="equal">
      <formula>"CUMPLEN CON LO SOLICITADO"</formula>
    </cfRule>
    <cfRule type="cellIs" dxfId="3265" priority="2879" operator="equal">
      <formula>"PENDIENTES"</formula>
    </cfRule>
    <cfRule type="cellIs" dxfId="3264" priority="2880" operator="equal">
      <formula>"NINGUNO"</formula>
    </cfRule>
  </conditionalFormatting>
  <conditionalFormatting sqref="P157">
    <cfRule type="expression" dxfId="3263" priority="2866">
      <formula>Q157="NO SUBSANABLE"</formula>
    </cfRule>
    <cfRule type="expression" dxfId="3262" priority="2867">
      <formula>Q157="REQUERIMIENTOS SUBSANADOS"</formula>
    </cfRule>
    <cfRule type="expression" dxfId="3261" priority="2868">
      <formula>Q157="PENDIENTES POR SUBSANAR"</formula>
    </cfRule>
    <cfRule type="expression" dxfId="3260" priority="2869">
      <formula>Q157="SIN OBSERVACIÓN"</formula>
    </cfRule>
    <cfRule type="containsBlanks" dxfId="3259" priority="2870">
      <formula>LEN(TRIM(P157))=0</formula>
    </cfRule>
  </conditionalFormatting>
  <conditionalFormatting sqref="S167">
    <cfRule type="cellIs" dxfId="3258" priority="2864" operator="greaterThan">
      <formula>0</formula>
    </cfRule>
    <cfRule type="top10" dxfId="3257" priority="2865" rank="10"/>
  </conditionalFormatting>
  <conditionalFormatting sqref="B182">
    <cfRule type="cellIs" dxfId="3256" priority="2862" operator="equal">
      <formula>"NO CUMPLE CON LA EXPERIENCIA REQUERIDA"</formula>
    </cfRule>
    <cfRule type="cellIs" dxfId="3255" priority="2863" operator="equal">
      <formula>"CUMPLE CON LA EXPERIENCIA REQUERIDA"</formula>
    </cfRule>
  </conditionalFormatting>
  <conditionalFormatting sqref="H167 H176 H179">
    <cfRule type="notContainsBlanks" dxfId="3254" priority="2861">
      <formula>LEN(TRIM(H167))&gt;0</formula>
    </cfRule>
  </conditionalFormatting>
  <conditionalFormatting sqref="G167">
    <cfRule type="notContainsBlanks" dxfId="3253" priority="2860">
      <formula>LEN(TRIM(G167))&gt;0</formula>
    </cfRule>
  </conditionalFormatting>
  <conditionalFormatting sqref="F167">
    <cfRule type="notContainsBlanks" dxfId="3252" priority="2859">
      <formula>LEN(TRIM(F167))&gt;0</formula>
    </cfRule>
  </conditionalFormatting>
  <conditionalFormatting sqref="E167">
    <cfRule type="notContainsBlanks" dxfId="3251" priority="2858">
      <formula>LEN(TRIM(E167))&gt;0</formula>
    </cfRule>
  </conditionalFormatting>
  <conditionalFormatting sqref="D167">
    <cfRule type="notContainsBlanks" dxfId="3250" priority="2857">
      <formula>LEN(TRIM(D167))&gt;0</formula>
    </cfRule>
  </conditionalFormatting>
  <conditionalFormatting sqref="C167">
    <cfRule type="notContainsBlanks" dxfId="3249" priority="2856">
      <formula>LEN(TRIM(C167))&gt;0</formula>
    </cfRule>
  </conditionalFormatting>
  <conditionalFormatting sqref="I167">
    <cfRule type="notContainsBlanks" dxfId="3248" priority="2855">
      <formula>LEN(TRIM(I167))&gt;0</formula>
    </cfRule>
  </conditionalFormatting>
  <conditionalFormatting sqref="S170">
    <cfRule type="cellIs" dxfId="3247" priority="2853" operator="greaterThan">
      <formula>0</formula>
    </cfRule>
    <cfRule type="top10" dxfId="3246" priority="2854" rank="10"/>
  </conditionalFormatting>
  <conditionalFormatting sqref="S173">
    <cfRule type="cellIs" dxfId="3245" priority="2851" operator="greaterThan">
      <formula>0</formula>
    </cfRule>
    <cfRule type="top10" dxfId="3244" priority="2852" rank="10"/>
  </conditionalFormatting>
  <conditionalFormatting sqref="G173">
    <cfRule type="notContainsBlanks" dxfId="3243" priority="2850">
      <formula>LEN(TRIM(G173))&gt;0</formula>
    </cfRule>
  </conditionalFormatting>
  <conditionalFormatting sqref="F173">
    <cfRule type="notContainsBlanks" dxfId="3242" priority="2849">
      <formula>LEN(TRIM(F173))&gt;0</formula>
    </cfRule>
  </conditionalFormatting>
  <conditionalFormatting sqref="E173">
    <cfRule type="notContainsBlanks" dxfId="3241" priority="2848">
      <formula>LEN(TRIM(E173))&gt;0</formula>
    </cfRule>
  </conditionalFormatting>
  <conditionalFormatting sqref="D173">
    <cfRule type="notContainsBlanks" dxfId="3240" priority="2847">
      <formula>LEN(TRIM(D173))&gt;0</formula>
    </cfRule>
  </conditionalFormatting>
  <conditionalFormatting sqref="C173">
    <cfRule type="notContainsBlanks" dxfId="3239" priority="2846">
      <formula>LEN(TRIM(C173))&gt;0</formula>
    </cfRule>
  </conditionalFormatting>
  <conditionalFormatting sqref="I173">
    <cfRule type="notContainsBlanks" dxfId="3238" priority="2845">
      <formula>LEN(TRIM(I173))&gt;0</formula>
    </cfRule>
  </conditionalFormatting>
  <conditionalFormatting sqref="S176">
    <cfRule type="cellIs" dxfId="3237" priority="2843" operator="greaterThan">
      <formula>0</formula>
    </cfRule>
    <cfRule type="top10" dxfId="3236" priority="2844" rank="10"/>
  </conditionalFormatting>
  <conditionalFormatting sqref="S179">
    <cfRule type="cellIs" dxfId="3235" priority="2841" operator="greaterThan">
      <formula>0</formula>
    </cfRule>
    <cfRule type="top10" dxfId="3234" priority="2842" rank="10"/>
  </conditionalFormatting>
  <conditionalFormatting sqref="G179">
    <cfRule type="notContainsBlanks" dxfId="3233" priority="2840">
      <formula>LEN(TRIM(G179))&gt;0</formula>
    </cfRule>
  </conditionalFormatting>
  <conditionalFormatting sqref="F179">
    <cfRule type="notContainsBlanks" dxfId="3232" priority="2839">
      <formula>LEN(TRIM(F179))&gt;0</formula>
    </cfRule>
  </conditionalFormatting>
  <conditionalFormatting sqref="E179">
    <cfRule type="notContainsBlanks" dxfId="3231" priority="2838">
      <formula>LEN(TRIM(E179))&gt;0</formula>
    </cfRule>
  </conditionalFormatting>
  <conditionalFormatting sqref="D179">
    <cfRule type="notContainsBlanks" dxfId="3230" priority="2837">
      <formula>LEN(TRIM(D179))&gt;0</formula>
    </cfRule>
  </conditionalFormatting>
  <conditionalFormatting sqref="C179">
    <cfRule type="notContainsBlanks" dxfId="3229" priority="2836">
      <formula>LEN(TRIM(C179))&gt;0</formula>
    </cfRule>
  </conditionalFormatting>
  <conditionalFormatting sqref="I179">
    <cfRule type="notContainsBlanks" dxfId="3228" priority="2835">
      <formula>LEN(TRIM(I179))&gt;0</formula>
    </cfRule>
  </conditionalFormatting>
  <conditionalFormatting sqref="G170">
    <cfRule type="notContainsBlanks" dxfId="3227" priority="2834">
      <formula>LEN(TRIM(G170))&gt;0</formula>
    </cfRule>
  </conditionalFormatting>
  <conditionalFormatting sqref="F170">
    <cfRule type="notContainsBlanks" dxfId="3226" priority="2833">
      <formula>LEN(TRIM(F170))&gt;0</formula>
    </cfRule>
  </conditionalFormatting>
  <conditionalFormatting sqref="E170">
    <cfRule type="notContainsBlanks" dxfId="3225" priority="2832">
      <formula>LEN(TRIM(E170))&gt;0</formula>
    </cfRule>
  </conditionalFormatting>
  <conditionalFormatting sqref="D170">
    <cfRule type="notContainsBlanks" dxfId="3224" priority="2831">
      <formula>LEN(TRIM(D170))&gt;0</formula>
    </cfRule>
  </conditionalFormatting>
  <conditionalFormatting sqref="C170">
    <cfRule type="notContainsBlanks" dxfId="3223" priority="2830">
      <formula>LEN(TRIM(C170))&gt;0</formula>
    </cfRule>
  </conditionalFormatting>
  <conditionalFormatting sqref="G176">
    <cfRule type="notContainsBlanks" dxfId="3222" priority="2829">
      <formula>LEN(TRIM(G176))&gt;0</formula>
    </cfRule>
  </conditionalFormatting>
  <conditionalFormatting sqref="F176">
    <cfRule type="notContainsBlanks" dxfId="3221" priority="2828">
      <formula>LEN(TRIM(F176))&gt;0</formula>
    </cfRule>
  </conditionalFormatting>
  <conditionalFormatting sqref="E176">
    <cfRule type="notContainsBlanks" dxfId="3220" priority="2827">
      <formula>LEN(TRIM(E176))&gt;0</formula>
    </cfRule>
  </conditionalFormatting>
  <conditionalFormatting sqref="D176">
    <cfRule type="notContainsBlanks" dxfId="3219" priority="2826">
      <formula>LEN(TRIM(D176))&gt;0</formula>
    </cfRule>
  </conditionalFormatting>
  <conditionalFormatting sqref="C176">
    <cfRule type="notContainsBlanks" dxfId="3218" priority="2825">
      <formula>LEN(TRIM(C176))&gt;0</formula>
    </cfRule>
  </conditionalFormatting>
  <conditionalFormatting sqref="I170">
    <cfRule type="notContainsBlanks" dxfId="3217" priority="2824">
      <formula>LEN(TRIM(I170))&gt;0</formula>
    </cfRule>
  </conditionalFormatting>
  <conditionalFormatting sqref="I176">
    <cfRule type="notContainsBlanks" dxfId="3216" priority="2823">
      <formula>LEN(TRIM(I176))&gt;0</formula>
    </cfRule>
  </conditionalFormatting>
  <conditionalFormatting sqref="S182">
    <cfRule type="expression" dxfId="3215" priority="2821">
      <formula>$S$28&gt;0</formula>
    </cfRule>
    <cfRule type="cellIs" dxfId="3214" priority="2822" operator="equal">
      <formula>0</formula>
    </cfRule>
  </conditionalFormatting>
  <conditionalFormatting sqref="S183">
    <cfRule type="expression" dxfId="3213" priority="2819">
      <formula>$S$28&gt;0</formula>
    </cfRule>
    <cfRule type="cellIs" dxfId="3212" priority="2820" operator="equal">
      <formula>0</formula>
    </cfRule>
  </conditionalFormatting>
  <conditionalFormatting sqref="B204">
    <cfRule type="cellIs" dxfId="3211" priority="2817" operator="equal">
      <formula>"NO CUMPLE CON LA EXPERIENCIA REQUERIDA"</formula>
    </cfRule>
    <cfRule type="cellIs" dxfId="3210" priority="2818" operator="equal">
      <formula>"CUMPLE CON LA EXPERIENCIA REQUERIDA"</formula>
    </cfRule>
  </conditionalFormatting>
  <conditionalFormatting sqref="H189 H192 H195 H198 H201">
    <cfRule type="notContainsBlanks" dxfId="3209" priority="2816">
      <formula>LEN(TRIM(H189))&gt;0</formula>
    </cfRule>
  </conditionalFormatting>
  <conditionalFormatting sqref="G189">
    <cfRule type="notContainsBlanks" dxfId="3208" priority="2815">
      <formula>LEN(TRIM(G189))&gt;0</formula>
    </cfRule>
  </conditionalFormatting>
  <conditionalFormatting sqref="F189">
    <cfRule type="notContainsBlanks" dxfId="3207" priority="2814">
      <formula>LEN(TRIM(F189))&gt;0</formula>
    </cfRule>
  </conditionalFormatting>
  <conditionalFormatting sqref="E189">
    <cfRule type="notContainsBlanks" dxfId="3206" priority="2813">
      <formula>LEN(TRIM(E189))&gt;0</formula>
    </cfRule>
  </conditionalFormatting>
  <conditionalFormatting sqref="D189">
    <cfRule type="notContainsBlanks" dxfId="3205" priority="2812">
      <formula>LEN(TRIM(D189))&gt;0</formula>
    </cfRule>
  </conditionalFormatting>
  <conditionalFormatting sqref="C189">
    <cfRule type="notContainsBlanks" dxfId="3204" priority="2811">
      <formula>LEN(TRIM(C189))&gt;0</formula>
    </cfRule>
  </conditionalFormatting>
  <conditionalFormatting sqref="I189">
    <cfRule type="notContainsBlanks" dxfId="3203" priority="2810">
      <formula>LEN(TRIM(I189))&gt;0</formula>
    </cfRule>
  </conditionalFormatting>
  <conditionalFormatting sqref="S192">
    <cfRule type="cellIs" dxfId="3202" priority="2808" operator="greaterThan">
      <formula>0</formula>
    </cfRule>
    <cfRule type="top10" dxfId="3201" priority="2809" rank="10"/>
  </conditionalFormatting>
  <conditionalFormatting sqref="S195">
    <cfRule type="cellIs" dxfId="3200" priority="2806" operator="greaterThan">
      <formula>0</formula>
    </cfRule>
    <cfRule type="top10" dxfId="3199" priority="2807" rank="10"/>
  </conditionalFormatting>
  <conditionalFormatting sqref="G195">
    <cfRule type="notContainsBlanks" dxfId="3198" priority="2805">
      <formula>LEN(TRIM(G195))&gt;0</formula>
    </cfRule>
  </conditionalFormatting>
  <conditionalFormatting sqref="F195">
    <cfRule type="notContainsBlanks" dxfId="3197" priority="2804">
      <formula>LEN(TRIM(F195))&gt;0</formula>
    </cfRule>
  </conditionalFormatting>
  <conditionalFormatting sqref="E195">
    <cfRule type="notContainsBlanks" dxfId="3196" priority="2803">
      <formula>LEN(TRIM(E195))&gt;0</formula>
    </cfRule>
  </conditionalFormatting>
  <conditionalFormatting sqref="D195">
    <cfRule type="notContainsBlanks" dxfId="3195" priority="2802">
      <formula>LEN(TRIM(D195))&gt;0</formula>
    </cfRule>
  </conditionalFormatting>
  <conditionalFormatting sqref="C195">
    <cfRule type="notContainsBlanks" dxfId="3194" priority="2801">
      <formula>LEN(TRIM(C195))&gt;0</formula>
    </cfRule>
  </conditionalFormatting>
  <conditionalFormatting sqref="I195">
    <cfRule type="notContainsBlanks" dxfId="3193" priority="2800">
      <formula>LEN(TRIM(I195))&gt;0</formula>
    </cfRule>
  </conditionalFormatting>
  <conditionalFormatting sqref="S198">
    <cfRule type="cellIs" dxfId="3192" priority="2798" operator="greaterThan">
      <formula>0</formula>
    </cfRule>
    <cfRule type="top10" dxfId="3191" priority="2799" rank="10"/>
  </conditionalFormatting>
  <conditionalFormatting sqref="S201">
    <cfRule type="cellIs" dxfId="3190" priority="2796" operator="greaterThan">
      <formula>0</formula>
    </cfRule>
    <cfRule type="top10" dxfId="3189" priority="2797" rank="10"/>
  </conditionalFormatting>
  <conditionalFormatting sqref="G201">
    <cfRule type="notContainsBlanks" dxfId="3188" priority="2795">
      <formula>LEN(TRIM(G201))&gt;0</formula>
    </cfRule>
  </conditionalFormatting>
  <conditionalFormatting sqref="F201">
    <cfRule type="notContainsBlanks" dxfId="3187" priority="2794">
      <formula>LEN(TRIM(F201))&gt;0</formula>
    </cfRule>
  </conditionalFormatting>
  <conditionalFormatting sqref="E201">
    <cfRule type="notContainsBlanks" dxfId="3186" priority="2793">
      <formula>LEN(TRIM(E201))&gt;0</formula>
    </cfRule>
  </conditionalFormatting>
  <conditionalFormatting sqref="D201">
    <cfRule type="notContainsBlanks" dxfId="3185" priority="2792">
      <formula>LEN(TRIM(D201))&gt;0</formula>
    </cfRule>
  </conditionalFormatting>
  <conditionalFormatting sqref="C201">
    <cfRule type="notContainsBlanks" dxfId="3184" priority="2791">
      <formula>LEN(TRIM(C201))&gt;0</formula>
    </cfRule>
  </conditionalFormatting>
  <conditionalFormatting sqref="I201">
    <cfRule type="notContainsBlanks" dxfId="3183" priority="2790">
      <formula>LEN(TRIM(I201))&gt;0</formula>
    </cfRule>
  </conditionalFormatting>
  <conditionalFormatting sqref="G192">
    <cfRule type="notContainsBlanks" dxfId="3182" priority="2789">
      <formula>LEN(TRIM(G192))&gt;0</formula>
    </cfRule>
  </conditionalFormatting>
  <conditionalFormatting sqref="F192">
    <cfRule type="notContainsBlanks" dxfId="3181" priority="2788">
      <formula>LEN(TRIM(F192))&gt;0</formula>
    </cfRule>
  </conditionalFormatting>
  <conditionalFormatting sqref="E192">
    <cfRule type="notContainsBlanks" dxfId="3180" priority="2787">
      <formula>LEN(TRIM(E192))&gt;0</formula>
    </cfRule>
  </conditionalFormatting>
  <conditionalFormatting sqref="D192">
    <cfRule type="notContainsBlanks" dxfId="3179" priority="2786">
      <formula>LEN(TRIM(D192))&gt;0</formula>
    </cfRule>
  </conditionalFormatting>
  <conditionalFormatting sqref="C192">
    <cfRule type="notContainsBlanks" dxfId="3178" priority="2785">
      <formula>LEN(TRIM(C192))&gt;0</formula>
    </cfRule>
  </conditionalFormatting>
  <conditionalFormatting sqref="G198">
    <cfRule type="notContainsBlanks" dxfId="3177" priority="2784">
      <formula>LEN(TRIM(G198))&gt;0</formula>
    </cfRule>
  </conditionalFormatting>
  <conditionalFormatting sqref="F198">
    <cfRule type="notContainsBlanks" dxfId="3176" priority="2783">
      <formula>LEN(TRIM(F198))&gt;0</formula>
    </cfRule>
  </conditionalFormatting>
  <conditionalFormatting sqref="E198">
    <cfRule type="notContainsBlanks" dxfId="3175" priority="2782">
      <formula>LEN(TRIM(E198))&gt;0</formula>
    </cfRule>
  </conditionalFormatting>
  <conditionalFormatting sqref="D198">
    <cfRule type="notContainsBlanks" dxfId="3174" priority="2781">
      <formula>LEN(TRIM(D198))&gt;0</formula>
    </cfRule>
  </conditionalFormatting>
  <conditionalFormatting sqref="C198">
    <cfRule type="notContainsBlanks" dxfId="3173" priority="2780">
      <formula>LEN(TRIM(C198))&gt;0</formula>
    </cfRule>
  </conditionalFormatting>
  <conditionalFormatting sqref="I192">
    <cfRule type="notContainsBlanks" dxfId="3172" priority="2779">
      <formula>LEN(TRIM(I192))&gt;0</formula>
    </cfRule>
  </conditionalFormatting>
  <conditionalFormatting sqref="I198">
    <cfRule type="notContainsBlanks" dxfId="3171" priority="2778">
      <formula>LEN(TRIM(I198))&gt;0</formula>
    </cfRule>
  </conditionalFormatting>
  <conditionalFormatting sqref="S204">
    <cfRule type="expression" dxfId="3170" priority="2776">
      <formula>$S$28&gt;0</formula>
    </cfRule>
    <cfRule type="cellIs" dxfId="3169" priority="2777" operator="equal">
      <formula>0</formula>
    </cfRule>
  </conditionalFormatting>
  <conditionalFormatting sqref="S205">
    <cfRule type="expression" dxfId="3168" priority="2774">
      <formula>$S$28&gt;0</formula>
    </cfRule>
    <cfRule type="cellIs" dxfId="3167" priority="2775" operator="equal">
      <formula>0</formula>
    </cfRule>
  </conditionalFormatting>
  <conditionalFormatting sqref="N201">
    <cfRule type="expression" dxfId="3166" priority="2771">
      <formula>N201=" "</formula>
    </cfRule>
    <cfRule type="expression" dxfId="3165" priority="2772">
      <formula>N201="NO PRESENTÓ CERTIFICADO"</formula>
    </cfRule>
    <cfRule type="expression" dxfId="3164" priority="2773">
      <formula>N201="PRESENTÓ CERTIFICADO"</formula>
    </cfRule>
  </conditionalFormatting>
  <conditionalFormatting sqref="O201">
    <cfRule type="cellIs" dxfId="3163" priority="2753" operator="equal">
      <formula>"PENDIENTE POR DESCRIPCIÓN"</formula>
    </cfRule>
    <cfRule type="cellIs" dxfId="3162" priority="2754" operator="equal">
      <formula>"DESCRIPCIÓN INSUFICIENTE"</formula>
    </cfRule>
    <cfRule type="cellIs" dxfId="3161" priority="2755" operator="equal">
      <formula>"NO ESTÁ ACORDE A ITEM 5.2.2 (T.R.)"</formula>
    </cfRule>
    <cfRule type="cellIs" dxfId="3160" priority="2756" operator="equal">
      <formula>"ACORDE A ITEM 5.2.2 (T.R.)"</formula>
    </cfRule>
    <cfRule type="cellIs" dxfId="3159" priority="2763" operator="equal">
      <formula>"PENDIENTE POR DESCRIPCIÓN"</formula>
    </cfRule>
    <cfRule type="cellIs" dxfId="3158" priority="2765" operator="equal">
      <formula>"DESCRIPCIÓN INSUFICIENTE"</formula>
    </cfRule>
    <cfRule type="cellIs" dxfId="3157" priority="2766" operator="equal">
      <formula>"NO ESTÁ ACORDE A ITEM 5.2.1 (T.R.)"</formula>
    </cfRule>
    <cfRule type="cellIs" dxfId="3156" priority="2767" operator="equal">
      <formula>"ACORDE A ITEM 5.2.1 (T.R.)"</formula>
    </cfRule>
  </conditionalFormatting>
  <conditionalFormatting sqref="Q201">
    <cfRule type="containsBlanks" dxfId="3155" priority="2758">
      <formula>LEN(TRIM(Q201))=0</formula>
    </cfRule>
    <cfRule type="cellIs" dxfId="3154" priority="2764" operator="equal">
      <formula>"REQUERIMIENTOS SUBSANADOS"</formula>
    </cfRule>
    <cfRule type="containsText" dxfId="3153" priority="2768" operator="containsText" text="NO SUBSANABLE">
      <formula>NOT(ISERROR(SEARCH("NO SUBSANABLE",Q201)))</formula>
    </cfRule>
    <cfRule type="containsText" dxfId="3152" priority="2769" operator="containsText" text="PENDIENTES POR SUBSANAR">
      <formula>NOT(ISERROR(SEARCH("PENDIENTES POR SUBSANAR",Q201)))</formula>
    </cfRule>
    <cfRule type="containsText" dxfId="3151" priority="2770" operator="containsText" text="SIN OBSERVACIÓN">
      <formula>NOT(ISERROR(SEARCH("SIN OBSERVACIÓN",Q201)))</formula>
    </cfRule>
  </conditionalFormatting>
  <conditionalFormatting sqref="R201">
    <cfRule type="containsBlanks" dxfId="3150" priority="2757">
      <formula>LEN(TRIM(R201))=0</formula>
    </cfRule>
    <cfRule type="cellIs" dxfId="3149" priority="2759" operator="equal">
      <formula>"NO CUMPLEN CON LO SOLICITADO"</formula>
    </cfRule>
    <cfRule type="cellIs" dxfId="3148" priority="2760" operator="equal">
      <formula>"CUMPLEN CON LO SOLICITADO"</formula>
    </cfRule>
    <cfRule type="cellIs" dxfId="3147" priority="2761" operator="equal">
      <formula>"PENDIENTES"</formula>
    </cfRule>
    <cfRule type="cellIs" dxfId="3146" priority="2762" operator="equal">
      <formula>"NINGUNO"</formula>
    </cfRule>
  </conditionalFormatting>
  <conditionalFormatting sqref="P192 P195 P198 P201">
    <cfRule type="expression" dxfId="3145" priority="2748">
      <formula>Q192="NO SUBSANABLE"</formula>
    </cfRule>
    <cfRule type="expression" dxfId="3144" priority="2749">
      <formula>Q192="REQUERIMIENTOS SUBSANADOS"</formula>
    </cfRule>
    <cfRule type="expression" dxfId="3143" priority="2750">
      <formula>Q192="PENDIENTES POR SUBSANAR"</formula>
    </cfRule>
    <cfRule type="expression" dxfId="3142" priority="2751">
      <formula>Q192="SIN OBSERVACIÓN"</formula>
    </cfRule>
    <cfRule type="containsBlanks" dxfId="3141" priority="2752">
      <formula>LEN(TRIM(P192))=0</formula>
    </cfRule>
  </conditionalFormatting>
  <conditionalFormatting sqref="N192">
    <cfRule type="expression" dxfId="3140" priority="2745">
      <formula>N192=" "</formula>
    </cfRule>
    <cfRule type="expression" dxfId="3139" priority="2746">
      <formula>N192="NO PRESENTÓ CERTIFICADO"</formula>
    </cfRule>
    <cfRule type="expression" dxfId="3138" priority="2747">
      <formula>N192="PRESENTÓ CERTIFICADO"</formula>
    </cfRule>
  </conditionalFormatting>
  <conditionalFormatting sqref="N195">
    <cfRule type="expression" dxfId="3137" priority="2742">
      <formula>N195=" "</formula>
    </cfRule>
    <cfRule type="expression" dxfId="3136" priority="2743">
      <formula>N195="NO PRESENTÓ CERTIFICADO"</formula>
    </cfRule>
    <cfRule type="expression" dxfId="3135" priority="2744">
      <formula>N195="PRESENTÓ CERTIFICADO"</formula>
    </cfRule>
  </conditionalFormatting>
  <conditionalFormatting sqref="N198">
    <cfRule type="expression" dxfId="3134" priority="2739">
      <formula>N198=" "</formula>
    </cfRule>
    <cfRule type="expression" dxfId="3133" priority="2740">
      <formula>N198="NO PRESENTÓ CERTIFICADO"</formula>
    </cfRule>
    <cfRule type="expression" dxfId="3132" priority="2741">
      <formula>N198="PRESENTÓ CERTIFICADO"</formula>
    </cfRule>
  </conditionalFormatting>
  <conditionalFormatting sqref="O192">
    <cfRule type="cellIs" dxfId="3131" priority="2731" operator="equal">
      <formula>"PENDIENTE POR DESCRIPCIÓN"</formula>
    </cfRule>
    <cfRule type="cellIs" dxfId="3130" priority="2732" operator="equal">
      <formula>"DESCRIPCIÓN INSUFICIENTE"</formula>
    </cfRule>
    <cfRule type="cellIs" dxfId="3129" priority="2733" operator="equal">
      <formula>"NO ESTÁ ACORDE A ITEM 5.2.2 (T.R.)"</formula>
    </cfRule>
    <cfRule type="cellIs" dxfId="3128" priority="2734" operator="equal">
      <formula>"ACORDE A ITEM 5.2.2 (T.R.)"</formula>
    </cfRule>
    <cfRule type="cellIs" dxfId="3127" priority="2735" operator="equal">
      <formula>"PENDIENTE POR DESCRIPCIÓN"</formula>
    </cfRule>
    <cfRule type="cellIs" dxfId="3126" priority="2736" operator="equal">
      <formula>"DESCRIPCIÓN INSUFICIENTE"</formula>
    </cfRule>
    <cfRule type="cellIs" dxfId="3125" priority="2737" operator="equal">
      <formula>"NO ESTÁ ACORDE A ITEM 5.2.1 (T.R.)"</formula>
    </cfRule>
    <cfRule type="cellIs" dxfId="3124" priority="2738" operator="equal">
      <formula>"ACORDE A ITEM 5.2.1 (T.R.)"</formula>
    </cfRule>
  </conditionalFormatting>
  <conditionalFormatting sqref="O195">
    <cfRule type="cellIs" dxfId="3123" priority="2723" operator="equal">
      <formula>"PENDIENTE POR DESCRIPCIÓN"</formula>
    </cfRule>
    <cfRule type="cellIs" dxfId="3122" priority="2724" operator="equal">
      <formula>"DESCRIPCIÓN INSUFICIENTE"</formula>
    </cfRule>
    <cfRule type="cellIs" dxfId="3121" priority="2725" operator="equal">
      <formula>"NO ESTÁ ACORDE A ITEM 5.2.2 (T.R.)"</formula>
    </cfRule>
    <cfRule type="cellIs" dxfId="3120" priority="2726" operator="equal">
      <formula>"ACORDE A ITEM 5.2.2 (T.R.)"</formula>
    </cfRule>
    <cfRule type="cellIs" dxfId="3119" priority="2727" operator="equal">
      <formula>"PENDIENTE POR DESCRIPCIÓN"</formula>
    </cfRule>
    <cfRule type="cellIs" dxfId="3118" priority="2728" operator="equal">
      <formula>"DESCRIPCIÓN INSUFICIENTE"</formula>
    </cfRule>
    <cfRule type="cellIs" dxfId="3117" priority="2729" operator="equal">
      <formula>"NO ESTÁ ACORDE A ITEM 5.2.1 (T.R.)"</formula>
    </cfRule>
    <cfRule type="cellIs" dxfId="3116" priority="2730" operator="equal">
      <formula>"ACORDE A ITEM 5.2.1 (T.R.)"</formula>
    </cfRule>
  </conditionalFormatting>
  <conditionalFormatting sqref="O198">
    <cfRule type="cellIs" dxfId="3115" priority="2715" operator="equal">
      <formula>"PENDIENTE POR DESCRIPCIÓN"</formula>
    </cfRule>
    <cfRule type="cellIs" dxfId="3114" priority="2716" operator="equal">
      <formula>"DESCRIPCIÓN INSUFICIENTE"</formula>
    </cfRule>
    <cfRule type="cellIs" dxfId="3113" priority="2717" operator="equal">
      <formula>"NO ESTÁ ACORDE A ITEM 5.2.2 (T.R.)"</formula>
    </cfRule>
    <cfRule type="cellIs" dxfId="3112" priority="2718" operator="equal">
      <formula>"ACORDE A ITEM 5.2.2 (T.R.)"</formula>
    </cfRule>
    <cfRule type="cellIs" dxfId="3111" priority="2719" operator="equal">
      <formula>"PENDIENTE POR DESCRIPCIÓN"</formula>
    </cfRule>
    <cfRule type="cellIs" dxfId="3110" priority="2720" operator="equal">
      <formula>"DESCRIPCIÓN INSUFICIENTE"</formula>
    </cfRule>
    <cfRule type="cellIs" dxfId="3109" priority="2721" operator="equal">
      <formula>"NO ESTÁ ACORDE A ITEM 5.2.1 (T.R.)"</formula>
    </cfRule>
    <cfRule type="cellIs" dxfId="3108" priority="2722" operator="equal">
      <formula>"ACORDE A ITEM 5.2.1 (T.R.)"</formula>
    </cfRule>
  </conditionalFormatting>
  <conditionalFormatting sqref="Q192">
    <cfRule type="containsBlanks" dxfId="3107" priority="2706">
      <formula>LEN(TRIM(Q192))=0</formula>
    </cfRule>
    <cfRule type="cellIs" dxfId="3106" priority="2711" operator="equal">
      <formula>"REQUERIMIENTOS SUBSANADOS"</formula>
    </cfRule>
    <cfRule type="containsText" dxfId="3105" priority="2712" operator="containsText" text="NO SUBSANABLE">
      <formula>NOT(ISERROR(SEARCH("NO SUBSANABLE",Q192)))</formula>
    </cfRule>
    <cfRule type="containsText" dxfId="3104" priority="2713" operator="containsText" text="PENDIENTES POR SUBSANAR">
      <formula>NOT(ISERROR(SEARCH("PENDIENTES POR SUBSANAR",Q192)))</formula>
    </cfRule>
    <cfRule type="containsText" dxfId="3103" priority="2714" operator="containsText" text="SIN OBSERVACIÓN">
      <formula>NOT(ISERROR(SEARCH("SIN OBSERVACIÓN",Q192)))</formula>
    </cfRule>
  </conditionalFormatting>
  <conditionalFormatting sqref="R192">
    <cfRule type="containsBlanks" dxfId="3102" priority="2705">
      <formula>LEN(TRIM(R192))=0</formula>
    </cfRule>
    <cfRule type="cellIs" dxfId="3101" priority="2707" operator="equal">
      <formula>"NO CUMPLEN CON LO SOLICITADO"</formula>
    </cfRule>
    <cfRule type="cellIs" dxfId="3100" priority="2708" operator="equal">
      <formula>"CUMPLEN CON LO SOLICITADO"</formula>
    </cfRule>
    <cfRule type="cellIs" dxfId="3099" priority="2709" operator="equal">
      <formula>"PENDIENTES"</formula>
    </cfRule>
    <cfRule type="cellIs" dxfId="3098" priority="2710" operator="equal">
      <formula>"NINGUNO"</formula>
    </cfRule>
  </conditionalFormatting>
  <conditionalFormatting sqref="Q195">
    <cfRule type="containsBlanks" dxfId="3097" priority="2696">
      <formula>LEN(TRIM(Q195))=0</formula>
    </cfRule>
    <cfRule type="cellIs" dxfId="3096" priority="2701" operator="equal">
      <formula>"REQUERIMIENTOS SUBSANADOS"</formula>
    </cfRule>
    <cfRule type="containsText" dxfId="3095" priority="2702" operator="containsText" text="NO SUBSANABLE">
      <formula>NOT(ISERROR(SEARCH("NO SUBSANABLE",Q195)))</formula>
    </cfRule>
    <cfRule type="containsText" dxfId="3094" priority="2703" operator="containsText" text="PENDIENTES POR SUBSANAR">
      <formula>NOT(ISERROR(SEARCH("PENDIENTES POR SUBSANAR",Q195)))</formula>
    </cfRule>
    <cfRule type="containsText" dxfId="3093" priority="2704" operator="containsText" text="SIN OBSERVACIÓN">
      <formula>NOT(ISERROR(SEARCH("SIN OBSERVACIÓN",Q195)))</formula>
    </cfRule>
  </conditionalFormatting>
  <conditionalFormatting sqref="R195">
    <cfRule type="containsBlanks" dxfId="3092" priority="2695">
      <formula>LEN(TRIM(R195))=0</formula>
    </cfRule>
    <cfRule type="cellIs" dxfId="3091" priority="2697" operator="equal">
      <formula>"NO CUMPLEN CON LO SOLICITADO"</formula>
    </cfRule>
    <cfRule type="cellIs" dxfId="3090" priority="2698" operator="equal">
      <formula>"CUMPLEN CON LO SOLICITADO"</formula>
    </cfRule>
    <cfRule type="cellIs" dxfId="3089" priority="2699" operator="equal">
      <formula>"PENDIENTES"</formula>
    </cfRule>
    <cfRule type="cellIs" dxfId="3088" priority="2700" operator="equal">
      <formula>"NINGUNO"</formula>
    </cfRule>
  </conditionalFormatting>
  <conditionalFormatting sqref="Q198">
    <cfRule type="containsBlanks" dxfId="3087" priority="2686">
      <formula>LEN(TRIM(Q198))=0</formula>
    </cfRule>
    <cfRule type="cellIs" dxfId="3086" priority="2691" operator="equal">
      <formula>"REQUERIMIENTOS SUBSANADOS"</formula>
    </cfRule>
    <cfRule type="containsText" dxfId="3085" priority="2692" operator="containsText" text="NO SUBSANABLE">
      <formula>NOT(ISERROR(SEARCH("NO SUBSANABLE",Q198)))</formula>
    </cfRule>
    <cfRule type="containsText" dxfId="3084" priority="2693" operator="containsText" text="PENDIENTES POR SUBSANAR">
      <formula>NOT(ISERROR(SEARCH("PENDIENTES POR SUBSANAR",Q198)))</formula>
    </cfRule>
    <cfRule type="containsText" dxfId="3083" priority="2694" operator="containsText" text="SIN OBSERVACIÓN">
      <formula>NOT(ISERROR(SEARCH("SIN OBSERVACIÓN",Q198)))</formula>
    </cfRule>
  </conditionalFormatting>
  <conditionalFormatting sqref="R198">
    <cfRule type="containsBlanks" dxfId="3082" priority="2685">
      <formula>LEN(TRIM(R198))=0</formula>
    </cfRule>
    <cfRule type="cellIs" dxfId="3081" priority="2687" operator="equal">
      <formula>"NO CUMPLEN CON LO SOLICITADO"</formula>
    </cfRule>
    <cfRule type="cellIs" dxfId="3080" priority="2688" operator="equal">
      <formula>"CUMPLEN CON LO SOLICITADO"</formula>
    </cfRule>
    <cfRule type="cellIs" dxfId="3079" priority="2689" operator="equal">
      <formula>"PENDIENTES"</formula>
    </cfRule>
    <cfRule type="cellIs" dxfId="3078" priority="2690" operator="equal">
      <formula>"NINGUNO"</formula>
    </cfRule>
  </conditionalFormatting>
  <conditionalFormatting sqref="M198">
    <cfRule type="expression" dxfId="3077" priority="2323">
      <formula>L198="NO CUMPLE"</formula>
    </cfRule>
    <cfRule type="expression" dxfId="3076" priority="2324">
      <formula>L198="CUMPLE"</formula>
    </cfRule>
  </conditionalFormatting>
  <conditionalFormatting sqref="L198:L199">
    <cfRule type="cellIs" dxfId="3075" priority="2321" operator="equal">
      <formula>"NO CUMPLE"</formula>
    </cfRule>
    <cfRule type="cellIs" dxfId="3074" priority="2322" operator="equal">
      <formula>"CUMPLE"</formula>
    </cfRule>
  </conditionalFormatting>
  <conditionalFormatting sqref="M199">
    <cfRule type="expression" dxfId="3073" priority="2319">
      <formula>L199="NO CUMPLE"</formula>
    </cfRule>
    <cfRule type="expression" dxfId="3072" priority="2320">
      <formula>L199="CUMPLE"</formula>
    </cfRule>
  </conditionalFormatting>
  <conditionalFormatting sqref="M127">
    <cfRule type="expression" dxfId="3071" priority="2421">
      <formula>L127="NO CUMPLE"</formula>
    </cfRule>
    <cfRule type="expression" dxfId="3070" priority="2422">
      <formula>L127="CUMPLE"</formula>
    </cfRule>
  </conditionalFormatting>
  <conditionalFormatting sqref="L148:L149">
    <cfRule type="cellIs" dxfId="3069" priority="2393" operator="equal">
      <formula>"NO CUMPLE"</formula>
    </cfRule>
    <cfRule type="cellIs" dxfId="3068" priority="2394" operator="equal">
      <formula>"CUMPLE"</formula>
    </cfRule>
  </conditionalFormatting>
  <conditionalFormatting sqref="M149">
    <cfRule type="expression" dxfId="3067" priority="2391">
      <formula>L149="NO CUMPLE"</formula>
    </cfRule>
    <cfRule type="expression" dxfId="3066" priority="2392">
      <formula>L149="CUMPLE"</formula>
    </cfRule>
  </conditionalFormatting>
  <conditionalFormatting sqref="L151:L152">
    <cfRule type="cellIs" dxfId="3065" priority="2387" operator="equal">
      <formula>"NO CUMPLE"</formula>
    </cfRule>
    <cfRule type="cellIs" dxfId="3064" priority="2388" operator="equal">
      <formula>"CUMPLE"</formula>
    </cfRule>
  </conditionalFormatting>
  <conditionalFormatting sqref="M152">
    <cfRule type="expression" dxfId="3063" priority="2385">
      <formula>L152="NO CUMPLE"</formula>
    </cfRule>
    <cfRule type="expression" dxfId="3062" priority="2386">
      <formula>L152="CUMPLE"</formula>
    </cfRule>
  </conditionalFormatting>
  <conditionalFormatting sqref="M133">
    <cfRule type="expression" dxfId="3061" priority="2409">
      <formula>L133="NO CUMPLE"</formula>
    </cfRule>
    <cfRule type="expression" dxfId="3060" priority="2410">
      <formula>L133="CUMPLE"</formula>
    </cfRule>
  </conditionalFormatting>
  <conditionalFormatting sqref="L154:L155">
    <cfRule type="cellIs" dxfId="3059" priority="2381" operator="equal">
      <formula>"NO CUMPLE"</formula>
    </cfRule>
    <cfRule type="cellIs" dxfId="3058" priority="2382" operator="equal">
      <formula>"CUMPLE"</formula>
    </cfRule>
  </conditionalFormatting>
  <conditionalFormatting sqref="L135:L136">
    <cfRule type="cellIs" dxfId="3057" priority="2405" operator="equal">
      <formula>"NO CUMPLE"</formula>
    </cfRule>
    <cfRule type="cellIs" dxfId="3056" priority="2406" operator="equal">
      <formula>"CUMPLE"</formula>
    </cfRule>
  </conditionalFormatting>
  <conditionalFormatting sqref="M136">
    <cfRule type="expression" dxfId="3055" priority="2403">
      <formula>L136="NO CUMPLE"</formula>
    </cfRule>
    <cfRule type="expression" dxfId="3054" priority="2404">
      <formula>L136="CUMPLE"</formula>
    </cfRule>
  </conditionalFormatting>
  <conditionalFormatting sqref="M145">
    <cfRule type="expression" dxfId="3053" priority="2401">
      <formula>L145="NO CUMPLE"</formula>
    </cfRule>
    <cfRule type="expression" dxfId="3052" priority="2402">
      <formula>L145="CUMPLE"</formula>
    </cfRule>
  </conditionalFormatting>
  <conditionalFormatting sqref="M126">
    <cfRule type="expression" dxfId="3051" priority="2425">
      <formula>L126="NO CUMPLE"</formula>
    </cfRule>
    <cfRule type="expression" dxfId="3050" priority="2426">
      <formula>L126="CUMPLE"</formula>
    </cfRule>
  </conditionalFormatting>
  <conditionalFormatting sqref="L126:L127">
    <cfRule type="cellIs" dxfId="3049" priority="2423" operator="equal">
      <formula>"NO CUMPLE"</formula>
    </cfRule>
    <cfRule type="cellIs" dxfId="3048" priority="2424" operator="equal">
      <formula>"CUMPLE"</formula>
    </cfRule>
  </conditionalFormatting>
  <conditionalFormatting sqref="M148">
    <cfRule type="expression" dxfId="3047" priority="2395">
      <formula>L148="NO CUMPLE"</formula>
    </cfRule>
    <cfRule type="expression" dxfId="3046" priority="2396">
      <formula>L148="CUMPLE"</formula>
    </cfRule>
  </conditionalFormatting>
  <conditionalFormatting sqref="L129:L130">
    <cfRule type="cellIs" dxfId="3045" priority="2417" operator="equal">
      <formula>"NO CUMPLE"</formula>
    </cfRule>
    <cfRule type="cellIs" dxfId="3044" priority="2418" operator="equal">
      <formula>"CUMPLE"</formula>
    </cfRule>
  </conditionalFormatting>
  <conditionalFormatting sqref="M130">
    <cfRule type="expression" dxfId="3043" priority="2415">
      <formula>L130="NO CUMPLE"</formula>
    </cfRule>
    <cfRule type="expression" dxfId="3042" priority="2416">
      <formula>L130="CUMPLE"</formula>
    </cfRule>
  </conditionalFormatting>
  <conditionalFormatting sqref="M132">
    <cfRule type="expression" dxfId="3041" priority="2413">
      <formula>L132="NO CUMPLE"</formula>
    </cfRule>
    <cfRule type="expression" dxfId="3040" priority="2414">
      <formula>L132="CUMPLE"</formula>
    </cfRule>
  </conditionalFormatting>
  <conditionalFormatting sqref="L132:L133">
    <cfRule type="cellIs" dxfId="3039" priority="2411" operator="equal">
      <formula>"NO CUMPLE"</formula>
    </cfRule>
    <cfRule type="cellIs" dxfId="3038" priority="2412" operator="equal">
      <formula>"CUMPLE"</formula>
    </cfRule>
  </conditionalFormatting>
  <conditionalFormatting sqref="M135">
    <cfRule type="expression" dxfId="3037" priority="2407">
      <formula>L135="NO CUMPLE"</formula>
    </cfRule>
    <cfRule type="expression" dxfId="3036" priority="2408">
      <formula>L135="CUMPLE"</formula>
    </cfRule>
  </conditionalFormatting>
  <conditionalFormatting sqref="M155">
    <cfRule type="expression" dxfId="3035" priority="2379">
      <formula>L155="NO CUMPLE"</formula>
    </cfRule>
    <cfRule type="expression" dxfId="3034" priority="2380">
      <formula>L155="CUMPLE"</formula>
    </cfRule>
  </conditionalFormatting>
  <conditionalFormatting sqref="M129">
    <cfRule type="expression" dxfId="3033" priority="2419">
      <formula>L129="NO CUMPLE"</formula>
    </cfRule>
    <cfRule type="expression" dxfId="3032" priority="2420">
      <formula>L129="CUMPLE"</formula>
    </cfRule>
  </conditionalFormatting>
  <conditionalFormatting sqref="M154">
    <cfRule type="expression" dxfId="3031" priority="2383">
      <formula>L154="NO CUMPLE"</formula>
    </cfRule>
    <cfRule type="expression" dxfId="3030" priority="2384">
      <formula>L154="CUMPLE"</formula>
    </cfRule>
  </conditionalFormatting>
  <conditionalFormatting sqref="M114">
    <cfRule type="expression" dxfId="3029" priority="2433">
      <formula>L114="NO CUMPLE"</formula>
    </cfRule>
    <cfRule type="expression" dxfId="3028" priority="2434">
      <formula>L114="CUMPLE"</formula>
    </cfRule>
  </conditionalFormatting>
  <conditionalFormatting sqref="L145:L146">
    <cfRule type="cellIs" dxfId="3027" priority="2399" operator="equal">
      <formula>"NO CUMPLE"</formula>
    </cfRule>
    <cfRule type="cellIs" dxfId="3026" priority="2400" operator="equal">
      <formula>"CUMPLE"</formula>
    </cfRule>
  </conditionalFormatting>
  <conditionalFormatting sqref="M146">
    <cfRule type="expression" dxfId="3025" priority="2397">
      <formula>L146="NO CUMPLE"</formula>
    </cfRule>
    <cfRule type="expression" dxfId="3024" priority="2398">
      <formula>L146="CUMPLE"</formula>
    </cfRule>
  </conditionalFormatting>
  <conditionalFormatting sqref="M151">
    <cfRule type="expression" dxfId="3023" priority="2389">
      <formula>L151="NO CUMPLE"</formula>
    </cfRule>
    <cfRule type="expression" dxfId="3022" priority="2390">
      <formula>L151="CUMPLE"</formula>
    </cfRule>
  </conditionalFormatting>
  <conditionalFormatting sqref="M113">
    <cfRule type="expression" dxfId="3021" priority="2437">
      <formula>L113="NO CUMPLE"</formula>
    </cfRule>
    <cfRule type="expression" dxfId="3020" priority="2438">
      <formula>L113="CUMPLE"</formula>
    </cfRule>
  </conditionalFormatting>
  <conditionalFormatting sqref="L113:L114">
    <cfRule type="cellIs" dxfId="3019" priority="2435" operator="equal">
      <formula>"NO CUMPLE"</formula>
    </cfRule>
    <cfRule type="cellIs" dxfId="3018" priority="2436" operator="equal">
      <formula>"CUMPLE"</formula>
    </cfRule>
  </conditionalFormatting>
  <conditionalFormatting sqref="L123:L124">
    <cfRule type="cellIs" dxfId="3017" priority="2429" operator="equal">
      <formula>"NO CUMPLE"</formula>
    </cfRule>
    <cfRule type="cellIs" dxfId="3016" priority="2430" operator="equal">
      <formula>"CUMPLE"</formula>
    </cfRule>
  </conditionalFormatting>
  <conditionalFormatting sqref="M124">
    <cfRule type="expression" dxfId="3015" priority="2427">
      <formula>L124="NO CUMPLE"</formula>
    </cfRule>
    <cfRule type="expression" dxfId="3014" priority="2428">
      <formula>L124="CUMPLE"</formula>
    </cfRule>
  </conditionalFormatting>
  <conditionalFormatting sqref="J41:J46">
    <cfRule type="cellIs" dxfId="3013" priority="2683" operator="equal">
      <formula>"NO CUMPLE"</formula>
    </cfRule>
    <cfRule type="cellIs" dxfId="3012" priority="2684" operator="equal">
      <formula>"CUMPLE"</formula>
    </cfRule>
  </conditionalFormatting>
  <conditionalFormatting sqref="K38">
    <cfRule type="expression" dxfId="3011" priority="2681">
      <formula>J38="NO CUMPLE"</formula>
    </cfRule>
    <cfRule type="expression" dxfId="3010" priority="2682">
      <formula>J38="CUMPLE"</formula>
    </cfRule>
  </conditionalFormatting>
  <conditionalFormatting sqref="K39:K40">
    <cfRule type="expression" dxfId="3009" priority="2679">
      <formula>J39="NO CUMPLE"</formula>
    </cfRule>
    <cfRule type="expression" dxfId="3008" priority="2680">
      <formula>J39="CUMPLE"</formula>
    </cfRule>
  </conditionalFormatting>
  <conditionalFormatting sqref="J47">
    <cfRule type="cellIs" dxfId="3007" priority="2677" operator="equal">
      <formula>"NO CUMPLE"</formula>
    </cfRule>
    <cfRule type="cellIs" dxfId="3006" priority="2678" operator="equal">
      <formula>"CUMPLE"</formula>
    </cfRule>
  </conditionalFormatting>
  <conditionalFormatting sqref="J48:J49">
    <cfRule type="cellIs" dxfId="3005" priority="2675" operator="equal">
      <formula>"NO CUMPLE"</formula>
    </cfRule>
    <cfRule type="cellIs" dxfId="3004" priority="2676" operator="equal">
      <formula>"CUMPLE"</formula>
    </cfRule>
  </conditionalFormatting>
  <conditionalFormatting sqref="K41">
    <cfRule type="expression" dxfId="3003" priority="2673">
      <formula>J41="NO CUMPLE"</formula>
    </cfRule>
    <cfRule type="expression" dxfId="3002" priority="2674">
      <formula>J41="CUMPLE"</formula>
    </cfRule>
  </conditionalFormatting>
  <conditionalFormatting sqref="K42:K43">
    <cfRule type="expression" dxfId="3001" priority="2671">
      <formula>J42="NO CUMPLE"</formula>
    </cfRule>
    <cfRule type="expression" dxfId="3000" priority="2672">
      <formula>J42="CUMPLE"</formula>
    </cfRule>
  </conditionalFormatting>
  <conditionalFormatting sqref="K44">
    <cfRule type="expression" dxfId="2999" priority="2669">
      <formula>J44="NO CUMPLE"</formula>
    </cfRule>
    <cfRule type="expression" dxfId="2998" priority="2670">
      <formula>J44="CUMPLE"</formula>
    </cfRule>
  </conditionalFormatting>
  <conditionalFormatting sqref="K45:K46">
    <cfRule type="expression" dxfId="2997" priority="2667">
      <formula>J45="NO CUMPLE"</formula>
    </cfRule>
    <cfRule type="expression" dxfId="2996" priority="2668">
      <formula>J45="CUMPLE"</formula>
    </cfRule>
  </conditionalFormatting>
  <conditionalFormatting sqref="K47">
    <cfRule type="expression" dxfId="2995" priority="2665">
      <formula>J47="NO CUMPLE"</formula>
    </cfRule>
    <cfRule type="expression" dxfId="2994" priority="2666">
      <formula>J47="CUMPLE"</formula>
    </cfRule>
  </conditionalFormatting>
  <conditionalFormatting sqref="K48:K49">
    <cfRule type="expression" dxfId="2993" priority="2663">
      <formula>J48="NO CUMPLE"</formula>
    </cfRule>
    <cfRule type="expression" dxfId="2992" priority="2664">
      <formula>J48="CUMPLE"</formula>
    </cfRule>
  </conditionalFormatting>
  <conditionalFormatting sqref="K60">
    <cfRule type="expression" dxfId="2991" priority="2661">
      <formula>J60="NO CUMPLE"</formula>
    </cfRule>
    <cfRule type="expression" dxfId="2990" priority="2662">
      <formula>J60="CUMPLE"</formula>
    </cfRule>
  </conditionalFormatting>
  <conditionalFormatting sqref="K61:K62">
    <cfRule type="expression" dxfId="2989" priority="2659">
      <formula>J61="NO CUMPLE"</formula>
    </cfRule>
    <cfRule type="expression" dxfId="2988" priority="2660">
      <formula>J61="CUMPLE"</formula>
    </cfRule>
  </conditionalFormatting>
  <conditionalFormatting sqref="K63">
    <cfRule type="expression" dxfId="2987" priority="2657">
      <formula>J63="NO CUMPLE"</formula>
    </cfRule>
    <cfRule type="expression" dxfId="2986" priority="2658">
      <formula>J63="CUMPLE"</formula>
    </cfRule>
  </conditionalFormatting>
  <conditionalFormatting sqref="K64:K65">
    <cfRule type="expression" dxfId="2985" priority="2655">
      <formula>J64="NO CUMPLE"</formula>
    </cfRule>
    <cfRule type="expression" dxfId="2984" priority="2656">
      <formula>J64="CUMPLE"</formula>
    </cfRule>
  </conditionalFormatting>
  <conditionalFormatting sqref="K66">
    <cfRule type="expression" dxfId="2983" priority="2653">
      <formula>J66="NO CUMPLE"</formula>
    </cfRule>
    <cfRule type="expression" dxfId="2982" priority="2654">
      <formula>J66="CUMPLE"</formula>
    </cfRule>
  </conditionalFormatting>
  <conditionalFormatting sqref="K67:K68">
    <cfRule type="expression" dxfId="2981" priority="2651">
      <formula>J67="NO CUMPLE"</formula>
    </cfRule>
    <cfRule type="expression" dxfId="2980" priority="2652">
      <formula>J67="CUMPLE"</formula>
    </cfRule>
  </conditionalFormatting>
  <conditionalFormatting sqref="K69">
    <cfRule type="expression" dxfId="2979" priority="2649">
      <formula>J69="NO CUMPLE"</formula>
    </cfRule>
    <cfRule type="expression" dxfId="2978" priority="2650">
      <formula>J69="CUMPLE"</formula>
    </cfRule>
  </conditionalFormatting>
  <conditionalFormatting sqref="K70:K71">
    <cfRule type="expression" dxfId="2977" priority="2647">
      <formula>J70="NO CUMPLE"</formula>
    </cfRule>
    <cfRule type="expression" dxfId="2976" priority="2648">
      <formula>J70="CUMPLE"</formula>
    </cfRule>
  </conditionalFormatting>
  <conditionalFormatting sqref="J88:J90">
    <cfRule type="cellIs" dxfId="2975" priority="2645" operator="equal">
      <formula>"NO CUMPLE"</formula>
    </cfRule>
    <cfRule type="cellIs" dxfId="2974" priority="2646" operator="equal">
      <formula>"CUMPLE"</formula>
    </cfRule>
  </conditionalFormatting>
  <conditionalFormatting sqref="K82">
    <cfRule type="expression" dxfId="2973" priority="2643">
      <formula>J82="NO CUMPLE"</formula>
    </cfRule>
    <cfRule type="expression" dxfId="2972" priority="2644">
      <formula>J82="CUMPLE"</formula>
    </cfRule>
  </conditionalFormatting>
  <conditionalFormatting sqref="K83:K84">
    <cfRule type="expression" dxfId="2971" priority="2641">
      <formula>J83="NO CUMPLE"</formula>
    </cfRule>
    <cfRule type="expression" dxfId="2970" priority="2642">
      <formula>J83="CUMPLE"</formula>
    </cfRule>
  </conditionalFormatting>
  <conditionalFormatting sqref="J91">
    <cfRule type="cellIs" dxfId="2969" priority="2639" operator="equal">
      <formula>"NO CUMPLE"</formula>
    </cfRule>
    <cfRule type="cellIs" dxfId="2968" priority="2640" operator="equal">
      <formula>"CUMPLE"</formula>
    </cfRule>
  </conditionalFormatting>
  <conditionalFormatting sqref="J92:J93">
    <cfRule type="cellIs" dxfId="2967" priority="2637" operator="equal">
      <formula>"NO CUMPLE"</formula>
    </cfRule>
    <cfRule type="cellIs" dxfId="2966" priority="2638" operator="equal">
      <formula>"CUMPLE"</formula>
    </cfRule>
  </conditionalFormatting>
  <conditionalFormatting sqref="K85">
    <cfRule type="expression" dxfId="2965" priority="2635">
      <formula>J85="NO CUMPLE"</formula>
    </cfRule>
    <cfRule type="expression" dxfId="2964" priority="2636">
      <formula>J85="CUMPLE"</formula>
    </cfRule>
  </conditionalFormatting>
  <conditionalFormatting sqref="K86:K87">
    <cfRule type="expression" dxfId="2963" priority="2633">
      <formula>J86="NO CUMPLE"</formula>
    </cfRule>
    <cfRule type="expression" dxfId="2962" priority="2634">
      <formula>J86="CUMPLE"</formula>
    </cfRule>
  </conditionalFormatting>
  <conditionalFormatting sqref="K88">
    <cfRule type="expression" dxfId="2961" priority="2631">
      <formula>J88="NO CUMPLE"</formula>
    </cfRule>
    <cfRule type="expression" dxfId="2960" priority="2632">
      <formula>J88="CUMPLE"</formula>
    </cfRule>
  </conditionalFormatting>
  <conditionalFormatting sqref="K89:K90">
    <cfRule type="expression" dxfId="2959" priority="2629">
      <formula>J89="NO CUMPLE"</formula>
    </cfRule>
    <cfRule type="expression" dxfId="2958" priority="2630">
      <formula>J89="CUMPLE"</formula>
    </cfRule>
  </conditionalFormatting>
  <conditionalFormatting sqref="K91">
    <cfRule type="expression" dxfId="2957" priority="2627">
      <formula>J91="NO CUMPLE"</formula>
    </cfRule>
    <cfRule type="expression" dxfId="2956" priority="2628">
      <formula>J91="CUMPLE"</formula>
    </cfRule>
  </conditionalFormatting>
  <conditionalFormatting sqref="K92:K93">
    <cfRule type="expression" dxfId="2955" priority="2625">
      <formula>J92="NO CUMPLE"</formula>
    </cfRule>
    <cfRule type="expression" dxfId="2954" priority="2626">
      <formula>J92="CUMPLE"</formula>
    </cfRule>
  </conditionalFormatting>
  <conditionalFormatting sqref="J101:J112">
    <cfRule type="cellIs" dxfId="2953" priority="2623" operator="equal">
      <formula>"NO CUMPLE"</formula>
    </cfRule>
    <cfRule type="cellIs" dxfId="2952" priority="2624" operator="equal">
      <formula>"CUMPLE"</formula>
    </cfRule>
  </conditionalFormatting>
  <conditionalFormatting sqref="K104">
    <cfRule type="expression" dxfId="2951" priority="2621">
      <formula>J104="NO CUMPLE"</formula>
    </cfRule>
    <cfRule type="expression" dxfId="2950" priority="2622">
      <formula>J104="CUMPLE"</formula>
    </cfRule>
  </conditionalFormatting>
  <conditionalFormatting sqref="K105:K106">
    <cfRule type="expression" dxfId="2949" priority="2619">
      <formula>J105="NO CUMPLE"</formula>
    </cfRule>
    <cfRule type="expression" dxfId="2948" priority="2620">
      <formula>J105="CUMPLE"</formula>
    </cfRule>
  </conditionalFormatting>
  <conditionalFormatting sqref="K107">
    <cfRule type="expression" dxfId="2947" priority="2617">
      <formula>J107="NO CUMPLE"</formula>
    </cfRule>
    <cfRule type="expression" dxfId="2946" priority="2618">
      <formula>J107="CUMPLE"</formula>
    </cfRule>
  </conditionalFormatting>
  <conditionalFormatting sqref="K108:K109">
    <cfRule type="expression" dxfId="2945" priority="2615">
      <formula>J108="NO CUMPLE"</formula>
    </cfRule>
    <cfRule type="expression" dxfId="2944" priority="2616">
      <formula>J108="CUMPLE"</formula>
    </cfRule>
  </conditionalFormatting>
  <conditionalFormatting sqref="K110">
    <cfRule type="expression" dxfId="2943" priority="2613">
      <formula>J110="NO CUMPLE"</formula>
    </cfRule>
    <cfRule type="expression" dxfId="2942" priority="2614">
      <formula>J110="CUMPLE"</formula>
    </cfRule>
  </conditionalFormatting>
  <conditionalFormatting sqref="K111:K112">
    <cfRule type="expression" dxfId="2941" priority="2611">
      <formula>J111="NO CUMPLE"</formula>
    </cfRule>
    <cfRule type="expression" dxfId="2940" priority="2612">
      <formula>J111="CUMPLE"</formula>
    </cfRule>
  </conditionalFormatting>
  <conditionalFormatting sqref="K113">
    <cfRule type="expression" dxfId="2939" priority="2609">
      <formula>J113="NO CUMPLE"</formula>
    </cfRule>
    <cfRule type="expression" dxfId="2938" priority="2610">
      <formula>J113="CUMPLE"</formula>
    </cfRule>
  </conditionalFormatting>
  <conditionalFormatting sqref="K114:K115">
    <cfRule type="expression" dxfId="2937" priority="2607">
      <formula>J114="NO CUMPLE"</formula>
    </cfRule>
    <cfRule type="expression" dxfId="2936" priority="2608">
      <formula>J114="CUMPLE"</formula>
    </cfRule>
  </conditionalFormatting>
  <conditionalFormatting sqref="J123:J134">
    <cfRule type="cellIs" dxfId="2935" priority="2605" operator="equal">
      <formula>"NO CUMPLE"</formula>
    </cfRule>
    <cfRule type="cellIs" dxfId="2934" priority="2606" operator="equal">
      <formula>"CUMPLE"</formula>
    </cfRule>
  </conditionalFormatting>
  <conditionalFormatting sqref="K126">
    <cfRule type="expression" dxfId="2933" priority="2603">
      <formula>J126="NO CUMPLE"</formula>
    </cfRule>
    <cfRule type="expression" dxfId="2932" priority="2604">
      <formula>J126="CUMPLE"</formula>
    </cfRule>
  </conditionalFormatting>
  <conditionalFormatting sqref="K127:K128">
    <cfRule type="expression" dxfId="2931" priority="2601">
      <formula>J127="NO CUMPLE"</formula>
    </cfRule>
    <cfRule type="expression" dxfId="2930" priority="2602">
      <formula>J127="CUMPLE"</formula>
    </cfRule>
  </conditionalFormatting>
  <conditionalFormatting sqref="J135">
    <cfRule type="cellIs" dxfId="2929" priority="2599" operator="equal">
      <formula>"NO CUMPLE"</formula>
    </cfRule>
    <cfRule type="cellIs" dxfId="2928" priority="2600" operator="equal">
      <formula>"CUMPLE"</formula>
    </cfRule>
  </conditionalFormatting>
  <conditionalFormatting sqref="J136:J137">
    <cfRule type="cellIs" dxfId="2927" priority="2597" operator="equal">
      <formula>"NO CUMPLE"</formula>
    </cfRule>
    <cfRule type="cellIs" dxfId="2926" priority="2598" operator="equal">
      <formula>"CUMPLE"</formula>
    </cfRule>
  </conditionalFormatting>
  <conditionalFormatting sqref="K129">
    <cfRule type="expression" dxfId="2925" priority="2595">
      <formula>J129="NO CUMPLE"</formula>
    </cfRule>
    <cfRule type="expression" dxfId="2924" priority="2596">
      <formula>J129="CUMPLE"</formula>
    </cfRule>
  </conditionalFormatting>
  <conditionalFormatting sqref="K130:K131">
    <cfRule type="expression" dxfId="2923" priority="2593">
      <formula>J130="NO CUMPLE"</formula>
    </cfRule>
    <cfRule type="expression" dxfId="2922" priority="2594">
      <formula>J130="CUMPLE"</formula>
    </cfRule>
  </conditionalFormatting>
  <conditionalFormatting sqref="K132">
    <cfRule type="expression" dxfId="2921" priority="2591">
      <formula>J132="NO CUMPLE"</formula>
    </cfRule>
    <cfRule type="expression" dxfId="2920" priority="2592">
      <formula>J132="CUMPLE"</formula>
    </cfRule>
  </conditionalFormatting>
  <conditionalFormatting sqref="K133:K134">
    <cfRule type="expression" dxfId="2919" priority="2589">
      <formula>J133="NO CUMPLE"</formula>
    </cfRule>
    <cfRule type="expression" dxfId="2918" priority="2590">
      <formula>J133="CUMPLE"</formula>
    </cfRule>
  </conditionalFormatting>
  <conditionalFormatting sqref="K135">
    <cfRule type="expression" dxfId="2917" priority="2587">
      <formula>J135="NO CUMPLE"</formula>
    </cfRule>
    <cfRule type="expression" dxfId="2916" priority="2588">
      <formula>J135="CUMPLE"</formula>
    </cfRule>
  </conditionalFormatting>
  <conditionalFormatting sqref="K136:K137">
    <cfRule type="expression" dxfId="2915" priority="2585">
      <formula>J136="NO CUMPLE"</formula>
    </cfRule>
    <cfRule type="expression" dxfId="2914" priority="2586">
      <formula>J136="CUMPLE"</formula>
    </cfRule>
  </conditionalFormatting>
  <conditionalFormatting sqref="J145:J156">
    <cfRule type="cellIs" dxfId="2913" priority="2583" operator="equal">
      <formula>"NO CUMPLE"</formula>
    </cfRule>
    <cfRule type="cellIs" dxfId="2912" priority="2584" operator="equal">
      <formula>"CUMPLE"</formula>
    </cfRule>
  </conditionalFormatting>
  <conditionalFormatting sqref="K148">
    <cfRule type="expression" dxfId="2911" priority="2581">
      <formula>J148="NO CUMPLE"</formula>
    </cfRule>
    <cfRule type="expression" dxfId="2910" priority="2582">
      <formula>J148="CUMPLE"</formula>
    </cfRule>
  </conditionalFormatting>
  <conditionalFormatting sqref="K149:K150">
    <cfRule type="expression" dxfId="2909" priority="2579">
      <formula>J149="NO CUMPLE"</formula>
    </cfRule>
    <cfRule type="expression" dxfId="2908" priority="2580">
      <formula>J149="CUMPLE"</formula>
    </cfRule>
  </conditionalFormatting>
  <conditionalFormatting sqref="J157">
    <cfRule type="cellIs" dxfId="2907" priority="2577" operator="equal">
      <formula>"NO CUMPLE"</formula>
    </cfRule>
    <cfRule type="cellIs" dxfId="2906" priority="2578" operator="equal">
      <formula>"CUMPLE"</formula>
    </cfRule>
  </conditionalFormatting>
  <conditionalFormatting sqref="J158:J159">
    <cfRule type="cellIs" dxfId="2905" priority="2575" operator="equal">
      <formula>"NO CUMPLE"</formula>
    </cfRule>
    <cfRule type="cellIs" dxfId="2904" priority="2576" operator="equal">
      <formula>"CUMPLE"</formula>
    </cfRule>
  </conditionalFormatting>
  <conditionalFormatting sqref="K151">
    <cfRule type="expression" dxfId="2903" priority="2573">
      <formula>J151="NO CUMPLE"</formula>
    </cfRule>
    <cfRule type="expression" dxfId="2902" priority="2574">
      <formula>J151="CUMPLE"</formula>
    </cfRule>
  </conditionalFormatting>
  <conditionalFormatting sqref="K152:K153">
    <cfRule type="expression" dxfId="2901" priority="2571">
      <formula>J152="NO CUMPLE"</formula>
    </cfRule>
    <cfRule type="expression" dxfId="2900" priority="2572">
      <formula>J152="CUMPLE"</formula>
    </cfRule>
  </conditionalFormatting>
  <conditionalFormatting sqref="K154">
    <cfRule type="expression" dxfId="2899" priority="2569">
      <formula>J154="NO CUMPLE"</formula>
    </cfRule>
    <cfRule type="expression" dxfId="2898" priority="2570">
      <formula>J154="CUMPLE"</formula>
    </cfRule>
  </conditionalFormatting>
  <conditionalFormatting sqref="K155:K156">
    <cfRule type="expression" dxfId="2897" priority="2567">
      <formula>J155="NO CUMPLE"</formula>
    </cfRule>
    <cfRule type="expression" dxfId="2896" priority="2568">
      <formula>J155="CUMPLE"</formula>
    </cfRule>
  </conditionalFormatting>
  <conditionalFormatting sqref="K157">
    <cfRule type="expression" dxfId="2895" priority="2565">
      <formula>J157="NO CUMPLE"</formula>
    </cfRule>
    <cfRule type="expression" dxfId="2894" priority="2566">
      <formula>J157="CUMPLE"</formula>
    </cfRule>
  </conditionalFormatting>
  <conditionalFormatting sqref="K158:K159">
    <cfRule type="expression" dxfId="2893" priority="2563">
      <formula>J158="NO CUMPLE"</formula>
    </cfRule>
    <cfRule type="expression" dxfId="2892" priority="2564">
      <formula>J158="CUMPLE"</formula>
    </cfRule>
  </conditionalFormatting>
  <conditionalFormatting sqref="K170">
    <cfRule type="expression" dxfId="2891" priority="2561">
      <formula>J170="NO CUMPLE"</formula>
    </cfRule>
    <cfRule type="expression" dxfId="2890" priority="2562">
      <formula>J170="CUMPLE"</formula>
    </cfRule>
  </conditionalFormatting>
  <conditionalFormatting sqref="K171:K172">
    <cfRule type="expression" dxfId="2889" priority="2559">
      <formula>J171="NO CUMPLE"</formula>
    </cfRule>
    <cfRule type="expression" dxfId="2888" priority="2560">
      <formula>J171="CUMPLE"</formula>
    </cfRule>
  </conditionalFormatting>
  <conditionalFormatting sqref="J181">
    <cfRule type="cellIs" dxfId="2887" priority="2557" operator="equal">
      <formula>"NO CUMPLE"</formula>
    </cfRule>
    <cfRule type="cellIs" dxfId="2886" priority="2558" operator="equal">
      <formula>"CUMPLE"</formula>
    </cfRule>
  </conditionalFormatting>
  <conditionalFormatting sqref="K173">
    <cfRule type="expression" dxfId="2885" priority="2555">
      <formula>J173="NO CUMPLE"</formula>
    </cfRule>
    <cfRule type="expression" dxfId="2884" priority="2556">
      <formula>J173="CUMPLE"</formula>
    </cfRule>
  </conditionalFormatting>
  <conditionalFormatting sqref="K174:K175">
    <cfRule type="expression" dxfId="2883" priority="2553">
      <formula>J174="NO CUMPLE"</formula>
    </cfRule>
    <cfRule type="expression" dxfId="2882" priority="2554">
      <formula>J174="CUMPLE"</formula>
    </cfRule>
  </conditionalFormatting>
  <conditionalFormatting sqref="K176">
    <cfRule type="expression" dxfId="2881" priority="2551">
      <formula>J176="NO CUMPLE"</formula>
    </cfRule>
    <cfRule type="expression" dxfId="2880" priority="2552">
      <formula>J176="CUMPLE"</formula>
    </cfRule>
  </conditionalFormatting>
  <conditionalFormatting sqref="K177:K178">
    <cfRule type="expression" dxfId="2879" priority="2549">
      <formula>J177="NO CUMPLE"</formula>
    </cfRule>
    <cfRule type="expression" dxfId="2878" priority="2550">
      <formula>J177="CUMPLE"</formula>
    </cfRule>
  </conditionalFormatting>
  <conditionalFormatting sqref="K179">
    <cfRule type="expression" dxfId="2877" priority="2547">
      <formula>J179="NO CUMPLE"</formula>
    </cfRule>
    <cfRule type="expression" dxfId="2876" priority="2548">
      <formula>J179="CUMPLE"</formula>
    </cfRule>
  </conditionalFormatting>
  <conditionalFormatting sqref="K180:K181">
    <cfRule type="expression" dxfId="2875" priority="2545">
      <formula>J180="NO CUMPLE"</formula>
    </cfRule>
    <cfRule type="expression" dxfId="2874" priority="2546">
      <formula>J180="CUMPLE"</formula>
    </cfRule>
  </conditionalFormatting>
  <conditionalFormatting sqref="J192:J200">
    <cfRule type="cellIs" dxfId="2873" priority="2543" operator="equal">
      <formula>"NO CUMPLE"</formula>
    </cfRule>
    <cfRule type="cellIs" dxfId="2872" priority="2544" operator="equal">
      <formula>"CUMPLE"</formula>
    </cfRule>
  </conditionalFormatting>
  <conditionalFormatting sqref="K192">
    <cfRule type="expression" dxfId="2871" priority="2541">
      <formula>J192="NO CUMPLE"</formula>
    </cfRule>
    <cfRule type="expression" dxfId="2870" priority="2542">
      <formula>J192="CUMPLE"</formula>
    </cfRule>
  </conditionalFormatting>
  <conditionalFormatting sqref="K193:K194">
    <cfRule type="expression" dxfId="2869" priority="2539">
      <formula>J193="NO CUMPLE"</formula>
    </cfRule>
    <cfRule type="expression" dxfId="2868" priority="2540">
      <formula>J193="CUMPLE"</formula>
    </cfRule>
  </conditionalFormatting>
  <conditionalFormatting sqref="J201">
    <cfRule type="cellIs" dxfId="2867" priority="2537" operator="equal">
      <formula>"NO CUMPLE"</formula>
    </cfRule>
    <cfRule type="cellIs" dxfId="2866" priority="2538" operator="equal">
      <formula>"CUMPLE"</formula>
    </cfRule>
  </conditionalFormatting>
  <conditionalFormatting sqref="J202:J203">
    <cfRule type="cellIs" dxfId="2865" priority="2535" operator="equal">
      <formula>"NO CUMPLE"</formula>
    </cfRule>
    <cfRule type="cellIs" dxfId="2864" priority="2536" operator="equal">
      <formula>"CUMPLE"</formula>
    </cfRule>
  </conditionalFormatting>
  <conditionalFormatting sqref="K195">
    <cfRule type="expression" dxfId="2863" priority="2533">
      <formula>J195="NO CUMPLE"</formula>
    </cfRule>
    <cfRule type="expression" dxfId="2862" priority="2534">
      <formula>J195="CUMPLE"</formula>
    </cfRule>
  </conditionalFormatting>
  <conditionalFormatting sqref="K196:K197">
    <cfRule type="expression" dxfId="2861" priority="2531">
      <formula>J196="NO CUMPLE"</formula>
    </cfRule>
    <cfRule type="expression" dxfId="2860" priority="2532">
      <formula>J196="CUMPLE"</formula>
    </cfRule>
  </conditionalFormatting>
  <conditionalFormatting sqref="K198">
    <cfRule type="expression" dxfId="2859" priority="2529">
      <formula>J198="NO CUMPLE"</formula>
    </cfRule>
    <cfRule type="expression" dxfId="2858" priority="2530">
      <formula>J198="CUMPLE"</formula>
    </cfRule>
  </conditionalFormatting>
  <conditionalFormatting sqref="K199:K200">
    <cfRule type="expression" dxfId="2857" priority="2527">
      <formula>J199="NO CUMPLE"</formula>
    </cfRule>
    <cfRule type="expression" dxfId="2856" priority="2528">
      <formula>J199="CUMPLE"</formula>
    </cfRule>
  </conditionalFormatting>
  <conditionalFormatting sqref="K201">
    <cfRule type="expression" dxfId="2855" priority="2525">
      <formula>J201="NO CUMPLE"</formula>
    </cfRule>
    <cfRule type="expression" dxfId="2854" priority="2526">
      <formula>J201="CUMPLE"</formula>
    </cfRule>
  </conditionalFormatting>
  <conditionalFormatting sqref="K202:K203">
    <cfRule type="expression" dxfId="2853" priority="2523">
      <formula>J202="NO CUMPLE"</formula>
    </cfRule>
    <cfRule type="expression" dxfId="2852" priority="2524">
      <formula>J202="CUMPLE"</formula>
    </cfRule>
  </conditionalFormatting>
  <conditionalFormatting sqref="M193">
    <cfRule type="expression" dxfId="2851" priority="2331">
      <formula>L193="NO CUMPLE"</formula>
    </cfRule>
    <cfRule type="expression" dxfId="2850" priority="2332">
      <formula>L193="CUMPLE"</formula>
    </cfRule>
  </conditionalFormatting>
  <conditionalFormatting sqref="L192:L193">
    <cfRule type="cellIs" dxfId="2849" priority="2333" operator="equal">
      <formula>"NO CUMPLE"</formula>
    </cfRule>
    <cfRule type="cellIs" dxfId="2848" priority="2334" operator="equal">
      <formula>"CUMPLE"</formula>
    </cfRule>
  </conditionalFormatting>
  <conditionalFormatting sqref="M58">
    <cfRule type="expression" dxfId="2847" priority="2517">
      <formula>L58="NO CUMPLE"</formula>
    </cfRule>
    <cfRule type="expression" dxfId="2846" priority="2518">
      <formula>L58="CUMPLE"</formula>
    </cfRule>
  </conditionalFormatting>
  <conditionalFormatting sqref="M57">
    <cfRule type="expression" dxfId="2845" priority="2521">
      <formula>L57="NO CUMPLE"</formula>
    </cfRule>
    <cfRule type="expression" dxfId="2844" priority="2522">
      <formula>L57="CUMPLE"</formula>
    </cfRule>
  </conditionalFormatting>
  <conditionalFormatting sqref="L57:L58">
    <cfRule type="cellIs" dxfId="2843" priority="2519" operator="equal">
      <formula>"NO CUMPLE"</formula>
    </cfRule>
    <cfRule type="cellIs" dxfId="2842" priority="2520" operator="equal">
      <formula>"CUMPLE"</formula>
    </cfRule>
  </conditionalFormatting>
  <conditionalFormatting sqref="M192">
    <cfRule type="expression" dxfId="2841" priority="2335">
      <formula>L192="NO CUMPLE"</formula>
    </cfRule>
    <cfRule type="expression" dxfId="2840" priority="2336">
      <formula>L192="CUMPLE"</formula>
    </cfRule>
  </conditionalFormatting>
  <conditionalFormatting sqref="L38:L39">
    <cfRule type="cellIs" dxfId="2839" priority="2309" operator="equal">
      <formula>"NO CUMPLE"</formula>
    </cfRule>
    <cfRule type="cellIs" dxfId="2838" priority="2310" operator="equal">
      <formula>"CUMPLE"</formula>
    </cfRule>
  </conditionalFormatting>
  <conditionalFormatting sqref="M61">
    <cfRule type="expression" dxfId="2837" priority="2511">
      <formula>L61="NO CUMPLE"</formula>
    </cfRule>
    <cfRule type="expression" dxfId="2836" priority="2512">
      <formula>L61="CUMPLE"</formula>
    </cfRule>
  </conditionalFormatting>
  <conditionalFormatting sqref="M60">
    <cfRule type="expression" dxfId="2835" priority="2515">
      <formula>L60="NO CUMPLE"</formula>
    </cfRule>
    <cfRule type="expression" dxfId="2834" priority="2516">
      <formula>L60="CUMPLE"</formula>
    </cfRule>
  </conditionalFormatting>
  <conditionalFormatting sqref="L60:L61">
    <cfRule type="cellIs" dxfId="2833" priority="2513" operator="equal">
      <formula>"NO CUMPLE"</formula>
    </cfRule>
    <cfRule type="cellIs" dxfId="2832" priority="2514" operator="equal">
      <formula>"CUMPLE"</formula>
    </cfRule>
  </conditionalFormatting>
  <conditionalFormatting sqref="M64">
    <cfRule type="expression" dxfId="2831" priority="2505">
      <formula>L64="NO CUMPLE"</formula>
    </cfRule>
    <cfRule type="expression" dxfId="2830" priority="2506">
      <formula>L64="CUMPLE"</formula>
    </cfRule>
  </conditionalFormatting>
  <conditionalFormatting sqref="M63">
    <cfRule type="expression" dxfId="2829" priority="2509">
      <formula>L63="NO CUMPLE"</formula>
    </cfRule>
    <cfRule type="expression" dxfId="2828" priority="2510">
      <formula>L63="CUMPLE"</formula>
    </cfRule>
  </conditionalFormatting>
  <conditionalFormatting sqref="L63:L64">
    <cfRule type="cellIs" dxfId="2827" priority="2507" operator="equal">
      <formula>"NO CUMPLE"</formula>
    </cfRule>
    <cfRule type="cellIs" dxfId="2826" priority="2508" operator="equal">
      <formula>"CUMPLE"</formula>
    </cfRule>
  </conditionalFormatting>
  <conditionalFormatting sqref="M67">
    <cfRule type="expression" dxfId="2825" priority="2499">
      <formula>L67="NO CUMPLE"</formula>
    </cfRule>
    <cfRule type="expression" dxfId="2824" priority="2500">
      <formula>L67="CUMPLE"</formula>
    </cfRule>
  </conditionalFormatting>
  <conditionalFormatting sqref="M66">
    <cfRule type="expression" dxfId="2823" priority="2503">
      <formula>L66="NO CUMPLE"</formula>
    </cfRule>
    <cfRule type="expression" dxfId="2822" priority="2504">
      <formula>L66="CUMPLE"</formula>
    </cfRule>
  </conditionalFormatting>
  <conditionalFormatting sqref="L66:L67">
    <cfRule type="cellIs" dxfId="2821" priority="2501" operator="equal">
      <formula>"NO CUMPLE"</formula>
    </cfRule>
    <cfRule type="cellIs" dxfId="2820" priority="2502" operator="equal">
      <formula>"CUMPLE"</formula>
    </cfRule>
  </conditionalFormatting>
  <conditionalFormatting sqref="M70">
    <cfRule type="expression" dxfId="2819" priority="2493">
      <formula>L70="NO CUMPLE"</formula>
    </cfRule>
    <cfRule type="expression" dxfId="2818" priority="2494">
      <formula>L70="CUMPLE"</formula>
    </cfRule>
  </conditionalFormatting>
  <conditionalFormatting sqref="M69">
    <cfRule type="expression" dxfId="2817" priority="2497">
      <formula>L69="NO CUMPLE"</formula>
    </cfRule>
    <cfRule type="expression" dxfId="2816" priority="2498">
      <formula>L69="CUMPLE"</formula>
    </cfRule>
  </conditionalFormatting>
  <conditionalFormatting sqref="L69:L70">
    <cfRule type="cellIs" dxfId="2815" priority="2495" operator="equal">
      <formula>"NO CUMPLE"</formula>
    </cfRule>
    <cfRule type="cellIs" dxfId="2814" priority="2496" operator="equal">
      <formula>"CUMPLE"</formula>
    </cfRule>
  </conditionalFormatting>
  <conditionalFormatting sqref="M80">
    <cfRule type="expression" dxfId="2813" priority="2487">
      <formula>L80="NO CUMPLE"</formula>
    </cfRule>
    <cfRule type="expression" dxfId="2812" priority="2488">
      <formula>L80="CUMPLE"</formula>
    </cfRule>
  </conditionalFormatting>
  <conditionalFormatting sqref="M79">
    <cfRule type="expression" dxfId="2811" priority="2491">
      <formula>L79="NO CUMPLE"</formula>
    </cfRule>
    <cfRule type="expression" dxfId="2810" priority="2492">
      <formula>L79="CUMPLE"</formula>
    </cfRule>
  </conditionalFormatting>
  <conditionalFormatting sqref="L79:L80">
    <cfRule type="cellIs" dxfId="2809" priority="2489" operator="equal">
      <formula>"NO CUMPLE"</formula>
    </cfRule>
    <cfRule type="cellIs" dxfId="2808" priority="2490" operator="equal">
      <formula>"CUMPLE"</formula>
    </cfRule>
  </conditionalFormatting>
  <conditionalFormatting sqref="M83">
    <cfRule type="expression" dxfId="2807" priority="2481">
      <formula>L83="NO CUMPLE"</formula>
    </cfRule>
    <cfRule type="expression" dxfId="2806" priority="2482">
      <formula>L83="CUMPLE"</formula>
    </cfRule>
  </conditionalFormatting>
  <conditionalFormatting sqref="M82">
    <cfRule type="expression" dxfId="2805" priority="2485">
      <formula>L82="NO CUMPLE"</formula>
    </cfRule>
    <cfRule type="expression" dxfId="2804" priority="2486">
      <formula>L82="CUMPLE"</formula>
    </cfRule>
  </conditionalFormatting>
  <conditionalFormatting sqref="L82:L83">
    <cfRule type="cellIs" dxfId="2803" priority="2483" operator="equal">
      <formula>"NO CUMPLE"</formula>
    </cfRule>
    <cfRule type="cellIs" dxfId="2802" priority="2484" operator="equal">
      <formula>"CUMPLE"</formula>
    </cfRule>
  </conditionalFormatting>
  <conditionalFormatting sqref="M86">
    <cfRule type="expression" dxfId="2801" priority="2475">
      <formula>L86="NO CUMPLE"</formula>
    </cfRule>
    <cfRule type="expression" dxfId="2800" priority="2476">
      <formula>L86="CUMPLE"</formula>
    </cfRule>
  </conditionalFormatting>
  <conditionalFormatting sqref="M85">
    <cfRule type="expression" dxfId="2799" priority="2479">
      <formula>L85="NO CUMPLE"</formula>
    </cfRule>
    <cfRule type="expression" dxfId="2798" priority="2480">
      <formula>L85="CUMPLE"</formula>
    </cfRule>
  </conditionalFormatting>
  <conditionalFormatting sqref="L85:L86">
    <cfRule type="cellIs" dxfId="2797" priority="2477" operator="equal">
      <formula>"NO CUMPLE"</formula>
    </cfRule>
    <cfRule type="cellIs" dxfId="2796" priority="2478" operator="equal">
      <formula>"CUMPLE"</formula>
    </cfRule>
  </conditionalFormatting>
  <conditionalFormatting sqref="M89">
    <cfRule type="expression" dxfId="2795" priority="2469">
      <formula>L89="NO CUMPLE"</formula>
    </cfRule>
    <cfRule type="expression" dxfId="2794" priority="2470">
      <formula>L89="CUMPLE"</formula>
    </cfRule>
  </conditionalFormatting>
  <conditionalFormatting sqref="M88">
    <cfRule type="expression" dxfId="2793" priority="2473">
      <formula>L88="NO CUMPLE"</formula>
    </cfRule>
    <cfRule type="expression" dxfId="2792" priority="2474">
      <formula>L88="CUMPLE"</formula>
    </cfRule>
  </conditionalFormatting>
  <conditionalFormatting sqref="L88:L89">
    <cfRule type="cellIs" dxfId="2791" priority="2471" operator="equal">
      <formula>"NO CUMPLE"</formula>
    </cfRule>
    <cfRule type="cellIs" dxfId="2790" priority="2472" operator="equal">
      <formula>"CUMPLE"</formula>
    </cfRule>
  </conditionalFormatting>
  <conditionalFormatting sqref="M92">
    <cfRule type="expression" dxfId="2789" priority="2463">
      <formula>L92="NO CUMPLE"</formula>
    </cfRule>
    <cfRule type="expression" dxfId="2788" priority="2464">
      <formula>L92="CUMPLE"</formula>
    </cfRule>
  </conditionalFormatting>
  <conditionalFormatting sqref="M91">
    <cfRule type="expression" dxfId="2787" priority="2467">
      <formula>L91="NO CUMPLE"</formula>
    </cfRule>
    <cfRule type="expression" dxfId="2786" priority="2468">
      <formula>L91="CUMPLE"</formula>
    </cfRule>
  </conditionalFormatting>
  <conditionalFormatting sqref="L91:L92">
    <cfRule type="cellIs" dxfId="2785" priority="2465" operator="equal">
      <formula>"NO CUMPLE"</formula>
    </cfRule>
    <cfRule type="cellIs" dxfId="2784" priority="2466" operator="equal">
      <formula>"CUMPLE"</formula>
    </cfRule>
  </conditionalFormatting>
  <conditionalFormatting sqref="M102">
    <cfRule type="expression" dxfId="2783" priority="2457">
      <formula>L102="NO CUMPLE"</formula>
    </cfRule>
    <cfRule type="expression" dxfId="2782" priority="2458">
      <formula>L102="CUMPLE"</formula>
    </cfRule>
  </conditionalFormatting>
  <conditionalFormatting sqref="M101">
    <cfRule type="expression" dxfId="2781" priority="2461">
      <formula>L101="NO CUMPLE"</formula>
    </cfRule>
    <cfRule type="expression" dxfId="2780" priority="2462">
      <formula>L101="CUMPLE"</formula>
    </cfRule>
  </conditionalFormatting>
  <conditionalFormatting sqref="L101:L102">
    <cfRule type="cellIs" dxfId="2779" priority="2459" operator="equal">
      <formula>"NO CUMPLE"</formula>
    </cfRule>
    <cfRule type="cellIs" dxfId="2778" priority="2460" operator="equal">
      <formula>"CUMPLE"</formula>
    </cfRule>
  </conditionalFormatting>
  <conditionalFormatting sqref="M105">
    <cfRule type="expression" dxfId="2777" priority="2451">
      <formula>L105="NO CUMPLE"</formula>
    </cfRule>
    <cfRule type="expression" dxfId="2776" priority="2452">
      <formula>L105="CUMPLE"</formula>
    </cfRule>
  </conditionalFormatting>
  <conditionalFormatting sqref="M104">
    <cfRule type="expression" dxfId="2775" priority="2455">
      <formula>L104="NO CUMPLE"</formula>
    </cfRule>
    <cfRule type="expression" dxfId="2774" priority="2456">
      <formula>L104="CUMPLE"</formula>
    </cfRule>
  </conditionalFormatting>
  <conditionalFormatting sqref="L104:L105">
    <cfRule type="cellIs" dxfId="2773" priority="2453" operator="equal">
      <formula>"NO CUMPLE"</formula>
    </cfRule>
    <cfRule type="cellIs" dxfId="2772" priority="2454" operator="equal">
      <formula>"CUMPLE"</formula>
    </cfRule>
  </conditionalFormatting>
  <conditionalFormatting sqref="M108">
    <cfRule type="expression" dxfId="2771" priority="2445">
      <formula>L108="NO CUMPLE"</formula>
    </cfRule>
    <cfRule type="expression" dxfId="2770" priority="2446">
      <formula>L108="CUMPLE"</formula>
    </cfRule>
  </conditionalFormatting>
  <conditionalFormatting sqref="M107">
    <cfRule type="expression" dxfId="2769" priority="2449">
      <formula>L107="NO CUMPLE"</formula>
    </cfRule>
    <cfRule type="expression" dxfId="2768" priority="2450">
      <formula>L107="CUMPLE"</formula>
    </cfRule>
  </conditionalFormatting>
  <conditionalFormatting sqref="L107:L108">
    <cfRule type="cellIs" dxfId="2767" priority="2447" operator="equal">
      <formula>"NO CUMPLE"</formula>
    </cfRule>
    <cfRule type="cellIs" dxfId="2766" priority="2448" operator="equal">
      <formula>"CUMPLE"</formula>
    </cfRule>
  </conditionalFormatting>
  <conditionalFormatting sqref="M111">
    <cfRule type="expression" dxfId="2765" priority="2439">
      <formula>L111="NO CUMPLE"</formula>
    </cfRule>
    <cfRule type="expression" dxfId="2764" priority="2440">
      <formula>L111="CUMPLE"</formula>
    </cfRule>
  </conditionalFormatting>
  <conditionalFormatting sqref="M110">
    <cfRule type="expression" dxfId="2763" priority="2443">
      <formula>L110="NO CUMPLE"</formula>
    </cfRule>
    <cfRule type="expression" dxfId="2762" priority="2444">
      <formula>L110="CUMPLE"</formula>
    </cfRule>
  </conditionalFormatting>
  <conditionalFormatting sqref="L110:L111">
    <cfRule type="cellIs" dxfId="2761" priority="2441" operator="equal">
      <formula>"NO CUMPLE"</formula>
    </cfRule>
    <cfRule type="cellIs" dxfId="2760" priority="2442" operator="equal">
      <formula>"CUMPLE"</formula>
    </cfRule>
  </conditionalFormatting>
  <conditionalFormatting sqref="M123">
    <cfRule type="expression" dxfId="2759" priority="2431">
      <formula>L123="NO CUMPLE"</formula>
    </cfRule>
    <cfRule type="expression" dxfId="2758" priority="2432">
      <formula>L123="CUMPLE"</formula>
    </cfRule>
  </conditionalFormatting>
  <conditionalFormatting sqref="M157">
    <cfRule type="expression" dxfId="2757" priority="2377">
      <formula>L157="NO CUMPLE"</formula>
    </cfRule>
    <cfRule type="expression" dxfId="2756" priority="2378">
      <formula>L157="CUMPLE"</formula>
    </cfRule>
  </conditionalFormatting>
  <conditionalFormatting sqref="M158">
    <cfRule type="expression" dxfId="2755" priority="2373">
      <formula>L158="NO CUMPLE"</formula>
    </cfRule>
    <cfRule type="expression" dxfId="2754" priority="2374">
      <formula>L158="CUMPLE"</formula>
    </cfRule>
  </conditionalFormatting>
  <conditionalFormatting sqref="L157:L158">
    <cfRule type="cellIs" dxfId="2753" priority="2375" operator="equal">
      <formula>"NO CUMPLE"</formula>
    </cfRule>
    <cfRule type="cellIs" dxfId="2752" priority="2376" operator="equal">
      <formula>"CUMPLE"</formula>
    </cfRule>
  </conditionalFormatting>
  <conditionalFormatting sqref="M168">
    <cfRule type="expression" dxfId="2751" priority="2367">
      <formula>L168="NO CUMPLE"</formula>
    </cfRule>
    <cfRule type="expression" dxfId="2750" priority="2368">
      <formula>L168="CUMPLE"</formula>
    </cfRule>
  </conditionalFormatting>
  <conditionalFormatting sqref="M167">
    <cfRule type="expression" dxfId="2749" priority="2371">
      <formula>L167="NO CUMPLE"</formula>
    </cfRule>
    <cfRule type="expression" dxfId="2748" priority="2372">
      <formula>L167="CUMPLE"</formula>
    </cfRule>
  </conditionalFormatting>
  <conditionalFormatting sqref="L167:L168">
    <cfRule type="cellIs" dxfId="2747" priority="2369" operator="equal">
      <formula>"NO CUMPLE"</formula>
    </cfRule>
    <cfRule type="cellIs" dxfId="2746" priority="2370" operator="equal">
      <formula>"CUMPLE"</formula>
    </cfRule>
  </conditionalFormatting>
  <conditionalFormatting sqref="M171">
    <cfRule type="expression" dxfId="2745" priority="2361">
      <formula>L171="NO CUMPLE"</formula>
    </cfRule>
    <cfRule type="expression" dxfId="2744" priority="2362">
      <formula>L171="CUMPLE"</formula>
    </cfRule>
  </conditionalFormatting>
  <conditionalFormatting sqref="M170">
    <cfRule type="expression" dxfId="2743" priority="2365">
      <formula>L170="NO CUMPLE"</formula>
    </cfRule>
    <cfRule type="expression" dxfId="2742" priority="2366">
      <formula>L170="CUMPLE"</formula>
    </cfRule>
  </conditionalFormatting>
  <conditionalFormatting sqref="L170:L171">
    <cfRule type="cellIs" dxfId="2741" priority="2363" operator="equal">
      <formula>"NO CUMPLE"</formula>
    </cfRule>
    <cfRule type="cellIs" dxfId="2740" priority="2364" operator="equal">
      <formula>"CUMPLE"</formula>
    </cfRule>
  </conditionalFormatting>
  <conditionalFormatting sqref="M174">
    <cfRule type="expression" dxfId="2739" priority="2355">
      <formula>L174="NO CUMPLE"</formula>
    </cfRule>
    <cfRule type="expression" dxfId="2738" priority="2356">
      <formula>L174="CUMPLE"</formula>
    </cfRule>
  </conditionalFormatting>
  <conditionalFormatting sqref="M173">
    <cfRule type="expression" dxfId="2737" priority="2359">
      <formula>L173="NO CUMPLE"</formula>
    </cfRule>
    <cfRule type="expression" dxfId="2736" priority="2360">
      <formula>L173="CUMPLE"</formula>
    </cfRule>
  </conditionalFormatting>
  <conditionalFormatting sqref="L173:L174">
    <cfRule type="cellIs" dxfId="2735" priority="2357" operator="equal">
      <formula>"NO CUMPLE"</formula>
    </cfRule>
    <cfRule type="cellIs" dxfId="2734" priority="2358" operator="equal">
      <formula>"CUMPLE"</formula>
    </cfRule>
  </conditionalFormatting>
  <conditionalFormatting sqref="M177">
    <cfRule type="expression" dxfId="2733" priority="2349">
      <formula>L177="NO CUMPLE"</formula>
    </cfRule>
    <cfRule type="expression" dxfId="2732" priority="2350">
      <formula>L177="CUMPLE"</formula>
    </cfRule>
  </conditionalFormatting>
  <conditionalFormatting sqref="M176">
    <cfRule type="expression" dxfId="2731" priority="2353">
      <formula>L176="NO CUMPLE"</formula>
    </cfRule>
    <cfRule type="expression" dxfId="2730" priority="2354">
      <formula>L176="CUMPLE"</formula>
    </cfRule>
  </conditionalFormatting>
  <conditionalFormatting sqref="L176:L177">
    <cfRule type="cellIs" dxfId="2729" priority="2351" operator="equal">
      <formula>"NO CUMPLE"</formula>
    </cfRule>
    <cfRule type="cellIs" dxfId="2728" priority="2352" operator="equal">
      <formula>"CUMPLE"</formula>
    </cfRule>
  </conditionalFormatting>
  <conditionalFormatting sqref="M180">
    <cfRule type="expression" dxfId="2727" priority="2343">
      <formula>L180="NO CUMPLE"</formula>
    </cfRule>
    <cfRule type="expression" dxfId="2726" priority="2344">
      <formula>L180="CUMPLE"</formula>
    </cfRule>
  </conditionalFormatting>
  <conditionalFormatting sqref="M179">
    <cfRule type="expression" dxfId="2725" priority="2347">
      <formula>L179="NO CUMPLE"</formula>
    </cfRule>
    <cfRule type="expression" dxfId="2724" priority="2348">
      <formula>L179="CUMPLE"</formula>
    </cfRule>
  </conditionalFormatting>
  <conditionalFormatting sqref="L179:L180">
    <cfRule type="cellIs" dxfId="2723" priority="2345" operator="equal">
      <formula>"NO CUMPLE"</formula>
    </cfRule>
    <cfRule type="cellIs" dxfId="2722" priority="2346" operator="equal">
      <formula>"CUMPLE"</formula>
    </cfRule>
  </conditionalFormatting>
  <conditionalFormatting sqref="M190">
    <cfRule type="expression" dxfId="2721" priority="2337">
      <formula>L190="NO CUMPLE"</formula>
    </cfRule>
    <cfRule type="expression" dxfId="2720" priority="2338">
      <formula>L190="CUMPLE"</formula>
    </cfRule>
  </conditionalFormatting>
  <conditionalFormatting sqref="M189">
    <cfRule type="expression" dxfId="2719" priority="2341">
      <formula>L189="NO CUMPLE"</formula>
    </cfRule>
    <cfRule type="expression" dxfId="2718" priority="2342">
      <formula>L189="CUMPLE"</formula>
    </cfRule>
  </conditionalFormatting>
  <conditionalFormatting sqref="L189:L190">
    <cfRule type="cellIs" dxfId="2717" priority="2339" operator="equal">
      <formula>"NO CUMPLE"</formula>
    </cfRule>
    <cfRule type="cellIs" dxfId="2716" priority="2340" operator="equal">
      <formula>"CUMPLE"</formula>
    </cfRule>
  </conditionalFormatting>
  <conditionalFormatting sqref="M196">
    <cfRule type="expression" dxfId="2715" priority="2325">
      <formula>L196="NO CUMPLE"</formula>
    </cfRule>
    <cfRule type="expression" dxfId="2714" priority="2326">
      <formula>L196="CUMPLE"</formula>
    </cfRule>
  </conditionalFormatting>
  <conditionalFormatting sqref="M195">
    <cfRule type="expression" dxfId="2713" priority="2329">
      <formula>L195="NO CUMPLE"</formula>
    </cfRule>
    <cfRule type="expression" dxfId="2712" priority="2330">
      <formula>L195="CUMPLE"</formula>
    </cfRule>
  </conditionalFormatting>
  <conditionalFormatting sqref="L195:L196">
    <cfRule type="cellIs" dxfId="2711" priority="2327" operator="equal">
      <formula>"NO CUMPLE"</formula>
    </cfRule>
    <cfRule type="cellIs" dxfId="2710" priority="2328" operator="equal">
      <formula>"CUMPLE"</formula>
    </cfRule>
  </conditionalFormatting>
  <conditionalFormatting sqref="L44:L45">
    <cfRule type="cellIs" dxfId="2709" priority="2305" operator="equal">
      <formula>"NO CUMPLE"</formula>
    </cfRule>
    <cfRule type="cellIs" dxfId="2708" priority="2306" operator="equal">
      <formula>"CUMPLE"</formula>
    </cfRule>
  </conditionalFormatting>
  <conditionalFormatting sqref="M202">
    <cfRule type="expression" dxfId="2707" priority="2313">
      <formula>L202="NO CUMPLE"</formula>
    </cfRule>
    <cfRule type="expression" dxfId="2706" priority="2314">
      <formula>L202="CUMPLE"</formula>
    </cfRule>
  </conditionalFormatting>
  <conditionalFormatting sqref="M201">
    <cfRule type="expression" dxfId="2705" priority="2317">
      <formula>L201="NO CUMPLE"</formula>
    </cfRule>
    <cfRule type="expression" dxfId="2704" priority="2318">
      <formula>L201="CUMPLE"</formula>
    </cfRule>
  </conditionalFormatting>
  <conditionalFormatting sqref="L201:L202">
    <cfRule type="cellIs" dxfId="2703" priority="2315" operator="equal">
      <formula>"NO CUMPLE"</formula>
    </cfRule>
    <cfRule type="cellIs" dxfId="2702" priority="2316" operator="equal">
      <formula>"CUMPLE"</formula>
    </cfRule>
  </conditionalFormatting>
  <conditionalFormatting sqref="S13">
    <cfRule type="cellIs" dxfId="2701" priority="2311" operator="greaterThan">
      <formula>0</formula>
    </cfRule>
    <cfRule type="top10" dxfId="2700" priority="2312" rank="10"/>
  </conditionalFormatting>
  <conditionalFormatting sqref="L41:L42">
    <cfRule type="cellIs" dxfId="2699" priority="2307" operator="equal">
      <formula>"NO CUMPLE"</formula>
    </cfRule>
    <cfRule type="cellIs" dxfId="2698" priority="2308" operator="equal">
      <formula>"CUMPLE"</formula>
    </cfRule>
  </conditionalFormatting>
  <conditionalFormatting sqref="L47:L48">
    <cfRule type="cellIs" dxfId="2697" priority="2303" operator="equal">
      <formula>"NO CUMPLE"</formula>
    </cfRule>
    <cfRule type="cellIs" dxfId="2696" priority="2304" operator="equal">
      <formula>"CUMPLE"</formula>
    </cfRule>
  </conditionalFormatting>
  <conditionalFormatting sqref="M20 M23 M26">
    <cfRule type="expression" dxfId="2695" priority="2299">
      <formula>L20="NO CUMPLE"</formula>
    </cfRule>
    <cfRule type="expression" dxfId="2694" priority="2300">
      <formula>L20="CUMPLE"</formula>
    </cfRule>
  </conditionalFormatting>
  <conditionalFormatting sqref="M19 M22 M25">
    <cfRule type="expression" dxfId="2693" priority="2301">
      <formula>L19="NO CUMPLE"</formula>
    </cfRule>
    <cfRule type="expression" dxfId="2692" priority="2302">
      <formula>L19="CUMPLE"</formula>
    </cfRule>
  </conditionalFormatting>
  <conditionalFormatting sqref="Q16">
    <cfRule type="containsBlanks" dxfId="2691" priority="2290">
      <formula>LEN(TRIM(Q16))=0</formula>
    </cfRule>
    <cfRule type="cellIs" dxfId="2690" priority="2295" operator="equal">
      <formula>"REQUERIMIENTOS SUBSANADOS"</formula>
    </cfRule>
    <cfRule type="containsText" dxfId="2689" priority="2296" operator="containsText" text="NO SUBSANABLE">
      <formula>NOT(ISERROR(SEARCH("NO SUBSANABLE",Q16)))</formula>
    </cfRule>
    <cfRule type="containsText" dxfId="2688" priority="2297" operator="containsText" text="PENDIENTES POR SUBSANAR">
      <formula>NOT(ISERROR(SEARCH("PENDIENTES POR SUBSANAR",Q16)))</formula>
    </cfRule>
    <cfRule type="containsText" dxfId="2687" priority="2298" operator="containsText" text="SIN OBSERVACIÓN">
      <formula>NOT(ISERROR(SEARCH("SIN OBSERVACIÓN",Q16)))</formula>
    </cfRule>
  </conditionalFormatting>
  <conditionalFormatting sqref="R16">
    <cfRule type="containsBlanks" dxfId="2686" priority="2289">
      <formula>LEN(TRIM(R16))=0</formula>
    </cfRule>
    <cfRule type="cellIs" dxfId="2685" priority="2291" operator="equal">
      <formula>"NO CUMPLEN CON LO SOLICITADO"</formula>
    </cfRule>
    <cfRule type="cellIs" dxfId="2684" priority="2292" operator="equal">
      <formula>"CUMPLEN CON LO SOLICITADO"</formula>
    </cfRule>
    <cfRule type="cellIs" dxfId="2683" priority="2293" operator="equal">
      <formula>"PENDIENTES"</formula>
    </cfRule>
    <cfRule type="cellIs" dxfId="2682" priority="2294" operator="equal">
      <formula>"NINGUNO"</formula>
    </cfRule>
  </conditionalFormatting>
  <conditionalFormatting sqref="N41">
    <cfRule type="expression" dxfId="2681" priority="2286">
      <formula>N41=" "</formula>
    </cfRule>
    <cfRule type="expression" dxfId="2680" priority="2287">
      <formula>N41="NO PRESENTÓ CERTIFICADO"</formula>
    </cfRule>
    <cfRule type="expression" dxfId="2679" priority="2288">
      <formula>N41="PRESENTÓ CERTIFICADO"</formula>
    </cfRule>
  </conditionalFormatting>
  <conditionalFormatting sqref="Q41">
    <cfRule type="containsBlanks" dxfId="2678" priority="2277">
      <formula>LEN(TRIM(Q41))=0</formula>
    </cfRule>
    <cfRule type="cellIs" dxfId="2677" priority="2282" operator="equal">
      <formula>"REQUERIMIENTOS SUBSANADOS"</formula>
    </cfRule>
    <cfRule type="containsText" dxfId="2676" priority="2283" operator="containsText" text="NO SUBSANABLE">
      <formula>NOT(ISERROR(SEARCH("NO SUBSANABLE",Q41)))</formula>
    </cfRule>
    <cfRule type="containsText" dxfId="2675" priority="2284" operator="containsText" text="PENDIENTES POR SUBSANAR">
      <formula>NOT(ISERROR(SEARCH("PENDIENTES POR SUBSANAR",Q41)))</formula>
    </cfRule>
    <cfRule type="containsText" dxfId="2674" priority="2285" operator="containsText" text="SIN OBSERVACIÓN">
      <formula>NOT(ISERROR(SEARCH("SIN OBSERVACIÓN",Q41)))</formula>
    </cfRule>
  </conditionalFormatting>
  <conditionalFormatting sqref="R41">
    <cfRule type="containsBlanks" dxfId="2673" priority="2276">
      <formula>LEN(TRIM(R41))=0</formula>
    </cfRule>
    <cfRule type="cellIs" dxfId="2672" priority="2278" operator="equal">
      <formula>"NO CUMPLEN CON LO SOLICITADO"</formula>
    </cfRule>
    <cfRule type="cellIs" dxfId="2671" priority="2279" operator="equal">
      <formula>"CUMPLEN CON LO SOLICITADO"</formula>
    </cfRule>
    <cfRule type="cellIs" dxfId="2670" priority="2280" operator="equal">
      <formula>"PENDIENTES"</formula>
    </cfRule>
    <cfRule type="cellIs" dxfId="2669" priority="2281" operator="equal">
      <formula>"NINGUNO"</formula>
    </cfRule>
  </conditionalFormatting>
  <conditionalFormatting sqref="P41">
    <cfRule type="expression" dxfId="2668" priority="2271">
      <formula>Q41="NO SUBSANABLE"</formula>
    </cfRule>
    <cfRule type="expression" dxfId="2667" priority="2272">
      <formula>Q41="REQUERIMIENTOS SUBSANADOS"</formula>
    </cfRule>
    <cfRule type="expression" dxfId="2666" priority="2273">
      <formula>Q41="PENDIENTES POR SUBSANAR"</formula>
    </cfRule>
    <cfRule type="expression" dxfId="2665" priority="2274">
      <formula>Q41="SIN OBSERVACIÓN"</formula>
    </cfRule>
    <cfRule type="containsBlanks" dxfId="2664" priority="2275">
      <formula>LEN(TRIM(P41))=0</formula>
    </cfRule>
  </conditionalFormatting>
  <conditionalFormatting sqref="N44">
    <cfRule type="expression" dxfId="2663" priority="2268">
      <formula>N44=" "</formula>
    </cfRule>
    <cfRule type="expression" dxfId="2662" priority="2269">
      <formula>N44="NO PRESENTÓ CERTIFICADO"</formula>
    </cfRule>
    <cfRule type="expression" dxfId="2661" priority="2270">
      <formula>N44="PRESENTÓ CERTIFICADO"</formula>
    </cfRule>
  </conditionalFormatting>
  <conditionalFormatting sqref="Q44">
    <cfRule type="containsBlanks" dxfId="2660" priority="2259">
      <formula>LEN(TRIM(Q44))=0</formula>
    </cfRule>
    <cfRule type="cellIs" dxfId="2659" priority="2264" operator="equal">
      <formula>"REQUERIMIENTOS SUBSANADOS"</formula>
    </cfRule>
    <cfRule type="containsText" dxfId="2658" priority="2265" operator="containsText" text="NO SUBSANABLE">
      <formula>NOT(ISERROR(SEARCH("NO SUBSANABLE",Q44)))</formula>
    </cfRule>
    <cfRule type="containsText" dxfId="2657" priority="2266" operator="containsText" text="PENDIENTES POR SUBSANAR">
      <formula>NOT(ISERROR(SEARCH("PENDIENTES POR SUBSANAR",Q44)))</formula>
    </cfRule>
    <cfRule type="containsText" dxfId="2656" priority="2267" operator="containsText" text="SIN OBSERVACIÓN">
      <formula>NOT(ISERROR(SEARCH("SIN OBSERVACIÓN",Q44)))</formula>
    </cfRule>
  </conditionalFormatting>
  <conditionalFormatting sqref="R44">
    <cfRule type="containsBlanks" dxfId="2655" priority="2258">
      <formula>LEN(TRIM(R44))=0</formula>
    </cfRule>
    <cfRule type="cellIs" dxfId="2654" priority="2260" operator="equal">
      <formula>"NO CUMPLEN CON LO SOLICITADO"</formula>
    </cfRule>
    <cfRule type="cellIs" dxfId="2653" priority="2261" operator="equal">
      <formula>"CUMPLEN CON LO SOLICITADO"</formula>
    </cfRule>
    <cfRule type="cellIs" dxfId="2652" priority="2262" operator="equal">
      <formula>"PENDIENTES"</formula>
    </cfRule>
    <cfRule type="cellIs" dxfId="2651" priority="2263" operator="equal">
      <formula>"NINGUNO"</formula>
    </cfRule>
  </conditionalFormatting>
  <conditionalFormatting sqref="P44">
    <cfRule type="expression" dxfId="2650" priority="2253">
      <formula>Q44="NO SUBSANABLE"</formula>
    </cfRule>
    <cfRule type="expression" dxfId="2649" priority="2254">
      <formula>Q44="REQUERIMIENTOS SUBSANADOS"</formula>
    </cfRule>
    <cfRule type="expression" dxfId="2648" priority="2255">
      <formula>Q44="PENDIENTES POR SUBSANAR"</formula>
    </cfRule>
    <cfRule type="expression" dxfId="2647" priority="2256">
      <formula>Q44="SIN OBSERVACIÓN"</formula>
    </cfRule>
    <cfRule type="containsBlanks" dxfId="2646" priority="2257">
      <formula>LEN(TRIM(P44))=0</formula>
    </cfRule>
  </conditionalFormatting>
  <conditionalFormatting sqref="N47">
    <cfRule type="expression" dxfId="2645" priority="2250">
      <formula>N47=" "</formula>
    </cfRule>
    <cfRule type="expression" dxfId="2644" priority="2251">
      <formula>N47="NO PRESENTÓ CERTIFICADO"</formula>
    </cfRule>
    <cfRule type="expression" dxfId="2643" priority="2252">
      <formula>N47="PRESENTÓ CERTIFICADO"</formula>
    </cfRule>
  </conditionalFormatting>
  <conditionalFormatting sqref="Q47">
    <cfRule type="containsBlanks" dxfId="2642" priority="2241">
      <formula>LEN(TRIM(Q47))=0</formula>
    </cfRule>
    <cfRule type="cellIs" dxfId="2641" priority="2246" operator="equal">
      <formula>"REQUERIMIENTOS SUBSANADOS"</formula>
    </cfRule>
    <cfRule type="containsText" dxfId="2640" priority="2247" operator="containsText" text="NO SUBSANABLE">
      <formula>NOT(ISERROR(SEARCH("NO SUBSANABLE",Q47)))</formula>
    </cfRule>
    <cfRule type="containsText" dxfId="2639" priority="2248" operator="containsText" text="PENDIENTES POR SUBSANAR">
      <formula>NOT(ISERROR(SEARCH("PENDIENTES POR SUBSANAR",Q47)))</formula>
    </cfRule>
    <cfRule type="containsText" dxfId="2638" priority="2249" operator="containsText" text="SIN OBSERVACIÓN">
      <formula>NOT(ISERROR(SEARCH("SIN OBSERVACIÓN",Q47)))</formula>
    </cfRule>
  </conditionalFormatting>
  <conditionalFormatting sqref="R47">
    <cfRule type="containsBlanks" dxfId="2637" priority="2240">
      <formula>LEN(TRIM(R47))=0</formula>
    </cfRule>
    <cfRule type="cellIs" dxfId="2636" priority="2242" operator="equal">
      <formula>"NO CUMPLEN CON LO SOLICITADO"</formula>
    </cfRule>
    <cfRule type="cellIs" dxfId="2635" priority="2243" operator="equal">
      <formula>"CUMPLEN CON LO SOLICITADO"</formula>
    </cfRule>
    <cfRule type="cellIs" dxfId="2634" priority="2244" operator="equal">
      <formula>"PENDIENTES"</formula>
    </cfRule>
    <cfRule type="cellIs" dxfId="2633" priority="2245" operator="equal">
      <formula>"NINGUNO"</formula>
    </cfRule>
  </conditionalFormatting>
  <conditionalFormatting sqref="P47">
    <cfRule type="expression" dxfId="2632" priority="2235">
      <formula>Q47="NO SUBSANABLE"</formula>
    </cfRule>
    <cfRule type="expression" dxfId="2631" priority="2236">
      <formula>Q47="REQUERIMIENTOS SUBSANADOS"</formula>
    </cfRule>
    <cfRule type="expression" dxfId="2630" priority="2237">
      <formula>Q47="PENDIENTES POR SUBSANAR"</formula>
    </cfRule>
    <cfRule type="expression" dxfId="2629" priority="2238">
      <formula>Q47="SIN OBSERVACIÓN"</formula>
    </cfRule>
    <cfRule type="containsBlanks" dxfId="2628" priority="2239">
      <formula>LEN(TRIM(P47))=0</formula>
    </cfRule>
  </conditionalFormatting>
  <conditionalFormatting sqref="N88">
    <cfRule type="expression" dxfId="2627" priority="2232">
      <formula>N88=" "</formula>
    </cfRule>
    <cfRule type="expression" dxfId="2626" priority="2233">
      <formula>N88="NO PRESENTÓ CERTIFICADO"</formula>
    </cfRule>
    <cfRule type="expression" dxfId="2625" priority="2234">
      <formula>N88="PRESENTÓ CERTIFICADO"</formula>
    </cfRule>
  </conditionalFormatting>
  <conditionalFormatting sqref="Q88">
    <cfRule type="containsBlanks" dxfId="2624" priority="2223">
      <formula>LEN(TRIM(Q88))=0</formula>
    </cfRule>
    <cfRule type="cellIs" dxfId="2623" priority="2228" operator="equal">
      <formula>"REQUERIMIENTOS SUBSANADOS"</formula>
    </cfRule>
    <cfRule type="containsText" dxfId="2622" priority="2229" operator="containsText" text="NO SUBSANABLE">
      <formula>NOT(ISERROR(SEARCH("NO SUBSANABLE",Q88)))</formula>
    </cfRule>
    <cfRule type="containsText" dxfId="2621" priority="2230" operator="containsText" text="PENDIENTES POR SUBSANAR">
      <formula>NOT(ISERROR(SEARCH("PENDIENTES POR SUBSANAR",Q88)))</formula>
    </cfRule>
    <cfRule type="containsText" dxfId="2620" priority="2231" operator="containsText" text="SIN OBSERVACIÓN">
      <formula>NOT(ISERROR(SEARCH("SIN OBSERVACIÓN",Q88)))</formula>
    </cfRule>
  </conditionalFormatting>
  <conditionalFormatting sqref="R88">
    <cfRule type="containsBlanks" dxfId="2619" priority="2222">
      <formula>LEN(TRIM(R88))=0</formula>
    </cfRule>
    <cfRule type="cellIs" dxfId="2618" priority="2224" operator="equal">
      <formula>"NO CUMPLEN CON LO SOLICITADO"</formula>
    </cfRule>
    <cfRule type="cellIs" dxfId="2617" priority="2225" operator="equal">
      <formula>"CUMPLEN CON LO SOLICITADO"</formula>
    </cfRule>
    <cfRule type="cellIs" dxfId="2616" priority="2226" operator="equal">
      <formula>"PENDIENTES"</formula>
    </cfRule>
    <cfRule type="cellIs" dxfId="2615" priority="2227" operator="equal">
      <formula>"NINGUNO"</formula>
    </cfRule>
  </conditionalFormatting>
  <conditionalFormatting sqref="P88">
    <cfRule type="expression" dxfId="2614" priority="2217">
      <formula>Q88="NO SUBSANABLE"</formula>
    </cfRule>
    <cfRule type="expression" dxfId="2613" priority="2218">
      <formula>Q88="REQUERIMIENTOS SUBSANADOS"</formula>
    </cfRule>
    <cfRule type="expression" dxfId="2612" priority="2219">
      <formula>Q88="PENDIENTES POR SUBSANAR"</formula>
    </cfRule>
    <cfRule type="expression" dxfId="2611" priority="2220">
      <formula>Q88="SIN OBSERVACIÓN"</formula>
    </cfRule>
    <cfRule type="containsBlanks" dxfId="2610" priority="2221">
      <formula>LEN(TRIM(P88))=0</formula>
    </cfRule>
  </conditionalFormatting>
  <conditionalFormatting sqref="N91">
    <cfRule type="expression" dxfId="2609" priority="2214">
      <formula>N91=" "</formula>
    </cfRule>
    <cfRule type="expression" dxfId="2608" priority="2215">
      <formula>N91="NO PRESENTÓ CERTIFICADO"</formula>
    </cfRule>
    <cfRule type="expression" dxfId="2607" priority="2216">
      <formula>N91="PRESENTÓ CERTIFICADO"</formula>
    </cfRule>
  </conditionalFormatting>
  <conditionalFormatting sqref="Q91">
    <cfRule type="containsBlanks" dxfId="2606" priority="2205">
      <formula>LEN(TRIM(Q91))=0</formula>
    </cfRule>
    <cfRule type="cellIs" dxfId="2605" priority="2210" operator="equal">
      <formula>"REQUERIMIENTOS SUBSANADOS"</formula>
    </cfRule>
    <cfRule type="containsText" dxfId="2604" priority="2211" operator="containsText" text="NO SUBSANABLE">
      <formula>NOT(ISERROR(SEARCH("NO SUBSANABLE",Q91)))</formula>
    </cfRule>
    <cfRule type="containsText" dxfId="2603" priority="2212" operator="containsText" text="PENDIENTES POR SUBSANAR">
      <formula>NOT(ISERROR(SEARCH("PENDIENTES POR SUBSANAR",Q91)))</formula>
    </cfRule>
    <cfRule type="containsText" dxfId="2602" priority="2213" operator="containsText" text="SIN OBSERVACIÓN">
      <formula>NOT(ISERROR(SEARCH("SIN OBSERVACIÓN",Q91)))</formula>
    </cfRule>
  </conditionalFormatting>
  <conditionalFormatting sqref="R91">
    <cfRule type="containsBlanks" dxfId="2601" priority="2204">
      <formula>LEN(TRIM(R91))=0</formula>
    </cfRule>
    <cfRule type="cellIs" dxfId="2600" priority="2206" operator="equal">
      <formula>"NO CUMPLEN CON LO SOLICITADO"</formula>
    </cfRule>
    <cfRule type="cellIs" dxfId="2599" priority="2207" operator="equal">
      <formula>"CUMPLEN CON LO SOLICITADO"</formula>
    </cfRule>
    <cfRule type="cellIs" dxfId="2598" priority="2208" operator="equal">
      <formula>"PENDIENTES"</formula>
    </cfRule>
    <cfRule type="cellIs" dxfId="2597" priority="2209" operator="equal">
      <formula>"NINGUNO"</formula>
    </cfRule>
  </conditionalFormatting>
  <conditionalFormatting sqref="P91">
    <cfRule type="expression" dxfId="2596" priority="2199">
      <formula>Q91="NO SUBSANABLE"</formula>
    </cfRule>
    <cfRule type="expression" dxfId="2595" priority="2200">
      <formula>Q91="REQUERIMIENTOS SUBSANADOS"</formula>
    </cfRule>
    <cfRule type="expression" dxfId="2594" priority="2201">
      <formula>Q91="PENDIENTES POR SUBSANAR"</formula>
    </cfRule>
    <cfRule type="expression" dxfId="2593" priority="2202">
      <formula>Q91="SIN OBSERVACIÓN"</formula>
    </cfRule>
    <cfRule type="containsBlanks" dxfId="2592" priority="2203">
      <formula>LEN(TRIM(P91))=0</formula>
    </cfRule>
  </conditionalFormatting>
  <conditionalFormatting sqref="P107">
    <cfRule type="expression" dxfId="2591" priority="2194">
      <formula>Q107="NO SUBSANABLE"</formula>
    </cfRule>
    <cfRule type="expression" dxfId="2590" priority="2195">
      <formula>Q107="REQUERIMIENTOS SUBSANADOS"</formula>
    </cfRule>
    <cfRule type="expression" dxfId="2589" priority="2196">
      <formula>Q107="PENDIENTES POR SUBSANAR"</formula>
    </cfRule>
    <cfRule type="expression" dxfId="2588" priority="2197">
      <formula>Q107="SIN OBSERVACIÓN"</formula>
    </cfRule>
    <cfRule type="containsBlanks" dxfId="2587" priority="2198">
      <formula>LEN(TRIM(P107))=0</formula>
    </cfRule>
  </conditionalFormatting>
  <conditionalFormatting sqref="N135">
    <cfRule type="expression" dxfId="2586" priority="2191">
      <formula>N135=" "</formula>
    </cfRule>
    <cfRule type="expression" dxfId="2585" priority="2192">
      <formula>N135="NO PRESENTÓ CERTIFICADO"</formula>
    </cfRule>
    <cfRule type="expression" dxfId="2584" priority="2193">
      <formula>N135="PRESENTÓ CERTIFICADO"</formula>
    </cfRule>
  </conditionalFormatting>
  <conditionalFormatting sqref="O135">
    <cfRule type="cellIs" dxfId="2583" priority="2173" operator="equal">
      <formula>"PENDIENTE POR DESCRIPCIÓN"</formula>
    </cfRule>
    <cfRule type="cellIs" dxfId="2582" priority="2174" operator="equal">
      <formula>"DESCRIPCIÓN INSUFICIENTE"</formula>
    </cfRule>
    <cfRule type="cellIs" dxfId="2581" priority="2175" operator="equal">
      <formula>"NO ESTÁ ACORDE A ITEM 5.2.2 (T.R.)"</formula>
    </cfRule>
    <cfRule type="cellIs" dxfId="2580" priority="2176" operator="equal">
      <formula>"ACORDE A ITEM 5.2.2 (T.R.)"</formula>
    </cfRule>
    <cfRule type="cellIs" dxfId="2579" priority="2183" operator="equal">
      <formula>"PENDIENTE POR DESCRIPCIÓN"</formula>
    </cfRule>
    <cfRule type="cellIs" dxfId="2578" priority="2185" operator="equal">
      <formula>"DESCRIPCIÓN INSUFICIENTE"</formula>
    </cfRule>
    <cfRule type="cellIs" dxfId="2577" priority="2186" operator="equal">
      <formula>"NO ESTÁ ACORDE A ITEM 5.2.1 (T.R.)"</formula>
    </cfRule>
    <cfRule type="cellIs" dxfId="2576" priority="2187" operator="equal">
      <formula>"ACORDE A ITEM 5.2.1 (T.R.)"</formula>
    </cfRule>
  </conditionalFormatting>
  <conditionalFormatting sqref="Q135">
    <cfRule type="containsBlanks" dxfId="2575" priority="2178">
      <formula>LEN(TRIM(Q135))=0</formula>
    </cfRule>
    <cfRule type="cellIs" dxfId="2574" priority="2184" operator="equal">
      <formula>"REQUERIMIENTOS SUBSANADOS"</formula>
    </cfRule>
    <cfRule type="containsText" dxfId="2573" priority="2188" operator="containsText" text="NO SUBSANABLE">
      <formula>NOT(ISERROR(SEARCH("NO SUBSANABLE",Q135)))</formula>
    </cfRule>
    <cfRule type="containsText" dxfId="2572" priority="2189" operator="containsText" text="PENDIENTES POR SUBSANAR">
      <formula>NOT(ISERROR(SEARCH("PENDIENTES POR SUBSANAR",Q135)))</formula>
    </cfRule>
    <cfRule type="containsText" dxfId="2571" priority="2190" operator="containsText" text="SIN OBSERVACIÓN">
      <formula>NOT(ISERROR(SEARCH("SIN OBSERVACIÓN",Q135)))</formula>
    </cfRule>
  </conditionalFormatting>
  <conditionalFormatting sqref="R135">
    <cfRule type="containsBlanks" dxfId="2570" priority="2177">
      <formula>LEN(TRIM(R135))=0</formula>
    </cfRule>
    <cfRule type="cellIs" dxfId="2569" priority="2179" operator="equal">
      <formula>"NO CUMPLEN CON LO SOLICITADO"</formula>
    </cfRule>
    <cfRule type="cellIs" dxfId="2568" priority="2180" operator="equal">
      <formula>"CUMPLEN CON LO SOLICITADO"</formula>
    </cfRule>
    <cfRule type="cellIs" dxfId="2567" priority="2181" operator="equal">
      <formula>"PENDIENTES"</formula>
    </cfRule>
    <cfRule type="cellIs" dxfId="2566" priority="2182" operator="equal">
      <formula>"NINGUNO"</formula>
    </cfRule>
  </conditionalFormatting>
  <conditionalFormatting sqref="P135">
    <cfRule type="expression" dxfId="2565" priority="2168">
      <formula>Q135="NO SUBSANABLE"</formula>
    </cfRule>
    <cfRule type="expression" dxfId="2564" priority="2169">
      <formula>Q135="REQUERIMIENTOS SUBSANADOS"</formula>
    </cfRule>
    <cfRule type="expression" dxfId="2563" priority="2170">
      <formula>Q135="PENDIENTES POR SUBSANAR"</formula>
    </cfRule>
    <cfRule type="expression" dxfId="2562" priority="2171">
      <formula>Q135="SIN OBSERVACIÓN"</formula>
    </cfRule>
    <cfRule type="containsBlanks" dxfId="2561" priority="2172">
      <formula>LEN(TRIM(P135))=0</formula>
    </cfRule>
  </conditionalFormatting>
  <conditionalFormatting sqref="N151">
    <cfRule type="expression" dxfId="2560" priority="2165">
      <formula>N151=" "</formula>
    </cfRule>
    <cfRule type="expression" dxfId="2559" priority="2166">
      <formula>N151="NO PRESENTÓ CERTIFICADO"</formula>
    </cfRule>
    <cfRule type="expression" dxfId="2558" priority="2167">
      <formula>N151="PRESENTÓ CERTIFICADO"</formula>
    </cfRule>
  </conditionalFormatting>
  <conditionalFormatting sqref="O151">
    <cfRule type="cellIs" dxfId="2557" priority="2147" operator="equal">
      <formula>"PENDIENTE POR DESCRIPCIÓN"</formula>
    </cfRule>
    <cfRule type="cellIs" dxfId="2556" priority="2148" operator="equal">
      <formula>"DESCRIPCIÓN INSUFICIENTE"</formula>
    </cfRule>
    <cfRule type="cellIs" dxfId="2555" priority="2149" operator="equal">
      <formula>"NO ESTÁ ACORDE A ITEM 5.2.2 (T.R.)"</formula>
    </cfRule>
    <cfRule type="cellIs" dxfId="2554" priority="2150" operator="equal">
      <formula>"ACORDE A ITEM 5.2.2 (T.R.)"</formula>
    </cfRule>
    <cfRule type="cellIs" dxfId="2553" priority="2157" operator="equal">
      <formula>"PENDIENTE POR DESCRIPCIÓN"</formula>
    </cfRule>
    <cfRule type="cellIs" dxfId="2552" priority="2159" operator="equal">
      <formula>"DESCRIPCIÓN INSUFICIENTE"</formula>
    </cfRule>
    <cfRule type="cellIs" dxfId="2551" priority="2160" operator="equal">
      <formula>"NO ESTÁ ACORDE A ITEM 5.2.1 (T.R.)"</formula>
    </cfRule>
    <cfRule type="cellIs" dxfId="2550" priority="2161" operator="equal">
      <formula>"ACORDE A ITEM 5.2.1 (T.R.)"</formula>
    </cfRule>
  </conditionalFormatting>
  <conditionalFormatting sqref="Q151">
    <cfRule type="containsBlanks" dxfId="2549" priority="2152">
      <formula>LEN(TRIM(Q151))=0</formula>
    </cfRule>
    <cfRule type="cellIs" dxfId="2548" priority="2158" operator="equal">
      <formula>"REQUERIMIENTOS SUBSANADOS"</formula>
    </cfRule>
    <cfRule type="containsText" dxfId="2547" priority="2162" operator="containsText" text="NO SUBSANABLE">
      <formula>NOT(ISERROR(SEARCH("NO SUBSANABLE",Q151)))</formula>
    </cfRule>
    <cfRule type="containsText" dxfId="2546" priority="2163" operator="containsText" text="PENDIENTES POR SUBSANAR">
      <formula>NOT(ISERROR(SEARCH("PENDIENTES POR SUBSANAR",Q151)))</formula>
    </cfRule>
    <cfRule type="containsText" dxfId="2545" priority="2164" operator="containsText" text="SIN OBSERVACIÓN">
      <formula>NOT(ISERROR(SEARCH("SIN OBSERVACIÓN",Q151)))</formula>
    </cfRule>
  </conditionalFormatting>
  <conditionalFormatting sqref="R151">
    <cfRule type="containsBlanks" dxfId="2544" priority="2151">
      <formula>LEN(TRIM(R151))=0</formula>
    </cfRule>
    <cfRule type="cellIs" dxfId="2543" priority="2153" operator="equal">
      <formula>"NO CUMPLEN CON LO SOLICITADO"</formula>
    </cfRule>
    <cfRule type="cellIs" dxfId="2542" priority="2154" operator="equal">
      <formula>"CUMPLEN CON LO SOLICITADO"</formula>
    </cfRule>
    <cfRule type="cellIs" dxfId="2541" priority="2155" operator="equal">
      <formula>"PENDIENTES"</formula>
    </cfRule>
    <cfRule type="cellIs" dxfId="2540" priority="2156" operator="equal">
      <formula>"NINGUNO"</formula>
    </cfRule>
  </conditionalFormatting>
  <conditionalFormatting sqref="P151">
    <cfRule type="expression" dxfId="2539" priority="2142">
      <formula>Q151="NO SUBSANABLE"</formula>
    </cfRule>
    <cfRule type="expression" dxfId="2538" priority="2143">
      <formula>Q151="REQUERIMIENTOS SUBSANADOS"</formula>
    </cfRule>
    <cfRule type="expression" dxfId="2537" priority="2144">
      <formula>Q151="PENDIENTES POR SUBSANAR"</formula>
    </cfRule>
    <cfRule type="expression" dxfId="2536" priority="2145">
      <formula>Q151="SIN OBSERVACIÓN"</formula>
    </cfRule>
    <cfRule type="containsBlanks" dxfId="2535" priority="2146">
      <formula>LEN(TRIM(P151))=0</formula>
    </cfRule>
  </conditionalFormatting>
  <conditionalFormatting sqref="N154">
    <cfRule type="expression" dxfId="2534" priority="2139">
      <formula>N154=" "</formula>
    </cfRule>
    <cfRule type="expression" dxfId="2533" priority="2140">
      <formula>N154="NO PRESENTÓ CERTIFICADO"</formula>
    </cfRule>
    <cfRule type="expression" dxfId="2532" priority="2141">
      <formula>N154="PRESENTÓ CERTIFICADO"</formula>
    </cfRule>
  </conditionalFormatting>
  <conditionalFormatting sqref="O154">
    <cfRule type="cellIs" dxfId="2531" priority="2121" operator="equal">
      <formula>"PENDIENTE POR DESCRIPCIÓN"</formula>
    </cfRule>
    <cfRule type="cellIs" dxfId="2530" priority="2122" operator="equal">
      <formula>"DESCRIPCIÓN INSUFICIENTE"</formula>
    </cfRule>
    <cfRule type="cellIs" dxfId="2529" priority="2123" operator="equal">
      <formula>"NO ESTÁ ACORDE A ITEM 5.2.2 (T.R.)"</formula>
    </cfRule>
    <cfRule type="cellIs" dxfId="2528" priority="2124" operator="equal">
      <formula>"ACORDE A ITEM 5.2.2 (T.R.)"</formula>
    </cfRule>
    <cfRule type="cellIs" dxfId="2527" priority="2131" operator="equal">
      <formula>"PENDIENTE POR DESCRIPCIÓN"</formula>
    </cfRule>
    <cfRule type="cellIs" dxfId="2526" priority="2133" operator="equal">
      <formula>"DESCRIPCIÓN INSUFICIENTE"</formula>
    </cfRule>
    <cfRule type="cellIs" dxfId="2525" priority="2134" operator="equal">
      <formula>"NO ESTÁ ACORDE A ITEM 5.2.1 (T.R.)"</formula>
    </cfRule>
    <cfRule type="cellIs" dxfId="2524" priority="2135" operator="equal">
      <formula>"ACORDE A ITEM 5.2.1 (T.R.)"</formula>
    </cfRule>
  </conditionalFormatting>
  <conditionalFormatting sqref="Q154">
    <cfRule type="containsBlanks" dxfId="2523" priority="2126">
      <formula>LEN(TRIM(Q154))=0</formula>
    </cfRule>
    <cfRule type="cellIs" dxfId="2522" priority="2132" operator="equal">
      <formula>"REQUERIMIENTOS SUBSANADOS"</formula>
    </cfRule>
    <cfRule type="containsText" dxfId="2521" priority="2136" operator="containsText" text="NO SUBSANABLE">
      <formula>NOT(ISERROR(SEARCH("NO SUBSANABLE",Q154)))</formula>
    </cfRule>
    <cfRule type="containsText" dxfId="2520" priority="2137" operator="containsText" text="PENDIENTES POR SUBSANAR">
      <formula>NOT(ISERROR(SEARCH("PENDIENTES POR SUBSANAR",Q154)))</formula>
    </cfRule>
    <cfRule type="containsText" dxfId="2519" priority="2138" operator="containsText" text="SIN OBSERVACIÓN">
      <formula>NOT(ISERROR(SEARCH("SIN OBSERVACIÓN",Q154)))</formula>
    </cfRule>
  </conditionalFormatting>
  <conditionalFormatting sqref="R154">
    <cfRule type="containsBlanks" dxfId="2518" priority="2125">
      <formula>LEN(TRIM(R154))=0</formula>
    </cfRule>
    <cfRule type="cellIs" dxfId="2517" priority="2127" operator="equal">
      <formula>"NO CUMPLEN CON LO SOLICITADO"</formula>
    </cfRule>
    <cfRule type="cellIs" dxfId="2516" priority="2128" operator="equal">
      <formula>"CUMPLEN CON LO SOLICITADO"</formula>
    </cfRule>
    <cfRule type="cellIs" dxfId="2515" priority="2129" operator="equal">
      <formula>"PENDIENTES"</formula>
    </cfRule>
    <cfRule type="cellIs" dxfId="2514" priority="2130" operator="equal">
      <formula>"NINGUNO"</formula>
    </cfRule>
  </conditionalFormatting>
  <conditionalFormatting sqref="P154">
    <cfRule type="expression" dxfId="2513" priority="2116">
      <formula>Q154="NO SUBSANABLE"</formula>
    </cfRule>
    <cfRule type="expression" dxfId="2512" priority="2117">
      <formula>Q154="REQUERIMIENTOS SUBSANADOS"</formula>
    </cfRule>
    <cfRule type="expression" dxfId="2511" priority="2118">
      <formula>Q154="PENDIENTES POR SUBSANAR"</formula>
    </cfRule>
    <cfRule type="expression" dxfId="2510" priority="2119">
      <formula>Q154="SIN OBSERVACIÓN"</formula>
    </cfRule>
    <cfRule type="containsBlanks" dxfId="2509" priority="2120">
      <formula>LEN(TRIM(P154))=0</formula>
    </cfRule>
  </conditionalFormatting>
  <conditionalFormatting sqref="K35">
    <cfRule type="expression" dxfId="2508" priority="2114">
      <formula>J35="NO CUMPLE"</formula>
    </cfRule>
    <cfRule type="expression" dxfId="2507" priority="2115">
      <formula>J35="CUMPLE"</formula>
    </cfRule>
  </conditionalFormatting>
  <conditionalFormatting sqref="K36:K37">
    <cfRule type="expression" dxfId="2506" priority="2112">
      <formula>J36="NO CUMPLE"</formula>
    </cfRule>
    <cfRule type="expression" dxfId="2505" priority="2113">
      <formula>J36="CUMPLE"</formula>
    </cfRule>
  </conditionalFormatting>
  <conditionalFormatting sqref="K57">
    <cfRule type="expression" dxfId="2504" priority="2110">
      <formula>J57="NO CUMPLE"</formula>
    </cfRule>
    <cfRule type="expression" dxfId="2503" priority="2111">
      <formula>J57="CUMPLE"</formula>
    </cfRule>
  </conditionalFormatting>
  <conditionalFormatting sqref="K58:K59">
    <cfRule type="expression" dxfId="2502" priority="2108">
      <formula>J58="NO CUMPLE"</formula>
    </cfRule>
    <cfRule type="expression" dxfId="2501" priority="2109">
      <formula>J58="CUMPLE"</formula>
    </cfRule>
  </conditionalFormatting>
  <conditionalFormatting sqref="K79">
    <cfRule type="expression" dxfId="2500" priority="2106">
      <formula>J79="NO CUMPLE"</formula>
    </cfRule>
    <cfRule type="expression" dxfId="2499" priority="2107">
      <formula>J79="CUMPLE"</formula>
    </cfRule>
  </conditionalFormatting>
  <conditionalFormatting sqref="K80:K81">
    <cfRule type="expression" dxfId="2498" priority="2104">
      <formula>J80="NO CUMPLE"</formula>
    </cfRule>
    <cfRule type="expression" dxfId="2497" priority="2105">
      <formula>J80="CUMPLE"</formula>
    </cfRule>
  </conditionalFormatting>
  <conditionalFormatting sqref="K101">
    <cfRule type="expression" dxfId="2496" priority="2102">
      <formula>J101="NO CUMPLE"</formula>
    </cfRule>
    <cfRule type="expression" dxfId="2495" priority="2103">
      <formula>J101="CUMPLE"</formula>
    </cfRule>
  </conditionalFormatting>
  <conditionalFormatting sqref="K102:K103">
    <cfRule type="expression" dxfId="2494" priority="2100">
      <formula>J102="NO CUMPLE"</formula>
    </cfRule>
    <cfRule type="expression" dxfId="2493" priority="2101">
      <formula>J102="CUMPLE"</formula>
    </cfRule>
  </conditionalFormatting>
  <conditionalFormatting sqref="K123">
    <cfRule type="expression" dxfId="2492" priority="2098">
      <formula>J123="NO CUMPLE"</formula>
    </cfRule>
    <cfRule type="expression" dxfId="2491" priority="2099">
      <formula>J123="CUMPLE"</formula>
    </cfRule>
  </conditionalFormatting>
  <conditionalFormatting sqref="K124:K125">
    <cfRule type="expression" dxfId="2490" priority="2096">
      <formula>J124="NO CUMPLE"</formula>
    </cfRule>
    <cfRule type="expression" dxfId="2489" priority="2097">
      <formula>J124="CUMPLE"</formula>
    </cfRule>
  </conditionalFormatting>
  <conditionalFormatting sqref="K145">
    <cfRule type="expression" dxfId="2488" priority="2094">
      <formula>J145="NO CUMPLE"</formula>
    </cfRule>
    <cfRule type="expression" dxfId="2487" priority="2095">
      <formula>J145="CUMPLE"</formula>
    </cfRule>
  </conditionalFormatting>
  <conditionalFormatting sqref="K146:K147">
    <cfRule type="expression" dxfId="2486" priority="2092">
      <formula>J146="NO CUMPLE"</formula>
    </cfRule>
    <cfRule type="expression" dxfId="2485" priority="2093">
      <formula>J146="CUMPLE"</formula>
    </cfRule>
  </conditionalFormatting>
  <conditionalFormatting sqref="J167">
    <cfRule type="cellIs" dxfId="2484" priority="2090" operator="equal">
      <formula>"NO CUMPLE"</formula>
    </cfRule>
    <cfRule type="cellIs" dxfId="2483" priority="2091" operator="equal">
      <formula>"CUMPLE"</formula>
    </cfRule>
  </conditionalFormatting>
  <conditionalFormatting sqref="K167">
    <cfRule type="expression" dxfId="2482" priority="2088">
      <formula>J167="NO CUMPLE"</formula>
    </cfRule>
    <cfRule type="expression" dxfId="2481" priority="2089">
      <formula>J167="CUMPLE"</formula>
    </cfRule>
  </conditionalFormatting>
  <conditionalFormatting sqref="K168:K169">
    <cfRule type="expression" dxfId="2480" priority="2086">
      <formula>J168="NO CUMPLE"</formula>
    </cfRule>
    <cfRule type="expression" dxfId="2479" priority="2087">
      <formula>J168="CUMPLE"</formula>
    </cfRule>
  </conditionalFormatting>
  <conditionalFormatting sqref="J189">
    <cfRule type="cellIs" dxfId="2478" priority="2084" operator="equal">
      <formula>"NO CUMPLE"</formula>
    </cfRule>
    <cfRule type="cellIs" dxfId="2477" priority="2085" operator="equal">
      <formula>"CUMPLE"</formula>
    </cfRule>
  </conditionalFormatting>
  <conditionalFormatting sqref="J190:J191">
    <cfRule type="cellIs" dxfId="2476" priority="2082" operator="equal">
      <formula>"NO CUMPLE"</formula>
    </cfRule>
    <cfRule type="cellIs" dxfId="2475" priority="2083" operator="equal">
      <formula>"CUMPLE"</formula>
    </cfRule>
  </conditionalFormatting>
  <conditionalFormatting sqref="K189">
    <cfRule type="expression" dxfId="2474" priority="2080">
      <formula>J189="NO CUMPLE"</formula>
    </cfRule>
    <cfRule type="expression" dxfId="2473" priority="2081">
      <formula>J189="CUMPLE"</formula>
    </cfRule>
  </conditionalFormatting>
  <conditionalFormatting sqref="K190:K191">
    <cfRule type="expression" dxfId="2472" priority="2078">
      <formula>J190="NO CUMPLE"</formula>
    </cfRule>
    <cfRule type="expression" dxfId="2471" priority="2079">
      <formula>J190="CUMPLE"</formula>
    </cfRule>
  </conditionalFormatting>
  <conditionalFormatting sqref="S211">
    <cfRule type="cellIs" dxfId="2470" priority="2076" operator="greaterThan">
      <formula>0</formula>
    </cfRule>
    <cfRule type="top10" dxfId="2469" priority="2077" rank="10"/>
  </conditionalFormatting>
  <conditionalFormatting sqref="B226">
    <cfRule type="cellIs" dxfId="2468" priority="2074" operator="equal">
      <formula>"NO CUMPLE CON LA EXPERIENCIA REQUERIDA"</formula>
    </cfRule>
    <cfRule type="cellIs" dxfId="2467" priority="2075" operator="equal">
      <formula>"CUMPLE CON LA EXPERIENCIA REQUERIDA"</formula>
    </cfRule>
  </conditionalFormatting>
  <conditionalFormatting sqref="H211 H214 H217 H220 H223">
    <cfRule type="notContainsBlanks" dxfId="2466" priority="2073">
      <formula>LEN(TRIM(H211))&gt;0</formula>
    </cfRule>
  </conditionalFormatting>
  <conditionalFormatting sqref="G211">
    <cfRule type="notContainsBlanks" dxfId="2465" priority="2072">
      <formula>LEN(TRIM(G211))&gt;0</formula>
    </cfRule>
  </conditionalFormatting>
  <conditionalFormatting sqref="F211">
    <cfRule type="notContainsBlanks" dxfId="2464" priority="2071">
      <formula>LEN(TRIM(F211))&gt;0</formula>
    </cfRule>
  </conditionalFormatting>
  <conditionalFormatting sqref="E211">
    <cfRule type="notContainsBlanks" dxfId="2463" priority="2070">
      <formula>LEN(TRIM(E211))&gt;0</formula>
    </cfRule>
  </conditionalFormatting>
  <conditionalFormatting sqref="D211">
    <cfRule type="notContainsBlanks" dxfId="2462" priority="2069">
      <formula>LEN(TRIM(D211))&gt;0</formula>
    </cfRule>
  </conditionalFormatting>
  <conditionalFormatting sqref="C211">
    <cfRule type="notContainsBlanks" dxfId="2461" priority="2068">
      <formula>LEN(TRIM(C211))&gt;0</formula>
    </cfRule>
  </conditionalFormatting>
  <conditionalFormatting sqref="I211">
    <cfRule type="notContainsBlanks" dxfId="2460" priority="2067">
      <formula>LEN(TRIM(I211))&gt;0</formula>
    </cfRule>
  </conditionalFormatting>
  <conditionalFormatting sqref="S214">
    <cfRule type="cellIs" dxfId="2459" priority="2065" operator="greaterThan">
      <formula>0</formula>
    </cfRule>
    <cfRule type="top10" dxfId="2458" priority="2066" rank="10"/>
  </conditionalFormatting>
  <conditionalFormatting sqref="S217">
    <cfRule type="cellIs" dxfId="2457" priority="2063" operator="greaterThan">
      <formula>0</formula>
    </cfRule>
    <cfRule type="top10" dxfId="2456" priority="2064" rank="10"/>
  </conditionalFormatting>
  <conditionalFormatting sqref="G217">
    <cfRule type="notContainsBlanks" dxfId="2455" priority="2062">
      <formula>LEN(TRIM(G217))&gt;0</formula>
    </cfRule>
  </conditionalFormatting>
  <conditionalFormatting sqref="F217">
    <cfRule type="notContainsBlanks" dxfId="2454" priority="2061">
      <formula>LEN(TRIM(F217))&gt;0</formula>
    </cfRule>
  </conditionalFormatting>
  <conditionalFormatting sqref="E217">
    <cfRule type="notContainsBlanks" dxfId="2453" priority="2060">
      <formula>LEN(TRIM(E217))&gt;0</formula>
    </cfRule>
  </conditionalFormatting>
  <conditionalFormatting sqref="D217">
    <cfRule type="notContainsBlanks" dxfId="2452" priority="2059">
      <formula>LEN(TRIM(D217))&gt;0</formula>
    </cfRule>
  </conditionalFormatting>
  <conditionalFormatting sqref="C217">
    <cfRule type="notContainsBlanks" dxfId="2451" priority="2058">
      <formula>LEN(TRIM(C217))&gt;0</formula>
    </cfRule>
  </conditionalFormatting>
  <conditionalFormatting sqref="I217">
    <cfRule type="notContainsBlanks" dxfId="2450" priority="2057">
      <formula>LEN(TRIM(I217))&gt;0</formula>
    </cfRule>
  </conditionalFormatting>
  <conditionalFormatting sqref="S220">
    <cfRule type="cellIs" dxfId="2449" priority="2055" operator="greaterThan">
      <formula>0</formula>
    </cfRule>
    <cfRule type="top10" dxfId="2448" priority="2056" rank="10"/>
  </conditionalFormatting>
  <conditionalFormatting sqref="S223">
    <cfRule type="cellIs" dxfId="2447" priority="2053" operator="greaterThan">
      <formula>0</formula>
    </cfRule>
    <cfRule type="top10" dxfId="2446" priority="2054" rank="10"/>
  </conditionalFormatting>
  <conditionalFormatting sqref="G223">
    <cfRule type="notContainsBlanks" dxfId="2445" priority="2052">
      <formula>LEN(TRIM(G223))&gt;0</formula>
    </cfRule>
  </conditionalFormatting>
  <conditionalFormatting sqref="F223">
    <cfRule type="notContainsBlanks" dxfId="2444" priority="2051">
      <formula>LEN(TRIM(F223))&gt;0</formula>
    </cfRule>
  </conditionalFormatting>
  <conditionalFormatting sqref="E223">
    <cfRule type="notContainsBlanks" dxfId="2443" priority="2050">
      <formula>LEN(TRIM(E223))&gt;0</formula>
    </cfRule>
  </conditionalFormatting>
  <conditionalFormatting sqref="D223">
    <cfRule type="notContainsBlanks" dxfId="2442" priority="2049">
      <formula>LEN(TRIM(D223))&gt;0</formula>
    </cfRule>
  </conditionalFormatting>
  <conditionalFormatting sqref="C223">
    <cfRule type="notContainsBlanks" dxfId="2441" priority="2048">
      <formula>LEN(TRIM(C223))&gt;0</formula>
    </cfRule>
  </conditionalFormatting>
  <conditionalFormatting sqref="I223">
    <cfRule type="notContainsBlanks" dxfId="2440" priority="2047">
      <formula>LEN(TRIM(I223))&gt;0</formula>
    </cfRule>
  </conditionalFormatting>
  <conditionalFormatting sqref="G214">
    <cfRule type="notContainsBlanks" dxfId="2439" priority="2046">
      <formula>LEN(TRIM(G214))&gt;0</formula>
    </cfRule>
  </conditionalFormatting>
  <conditionalFormatting sqref="F214">
    <cfRule type="notContainsBlanks" dxfId="2438" priority="2045">
      <formula>LEN(TRIM(F214))&gt;0</formula>
    </cfRule>
  </conditionalFormatting>
  <conditionalFormatting sqref="E214">
    <cfRule type="notContainsBlanks" dxfId="2437" priority="2044">
      <formula>LEN(TRIM(E214))&gt;0</formula>
    </cfRule>
  </conditionalFormatting>
  <conditionalFormatting sqref="D214">
    <cfRule type="notContainsBlanks" dxfId="2436" priority="2043">
      <formula>LEN(TRIM(D214))&gt;0</formula>
    </cfRule>
  </conditionalFormatting>
  <conditionalFormatting sqref="C214">
    <cfRule type="notContainsBlanks" dxfId="2435" priority="2042">
      <formula>LEN(TRIM(C214))&gt;0</formula>
    </cfRule>
  </conditionalFormatting>
  <conditionalFormatting sqref="G220">
    <cfRule type="notContainsBlanks" dxfId="2434" priority="2041">
      <formula>LEN(TRIM(G220))&gt;0</formula>
    </cfRule>
  </conditionalFormatting>
  <conditionalFormatting sqref="F220">
    <cfRule type="notContainsBlanks" dxfId="2433" priority="2040">
      <formula>LEN(TRIM(F220))&gt;0</formula>
    </cfRule>
  </conditionalFormatting>
  <conditionalFormatting sqref="E220">
    <cfRule type="notContainsBlanks" dxfId="2432" priority="2039">
      <formula>LEN(TRIM(E220))&gt;0</formula>
    </cfRule>
  </conditionalFormatting>
  <conditionalFormatting sqref="D220">
    <cfRule type="notContainsBlanks" dxfId="2431" priority="2038">
      <formula>LEN(TRIM(D220))&gt;0</formula>
    </cfRule>
  </conditionalFormatting>
  <conditionalFormatting sqref="C220">
    <cfRule type="notContainsBlanks" dxfId="2430" priority="2037">
      <formula>LEN(TRIM(C220))&gt;0</formula>
    </cfRule>
  </conditionalFormatting>
  <conditionalFormatting sqref="I214">
    <cfRule type="notContainsBlanks" dxfId="2429" priority="2036">
      <formula>LEN(TRIM(I214))&gt;0</formula>
    </cfRule>
  </conditionalFormatting>
  <conditionalFormatting sqref="I220">
    <cfRule type="notContainsBlanks" dxfId="2428" priority="2035">
      <formula>LEN(TRIM(I220))&gt;0</formula>
    </cfRule>
  </conditionalFormatting>
  <conditionalFormatting sqref="S226">
    <cfRule type="expression" dxfId="2427" priority="2033">
      <formula>$S$28&gt;0</formula>
    </cfRule>
    <cfRule type="cellIs" dxfId="2426" priority="2034" operator="equal">
      <formula>0</formula>
    </cfRule>
  </conditionalFormatting>
  <conditionalFormatting sqref="S227">
    <cfRule type="expression" dxfId="2425" priority="2031">
      <formula>$S$28&gt;0</formula>
    </cfRule>
    <cfRule type="cellIs" dxfId="2424" priority="2032" operator="equal">
      <formula>0</formula>
    </cfRule>
  </conditionalFormatting>
  <conditionalFormatting sqref="N223">
    <cfRule type="expression" dxfId="2423" priority="2028">
      <formula>N223=" "</formula>
    </cfRule>
    <cfRule type="expression" dxfId="2422" priority="2029">
      <formula>N223="NO PRESENTÓ CERTIFICADO"</formula>
    </cfRule>
    <cfRule type="expression" dxfId="2421" priority="2030">
      <formula>N223="PRESENTÓ CERTIFICADO"</formula>
    </cfRule>
  </conditionalFormatting>
  <conditionalFormatting sqref="O223">
    <cfRule type="cellIs" dxfId="2420" priority="2010" operator="equal">
      <formula>"PENDIENTE POR DESCRIPCIÓN"</formula>
    </cfRule>
    <cfRule type="cellIs" dxfId="2419" priority="2011" operator="equal">
      <formula>"DESCRIPCIÓN INSUFICIENTE"</formula>
    </cfRule>
    <cfRule type="cellIs" dxfId="2418" priority="2012" operator="equal">
      <formula>"NO ESTÁ ACORDE A ITEM 5.2.2 (T.R.)"</formula>
    </cfRule>
    <cfRule type="cellIs" dxfId="2417" priority="2013" operator="equal">
      <formula>"ACORDE A ITEM 5.2.2 (T.R.)"</formula>
    </cfRule>
    <cfRule type="cellIs" dxfId="2416" priority="2020" operator="equal">
      <formula>"PENDIENTE POR DESCRIPCIÓN"</formula>
    </cfRule>
    <cfRule type="cellIs" dxfId="2415" priority="2022" operator="equal">
      <formula>"DESCRIPCIÓN INSUFICIENTE"</formula>
    </cfRule>
    <cfRule type="cellIs" dxfId="2414" priority="2023" operator="equal">
      <formula>"NO ESTÁ ACORDE A ITEM 5.2.1 (T.R.)"</formula>
    </cfRule>
    <cfRule type="cellIs" dxfId="2413" priority="2024" operator="equal">
      <formula>"ACORDE A ITEM 5.2.1 (T.R.)"</formula>
    </cfRule>
  </conditionalFormatting>
  <conditionalFormatting sqref="Q223">
    <cfRule type="containsBlanks" dxfId="2412" priority="2015">
      <formula>LEN(TRIM(Q223))=0</formula>
    </cfRule>
    <cfRule type="cellIs" dxfId="2411" priority="2021" operator="equal">
      <formula>"REQUERIMIENTOS SUBSANADOS"</formula>
    </cfRule>
    <cfRule type="containsText" dxfId="2410" priority="2025" operator="containsText" text="NO SUBSANABLE">
      <formula>NOT(ISERROR(SEARCH("NO SUBSANABLE",Q223)))</formula>
    </cfRule>
    <cfRule type="containsText" dxfId="2409" priority="2026" operator="containsText" text="PENDIENTES POR SUBSANAR">
      <formula>NOT(ISERROR(SEARCH("PENDIENTES POR SUBSANAR",Q223)))</formula>
    </cfRule>
    <cfRule type="containsText" dxfId="2408" priority="2027" operator="containsText" text="SIN OBSERVACIÓN">
      <formula>NOT(ISERROR(SEARCH("SIN OBSERVACIÓN",Q223)))</formula>
    </cfRule>
  </conditionalFormatting>
  <conditionalFormatting sqref="R223">
    <cfRule type="containsBlanks" dxfId="2407" priority="2014">
      <formula>LEN(TRIM(R223))=0</formula>
    </cfRule>
    <cfRule type="cellIs" dxfId="2406" priority="2016" operator="equal">
      <formula>"NO CUMPLEN CON LO SOLICITADO"</formula>
    </cfRule>
    <cfRule type="cellIs" dxfId="2405" priority="2017" operator="equal">
      <formula>"CUMPLEN CON LO SOLICITADO"</formula>
    </cfRule>
    <cfRule type="cellIs" dxfId="2404" priority="2018" operator="equal">
      <formula>"PENDIENTES"</formula>
    </cfRule>
    <cfRule type="cellIs" dxfId="2403" priority="2019" operator="equal">
      <formula>"NINGUNO"</formula>
    </cfRule>
  </conditionalFormatting>
  <conditionalFormatting sqref="P214 P217 P220 P223">
    <cfRule type="expression" dxfId="2402" priority="2005">
      <formula>Q214="NO SUBSANABLE"</formula>
    </cfRule>
    <cfRule type="expression" dxfId="2401" priority="2006">
      <formula>Q214="REQUERIMIENTOS SUBSANADOS"</formula>
    </cfRule>
    <cfRule type="expression" dxfId="2400" priority="2007">
      <formula>Q214="PENDIENTES POR SUBSANAR"</formula>
    </cfRule>
    <cfRule type="expression" dxfId="2399" priority="2008">
      <formula>Q214="SIN OBSERVACIÓN"</formula>
    </cfRule>
    <cfRule type="containsBlanks" dxfId="2398" priority="2009">
      <formula>LEN(TRIM(P214))=0</formula>
    </cfRule>
  </conditionalFormatting>
  <conditionalFormatting sqref="N214">
    <cfRule type="expression" dxfId="2397" priority="2002">
      <formula>N214=" "</formula>
    </cfRule>
    <cfRule type="expression" dxfId="2396" priority="2003">
      <formula>N214="NO PRESENTÓ CERTIFICADO"</formula>
    </cfRule>
    <cfRule type="expression" dxfId="2395" priority="2004">
      <formula>N214="PRESENTÓ CERTIFICADO"</formula>
    </cfRule>
  </conditionalFormatting>
  <conditionalFormatting sqref="N217">
    <cfRule type="expression" dxfId="2394" priority="1999">
      <formula>N217=" "</formula>
    </cfRule>
    <cfRule type="expression" dxfId="2393" priority="2000">
      <formula>N217="NO PRESENTÓ CERTIFICADO"</formula>
    </cfRule>
    <cfRule type="expression" dxfId="2392" priority="2001">
      <formula>N217="PRESENTÓ CERTIFICADO"</formula>
    </cfRule>
  </conditionalFormatting>
  <conditionalFormatting sqref="N220">
    <cfRule type="expression" dxfId="2391" priority="1996">
      <formula>N220=" "</formula>
    </cfRule>
    <cfRule type="expression" dxfId="2390" priority="1997">
      <formula>N220="NO PRESENTÓ CERTIFICADO"</formula>
    </cfRule>
    <cfRule type="expression" dxfId="2389" priority="1998">
      <formula>N220="PRESENTÓ CERTIFICADO"</formula>
    </cfRule>
  </conditionalFormatting>
  <conditionalFormatting sqref="O214">
    <cfRule type="cellIs" dxfId="2388" priority="1988" operator="equal">
      <formula>"PENDIENTE POR DESCRIPCIÓN"</formula>
    </cfRule>
    <cfRule type="cellIs" dxfId="2387" priority="1989" operator="equal">
      <formula>"DESCRIPCIÓN INSUFICIENTE"</formula>
    </cfRule>
    <cfRule type="cellIs" dxfId="2386" priority="1990" operator="equal">
      <formula>"NO ESTÁ ACORDE A ITEM 5.2.2 (T.R.)"</formula>
    </cfRule>
    <cfRule type="cellIs" dxfId="2385" priority="1991" operator="equal">
      <formula>"ACORDE A ITEM 5.2.2 (T.R.)"</formula>
    </cfRule>
    <cfRule type="cellIs" dxfId="2384" priority="1992" operator="equal">
      <formula>"PENDIENTE POR DESCRIPCIÓN"</formula>
    </cfRule>
    <cfRule type="cellIs" dxfId="2383" priority="1993" operator="equal">
      <formula>"DESCRIPCIÓN INSUFICIENTE"</formula>
    </cfRule>
    <cfRule type="cellIs" dxfId="2382" priority="1994" operator="equal">
      <formula>"NO ESTÁ ACORDE A ITEM 5.2.1 (T.R.)"</formula>
    </cfRule>
    <cfRule type="cellIs" dxfId="2381" priority="1995" operator="equal">
      <formula>"ACORDE A ITEM 5.2.1 (T.R.)"</formula>
    </cfRule>
  </conditionalFormatting>
  <conditionalFormatting sqref="O217">
    <cfRule type="cellIs" dxfId="2380" priority="1980" operator="equal">
      <formula>"PENDIENTE POR DESCRIPCIÓN"</formula>
    </cfRule>
    <cfRule type="cellIs" dxfId="2379" priority="1981" operator="equal">
      <formula>"DESCRIPCIÓN INSUFICIENTE"</formula>
    </cfRule>
    <cfRule type="cellIs" dxfId="2378" priority="1982" operator="equal">
      <formula>"NO ESTÁ ACORDE A ITEM 5.2.2 (T.R.)"</formula>
    </cfRule>
    <cfRule type="cellIs" dxfId="2377" priority="1983" operator="equal">
      <formula>"ACORDE A ITEM 5.2.2 (T.R.)"</formula>
    </cfRule>
    <cfRule type="cellIs" dxfId="2376" priority="1984" operator="equal">
      <formula>"PENDIENTE POR DESCRIPCIÓN"</formula>
    </cfRule>
    <cfRule type="cellIs" dxfId="2375" priority="1985" operator="equal">
      <formula>"DESCRIPCIÓN INSUFICIENTE"</formula>
    </cfRule>
    <cfRule type="cellIs" dxfId="2374" priority="1986" operator="equal">
      <formula>"NO ESTÁ ACORDE A ITEM 5.2.1 (T.R.)"</formula>
    </cfRule>
    <cfRule type="cellIs" dxfId="2373" priority="1987" operator="equal">
      <formula>"ACORDE A ITEM 5.2.1 (T.R.)"</formula>
    </cfRule>
  </conditionalFormatting>
  <conditionalFormatting sqref="O220">
    <cfRule type="cellIs" dxfId="2372" priority="1972" operator="equal">
      <formula>"PENDIENTE POR DESCRIPCIÓN"</formula>
    </cfRule>
    <cfRule type="cellIs" dxfId="2371" priority="1973" operator="equal">
      <formula>"DESCRIPCIÓN INSUFICIENTE"</formula>
    </cfRule>
    <cfRule type="cellIs" dxfId="2370" priority="1974" operator="equal">
      <formula>"NO ESTÁ ACORDE A ITEM 5.2.2 (T.R.)"</formula>
    </cfRule>
    <cfRule type="cellIs" dxfId="2369" priority="1975" operator="equal">
      <formula>"ACORDE A ITEM 5.2.2 (T.R.)"</formula>
    </cfRule>
    <cfRule type="cellIs" dxfId="2368" priority="1976" operator="equal">
      <formula>"PENDIENTE POR DESCRIPCIÓN"</formula>
    </cfRule>
    <cfRule type="cellIs" dxfId="2367" priority="1977" operator="equal">
      <formula>"DESCRIPCIÓN INSUFICIENTE"</formula>
    </cfRule>
    <cfRule type="cellIs" dxfId="2366" priority="1978" operator="equal">
      <formula>"NO ESTÁ ACORDE A ITEM 5.2.1 (T.R.)"</formula>
    </cfRule>
    <cfRule type="cellIs" dxfId="2365" priority="1979" operator="equal">
      <formula>"ACORDE A ITEM 5.2.1 (T.R.)"</formula>
    </cfRule>
  </conditionalFormatting>
  <conditionalFormatting sqref="Q214">
    <cfRule type="containsBlanks" dxfId="2364" priority="1963">
      <formula>LEN(TRIM(Q214))=0</formula>
    </cfRule>
    <cfRule type="cellIs" dxfId="2363" priority="1968" operator="equal">
      <formula>"REQUERIMIENTOS SUBSANADOS"</formula>
    </cfRule>
    <cfRule type="containsText" dxfId="2362" priority="1969" operator="containsText" text="NO SUBSANABLE">
      <formula>NOT(ISERROR(SEARCH("NO SUBSANABLE",Q214)))</formula>
    </cfRule>
    <cfRule type="containsText" dxfId="2361" priority="1970" operator="containsText" text="PENDIENTES POR SUBSANAR">
      <formula>NOT(ISERROR(SEARCH("PENDIENTES POR SUBSANAR",Q214)))</formula>
    </cfRule>
    <cfRule type="containsText" dxfId="2360" priority="1971" operator="containsText" text="SIN OBSERVACIÓN">
      <formula>NOT(ISERROR(SEARCH("SIN OBSERVACIÓN",Q214)))</formula>
    </cfRule>
  </conditionalFormatting>
  <conditionalFormatting sqref="R214">
    <cfRule type="containsBlanks" dxfId="2359" priority="1962">
      <formula>LEN(TRIM(R214))=0</formula>
    </cfRule>
    <cfRule type="cellIs" dxfId="2358" priority="1964" operator="equal">
      <formula>"NO CUMPLEN CON LO SOLICITADO"</formula>
    </cfRule>
    <cfRule type="cellIs" dxfId="2357" priority="1965" operator="equal">
      <formula>"CUMPLEN CON LO SOLICITADO"</formula>
    </cfRule>
    <cfRule type="cellIs" dxfId="2356" priority="1966" operator="equal">
      <formula>"PENDIENTES"</formula>
    </cfRule>
    <cfRule type="cellIs" dxfId="2355" priority="1967" operator="equal">
      <formula>"NINGUNO"</formula>
    </cfRule>
  </conditionalFormatting>
  <conditionalFormatting sqref="Q217">
    <cfRule type="containsBlanks" dxfId="2354" priority="1953">
      <formula>LEN(TRIM(Q217))=0</formula>
    </cfRule>
    <cfRule type="cellIs" dxfId="2353" priority="1958" operator="equal">
      <formula>"REQUERIMIENTOS SUBSANADOS"</formula>
    </cfRule>
    <cfRule type="containsText" dxfId="2352" priority="1959" operator="containsText" text="NO SUBSANABLE">
      <formula>NOT(ISERROR(SEARCH("NO SUBSANABLE",Q217)))</formula>
    </cfRule>
    <cfRule type="containsText" dxfId="2351" priority="1960" operator="containsText" text="PENDIENTES POR SUBSANAR">
      <formula>NOT(ISERROR(SEARCH("PENDIENTES POR SUBSANAR",Q217)))</formula>
    </cfRule>
    <cfRule type="containsText" dxfId="2350" priority="1961" operator="containsText" text="SIN OBSERVACIÓN">
      <formula>NOT(ISERROR(SEARCH("SIN OBSERVACIÓN",Q217)))</formula>
    </cfRule>
  </conditionalFormatting>
  <conditionalFormatting sqref="R217">
    <cfRule type="containsBlanks" dxfId="2349" priority="1952">
      <formula>LEN(TRIM(R217))=0</formula>
    </cfRule>
    <cfRule type="cellIs" dxfId="2348" priority="1954" operator="equal">
      <formula>"NO CUMPLEN CON LO SOLICITADO"</formula>
    </cfRule>
    <cfRule type="cellIs" dxfId="2347" priority="1955" operator="equal">
      <formula>"CUMPLEN CON LO SOLICITADO"</formula>
    </cfRule>
    <cfRule type="cellIs" dxfId="2346" priority="1956" operator="equal">
      <formula>"PENDIENTES"</formula>
    </cfRule>
    <cfRule type="cellIs" dxfId="2345" priority="1957" operator="equal">
      <formula>"NINGUNO"</formula>
    </cfRule>
  </conditionalFormatting>
  <conditionalFormatting sqref="Q220">
    <cfRule type="containsBlanks" dxfId="2344" priority="1943">
      <formula>LEN(TRIM(Q220))=0</formula>
    </cfRule>
    <cfRule type="cellIs" dxfId="2343" priority="1948" operator="equal">
      <formula>"REQUERIMIENTOS SUBSANADOS"</formula>
    </cfRule>
    <cfRule type="containsText" dxfId="2342" priority="1949" operator="containsText" text="NO SUBSANABLE">
      <formula>NOT(ISERROR(SEARCH("NO SUBSANABLE",Q220)))</formula>
    </cfRule>
    <cfRule type="containsText" dxfId="2341" priority="1950" operator="containsText" text="PENDIENTES POR SUBSANAR">
      <formula>NOT(ISERROR(SEARCH("PENDIENTES POR SUBSANAR",Q220)))</formula>
    </cfRule>
    <cfRule type="containsText" dxfId="2340" priority="1951" operator="containsText" text="SIN OBSERVACIÓN">
      <formula>NOT(ISERROR(SEARCH("SIN OBSERVACIÓN",Q220)))</formula>
    </cfRule>
  </conditionalFormatting>
  <conditionalFormatting sqref="R220">
    <cfRule type="containsBlanks" dxfId="2339" priority="1942">
      <formula>LEN(TRIM(R220))=0</formula>
    </cfRule>
    <cfRule type="cellIs" dxfId="2338" priority="1944" operator="equal">
      <formula>"NO CUMPLEN CON LO SOLICITADO"</formula>
    </cfRule>
    <cfRule type="cellIs" dxfId="2337" priority="1945" operator="equal">
      <formula>"CUMPLEN CON LO SOLICITADO"</formula>
    </cfRule>
    <cfRule type="cellIs" dxfId="2336" priority="1946" operator="equal">
      <formula>"PENDIENTES"</formula>
    </cfRule>
    <cfRule type="cellIs" dxfId="2335" priority="1947" operator="equal">
      <formula>"NINGUNO"</formula>
    </cfRule>
  </conditionalFormatting>
  <conditionalFormatting sqref="M220">
    <cfRule type="expression" dxfId="2334" priority="1900">
      <formula>L220="NO CUMPLE"</formula>
    </cfRule>
    <cfRule type="expression" dxfId="2333" priority="1901">
      <formula>L220="CUMPLE"</formula>
    </cfRule>
  </conditionalFormatting>
  <conditionalFormatting sqref="L220:L221">
    <cfRule type="cellIs" dxfId="2332" priority="1898" operator="equal">
      <formula>"NO CUMPLE"</formula>
    </cfRule>
    <cfRule type="cellIs" dxfId="2331" priority="1899" operator="equal">
      <formula>"CUMPLE"</formula>
    </cfRule>
  </conditionalFormatting>
  <conditionalFormatting sqref="M221">
    <cfRule type="expression" dxfId="2330" priority="1896">
      <formula>L221="NO CUMPLE"</formula>
    </cfRule>
    <cfRule type="expression" dxfId="2329" priority="1897">
      <formula>L221="CUMPLE"</formula>
    </cfRule>
  </conditionalFormatting>
  <conditionalFormatting sqref="J214:J222">
    <cfRule type="cellIs" dxfId="2328" priority="1940" operator="equal">
      <formula>"NO CUMPLE"</formula>
    </cfRule>
    <cfRule type="cellIs" dxfId="2327" priority="1941" operator="equal">
      <formula>"CUMPLE"</formula>
    </cfRule>
  </conditionalFormatting>
  <conditionalFormatting sqref="K214">
    <cfRule type="expression" dxfId="2326" priority="1938">
      <formula>J214="NO CUMPLE"</formula>
    </cfRule>
    <cfRule type="expression" dxfId="2325" priority="1939">
      <formula>J214="CUMPLE"</formula>
    </cfRule>
  </conditionalFormatting>
  <conditionalFormatting sqref="K215:K216">
    <cfRule type="expression" dxfId="2324" priority="1936">
      <formula>J215="NO CUMPLE"</formula>
    </cfRule>
    <cfRule type="expression" dxfId="2323" priority="1937">
      <formula>J215="CUMPLE"</formula>
    </cfRule>
  </conditionalFormatting>
  <conditionalFormatting sqref="J223">
    <cfRule type="cellIs" dxfId="2322" priority="1934" operator="equal">
      <formula>"NO CUMPLE"</formula>
    </cfRule>
    <cfRule type="cellIs" dxfId="2321" priority="1935" operator="equal">
      <formula>"CUMPLE"</formula>
    </cfRule>
  </conditionalFormatting>
  <conditionalFormatting sqref="J224:J225">
    <cfRule type="cellIs" dxfId="2320" priority="1932" operator="equal">
      <formula>"NO CUMPLE"</formula>
    </cfRule>
    <cfRule type="cellIs" dxfId="2319" priority="1933" operator="equal">
      <formula>"CUMPLE"</formula>
    </cfRule>
  </conditionalFormatting>
  <conditionalFormatting sqref="K217">
    <cfRule type="expression" dxfId="2318" priority="1930">
      <formula>J217="NO CUMPLE"</formula>
    </cfRule>
    <cfRule type="expression" dxfId="2317" priority="1931">
      <formula>J217="CUMPLE"</formula>
    </cfRule>
  </conditionalFormatting>
  <conditionalFormatting sqref="K218:K219">
    <cfRule type="expression" dxfId="2316" priority="1928">
      <formula>J218="NO CUMPLE"</formula>
    </cfRule>
    <cfRule type="expression" dxfId="2315" priority="1929">
      <formula>J218="CUMPLE"</formula>
    </cfRule>
  </conditionalFormatting>
  <conditionalFormatting sqref="K220">
    <cfRule type="expression" dxfId="2314" priority="1926">
      <formula>J220="NO CUMPLE"</formula>
    </cfRule>
    <cfRule type="expression" dxfId="2313" priority="1927">
      <formula>J220="CUMPLE"</formula>
    </cfRule>
  </conditionalFormatting>
  <conditionalFormatting sqref="K221:K222">
    <cfRule type="expression" dxfId="2312" priority="1924">
      <formula>J221="NO CUMPLE"</formula>
    </cfRule>
    <cfRule type="expression" dxfId="2311" priority="1925">
      <formula>J221="CUMPLE"</formula>
    </cfRule>
  </conditionalFormatting>
  <conditionalFormatting sqref="K223">
    <cfRule type="expression" dxfId="2310" priority="1922">
      <formula>J223="NO CUMPLE"</formula>
    </cfRule>
    <cfRule type="expression" dxfId="2309" priority="1923">
      <formula>J223="CUMPLE"</formula>
    </cfRule>
  </conditionalFormatting>
  <conditionalFormatting sqref="K224:K225">
    <cfRule type="expression" dxfId="2308" priority="1920">
      <formula>J224="NO CUMPLE"</formula>
    </cfRule>
    <cfRule type="expression" dxfId="2307" priority="1921">
      <formula>J224="CUMPLE"</formula>
    </cfRule>
  </conditionalFormatting>
  <conditionalFormatting sqref="M215">
    <cfRule type="expression" dxfId="2306" priority="1908">
      <formula>L215="NO CUMPLE"</formula>
    </cfRule>
    <cfRule type="expression" dxfId="2305" priority="1909">
      <formula>L215="CUMPLE"</formula>
    </cfRule>
  </conditionalFormatting>
  <conditionalFormatting sqref="L214:L215">
    <cfRule type="cellIs" dxfId="2304" priority="1910" operator="equal">
      <formula>"NO CUMPLE"</formula>
    </cfRule>
    <cfRule type="cellIs" dxfId="2303" priority="1911" operator="equal">
      <formula>"CUMPLE"</formula>
    </cfRule>
  </conditionalFormatting>
  <conditionalFormatting sqref="M214">
    <cfRule type="expression" dxfId="2302" priority="1912">
      <formula>L214="NO CUMPLE"</formula>
    </cfRule>
    <cfRule type="expression" dxfId="2301" priority="1913">
      <formula>L214="CUMPLE"</formula>
    </cfRule>
  </conditionalFormatting>
  <conditionalFormatting sqref="M212">
    <cfRule type="expression" dxfId="2300" priority="1914">
      <formula>L212="NO CUMPLE"</formula>
    </cfRule>
    <cfRule type="expression" dxfId="2299" priority="1915">
      <formula>L212="CUMPLE"</formula>
    </cfRule>
  </conditionalFormatting>
  <conditionalFormatting sqref="M211">
    <cfRule type="expression" dxfId="2298" priority="1918">
      <formula>L211="NO CUMPLE"</formula>
    </cfRule>
    <cfRule type="expression" dxfId="2297" priority="1919">
      <formula>L211="CUMPLE"</formula>
    </cfRule>
  </conditionalFormatting>
  <conditionalFormatting sqref="L211:L212">
    <cfRule type="cellIs" dxfId="2296" priority="1916" operator="equal">
      <formula>"NO CUMPLE"</formula>
    </cfRule>
    <cfRule type="cellIs" dxfId="2295" priority="1917" operator="equal">
      <formula>"CUMPLE"</formula>
    </cfRule>
  </conditionalFormatting>
  <conditionalFormatting sqref="M218">
    <cfRule type="expression" dxfId="2294" priority="1902">
      <formula>L218="NO CUMPLE"</formula>
    </cfRule>
    <cfRule type="expression" dxfId="2293" priority="1903">
      <formula>L218="CUMPLE"</formula>
    </cfRule>
  </conditionalFormatting>
  <conditionalFormatting sqref="M217">
    <cfRule type="expression" dxfId="2292" priority="1906">
      <formula>L217="NO CUMPLE"</formula>
    </cfRule>
    <cfRule type="expression" dxfId="2291" priority="1907">
      <formula>L217="CUMPLE"</formula>
    </cfRule>
  </conditionalFormatting>
  <conditionalFormatting sqref="L217:L218">
    <cfRule type="cellIs" dxfId="2290" priority="1904" operator="equal">
      <formula>"NO CUMPLE"</formula>
    </cfRule>
    <cfRule type="cellIs" dxfId="2289" priority="1905" operator="equal">
      <formula>"CUMPLE"</formula>
    </cfRule>
  </conditionalFormatting>
  <conditionalFormatting sqref="M224">
    <cfRule type="expression" dxfId="2288" priority="1890">
      <formula>L224="NO CUMPLE"</formula>
    </cfRule>
    <cfRule type="expression" dxfId="2287" priority="1891">
      <formula>L224="CUMPLE"</formula>
    </cfRule>
  </conditionalFormatting>
  <conditionalFormatting sqref="M223">
    <cfRule type="expression" dxfId="2286" priority="1894">
      <formula>L223="NO CUMPLE"</formula>
    </cfRule>
    <cfRule type="expression" dxfId="2285" priority="1895">
      <formula>L223="CUMPLE"</formula>
    </cfRule>
  </conditionalFormatting>
  <conditionalFormatting sqref="L223:L224">
    <cfRule type="cellIs" dxfId="2284" priority="1892" operator="equal">
      <formula>"NO CUMPLE"</formula>
    </cfRule>
    <cfRule type="cellIs" dxfId="2283" priority="1893" operator="equal">
      <formula>"CUMPLE"</formula>
    </cfRule>
  </conditionalFormatting>
  <conditionalFormatting sqref="J211">
    <cfRule type="cellIs" dxfId="2282" priority="1888" operator="equal">
      <formula>"NO CUMPLE"</formula>
    </cfRule>
    <cfRule type="cellIs" dxfId="2281" priority="1889" operator="equal">
      <formula>"CUMPLE"</formula>
    </cfRule>
  </conditionalFormatting>
  <conditionalFormatting sqref="J212:J213">
    <cfRule type="cellIs" dxfId="2280" priority="1886" operator="equal">
      <formula>"NO CUMPLE"</formula>
    </cfRule>
    <cfRule type="cellIs" dxfId="2279" priority="1887" operator="equal">
      <formula>"CUMPLE"</formula>
    </cfRule>
  </conditionalFormatting>
  <conditionalFormatting sqref="K211">
    <cfRule type="expression" dxfId="2278" priority="1884">
      <formula>J211="NO CUMPLE"</formula>
    </cfRule>
    <cfRule type="expression" dxfId="2277" priority="1885">
      <formula>J211="CUMPLE"</formula>
    </cfRule>
  </conditionalFormatting>
  <conditionalFormatting sqref="K212:K213">
    <cfRule type="expression" dxfId="2276" priority="1882">
      <formula>J212="NO CUMPLE"</formula>
    </cfRule>
    <cfRule type="expression" dxfId="2275" priority="1883">
      <formula>J212="CUMPLE"</formula>
    </cfRule>
  </conditionalFormatting>
  <conditionalFormatting sqref="M41">
    <cfRule type="expression" dxfId="2274" priority="1868">
      <formula>L41="NO CUMPLE"</formula>
    </cfRule>
    <cfRule type="expression" dxfId="2273" priority="1869">
      <formula>L41="CUMPLE"</formula>
    </cfRule>
  </conditionalFormatting>
  <conditionalFormatting sqref="M42">
    <cfRule type="expression" dxfId="2272" priority="1866">
      <formula>L42="NO CUMPLE"</formula>
    </cfRule>
    <cfRule type="expression" dxfId="2271" priority="1867">
      <formula>L42="CUMPLE"</formula>
    </cfRule>
  </conditionalFormatting>
  <conditionalFormatting sqref="M17">
    <cfRule type="expression" dxfId="2270" priority="1878">
      <formula>L17="NO CUMPLE"</formula>
    </cfRule>
    <cfRule type="expression" dxfId="2269" priority="1879">
      <formula>L17="CUMPLE"</formula>
    </cfRule>
  </conditionalFormatting>
  <conditionalFormatting sqref="M16">
    <cfRule type="expression" dxfId="2268" priority="1880">
      <formula>L16="NO CUMPLE"</formula>
    </cfRule>
    <cfRule type="expression" dxfId="2267" priority="1881">
      <formula>L16="CUMPLE"</formula>
    </cfRule>
  </conditionalFormatting>
  <conditionalFormatting sqref="M36">
    <cfRule type="expression" dxfId="2266" priority="1874">
      <formula>L36="NO CUMPLE"</formula>
    </cfRule>
    <cfRule type="expression" dxfId="2265" priority="1875">
      <formula>L36="CUMPLE"</formula>
    </cfRule>
  </conditionalFormatting>
  <conditionalFormatting sqref="M35">
    <cfRule type="expression" dxfId="2264" priority="1876">
      <formula>L35="NO CUMPLE"</formula>
    </cfRule>
    <cfRule type="expression" dxfId="2263" priority="1877">
      <formula>L35="CUMPLE"</formula>
    </cfRule>
  </conditionalFormatting>
  <conditionalFormatting sqref="M39">
    <cfRule type="expression" dxfId="2262" priority="1870">
      <formula>L39="NO CUMPLE"</formula>
    </cfRule>
    <cfRule type="expression" dxfId="2261" priority="1871">
      <formula>L39="CUMPLE"</formula>
    </cfRule>
  </conditionalFormatting>
  <conditionalFormatting sqref="M38">
    <cfRule type="expression" dxfId="2260" priority="1872">
      <formula>L38="NO CUMPLE"</formula>
    </cfRule>
    <cfRule type="expression" dxfId="2259" priority="1873">
      <formula>L38="CUMPLE"</formula>
    </cfRule>
  </conditionalFormatting>
  <conditionalFormatting sqref="M45">
    <cfRule type="expression" dxfId="2258" priority="1862">
      <formula>L45="NO CUMPLE"</formula>
    </cfRule>
    <cfRule type="expression" dxfId="2257" priority="1863">
      <formula>L45="CUMPLE"</formula>
    </cfRule>
  </conditionalFormatting>
  <conditionalFormatting sqref="M44">
    <cfRule type="expression" dxfId="2256" priority="1864">
      <formula>L44="NO CUMPLE"</formula>
    </cfRule>
    <cfRule type="expression" dxfId="2255" priority="1865">
      <formula>L44="CUMPLE"</formula>
    </cfRule>
  </conditionalFormatting>
  <conditionalFormatting sqref="M48">
    <cfRule type="expression" dxfId="2254" priority="1858">
      <formula>L48="NO CUMPLE"</formula>
    </cfRule>
    <cfRule type="expression" dxfId="2253" priority="1859">
      <formula>L48="CUMPLE"</formula>
    </cfRule>
  </conditionalFormatting>
  <conditionalFormatting sqref="M47">
    <cfRule type="expression" dxfId="2252" priority="1860">
      <formula>L47="NO CUMPLE"</formula>
    </cfRule>
    <cfRule type="expression" dxfId="2251" priority="1861">
      <formula>L47="CUMPLE"</formula>
    </cfRule>
  </conditionalFormatting>
  <conditionalFormatting sqref="B248">
    <cfRule type="cellIs" dxfId="2250" priority="1856" operator="equal">
      <formula>"NO CUMPLE CON LA EXPERIENCIA REQUERIDA"</formula>
    </cfRule>
    <cfRule type="cellIs" dxfId="2249" priority="1857" operator="equal">
      <formula>"CUMPLE CON LA EXPERIENCIA REQUERIDA"</formula>
    </cfRule>
  </conditionalFormatting>
  <conditionalFormatting sqref="H233 H236 H239 H242 H245">
    <cfRule type="notContainsBlanks" dxfId="2248" priority="1855">
      <formula>LEN(TRIM(H233))&gt;0</formula>
    </cfRule>
  </conditionalFormatting>
  <conditionalFormatting sqref="G233">
    <cfRule type="notContainsBlanks" dxfId="2247" priority="1854">
      <formula>LEN(TRIM(G233))&gt;0</formula>
    </cfRule>
  </conditionalFormatting>
  <conditionalFormatting sqref="F233">
    <cfRule type="notContainsBlanks" dxfId="2246" priority="1853">
      <formula>LEN(TRIM(F233))&gt;0</formula>
    </cfRule>
  </conditionalFormatting>
  <conditionalFormatting sqref="E233">
    <cfRule type="notContainsBlanks" dxfId="2245" priority="1852">
      <formula>LEN(TRIM(E233))&gt;0</formula>
    </cfRule>
  </conditionalFormatting>
  <conditionalFormatting sqref="D233">
    <cfRule type="notContainsBlanks" dxfId="2244" priority="1851">
      <formula>LEN(TRIM(D233))&gt;0</formula>
    </cfRule>
  </conditionalFormatting>
  <conditionalFormatting sqref="C233">
    <cfRule type="notContainsBlanks" dxfId="2243" priority="1850">
      <formula>LEN(TRIM(C233))&gt;0</formula>
    </cfRule>
  </conditionalFormatting>
  <conditionalFormatting sqref="I233">
    <cfRule type="notContainsBlanks" dxfId="2242" priority="1849">
      <formula>LEN(TRIM(I233))&gt;0</formula>
    </cfRule>
  </conditionalFormatting>
  <conditionalFormatting sqref="S236">
    <cfRule type="cellIs" dxfId="2241" priority="1847" operator="greaterThan">
      <formula>0</formula>
    </cfRule>
    <cfRule type="top10" dxfId="2240" priority="1848" rank="10"/>
  </conditionalFormatting>
  <conditionalFormatting sqref="S239">
    <cfRule type="cellIs" dxfId="2239" priority="1845" operator="greaterThan">
      <formula>0</formula>
    </cfRule>
    <cfRule type="top10" dxfId="2238" priority="1846" rank="10"/>
  </conditionalFormatting>
  <conditionalFormatting sqref="G239">
    <cfRule type="notContainsBlanks" dxfId="2237" priority="1844">
      <formula>LEN(TRIM(G239))&gt;0</formula>
    </cfRule>
  </conditionalFormatting>
  <conditionalFormatting sqref="F239">
    <cfRule type="notContainsBlanks" dxfId="2236" priority="1843">
      <formula>LEN(TRIM(F239))&gt;0</formula>
    </cfRule>
  </conditionalFormatting>
  <conditionalFormatting sqref="E239">
    <cfRule type="notContainsBlanks" dxfId="2235" priority="1842">
      <formula>LEN(TRIM(E239))&gt;0</formula>
    </cfRule>
  </conditionalFormatting>
  <conditionalFormatting sqref="D239">
    <cfRule type="notContainsBlanks" dxfId="2234" priority="1841">
      <formula>LEN(TRIM(D239))&gt;0</formula>
    </cfRule>
  </conditionalFormatting>
  <conditionalFormatting sqref="C239">
    <cfRule type="notContainsBlanks" dxfId="2233" priority="1840">
      <formula>LEN(TRIM(C239))&gt;0</formula>
    </cfRule>
  </conditionalFormatting>
  <conditionalFormatting sqref="I239">
    <cfRule type="notContainsBlanks" dxfId="2232" priority="1839">
      <formula>LEN(TRIM(I239))&gt;0</formula>
    </cfRule>
  </conditionalFormatting>
  <conditionalFormatting sqref="S242">
    <cfRule type="cellIs" dxfId="2231" priority="1837" operator="greaterThan">
      <formula>0</formula>
    </cfRule>
    <cfRule type="top10" dxfId="2230" priority="1838" rank="10"/>
  </conditionalFormatting>
  <conditionalFormatting sqref="S245">
    <cfRule type="cellIs" dxfId="2229" priority="1835" operator="greaterThan">
      <formula>0</formula>
    </cfRule>
    <cfRule type="top10" dxfId="2228" priority="1836" rank="10"/>
  </conditionalFormatting>
  <conditionalFormatting sqref="G245">
    <cfRule type="notContainsBlanks" dxfId="2227" priority="1834">
      <formula>LEN(TRIM(G245))&gt;0</formula>
    </cfRule>
  </conditionalFormatting>
  <conditionalFormatting sqref="F245">
    <cfRule type="notContainsBlanks" dxfId="2226" priority="1833">
      <formula>LEN(TRIM(F245))&gt;0</formula>
    </cfRule>
  </conditionalFormatting>
  <conditionalFormatting sqref="E245">
    <cfRule type="notContainsBlanks" dxfId="2225" priority="1832">
      <formula>LEN(TRIM(E245))&gt;0</formula>
    </cfRule>
  </conditionalFormatting>
  <conditionalFormatting sqref="D245">
    <cfRule type="notContainsBlanks" dxfId="2224" priority="1831">
      <formula>LEN(TRIM(D245))&gt;0</formula>
    </cfRule>
  </conditionalFormatting>
  <conditionalFormatting sqref="C245">
    <cfRule type="notContainsBlanks" dxfId="2223" priority="1830">
      <formula>LEN(TRIM(C245))&gt;0</formula>
    </cfRule>
  </conditionalFormatting>
  <conditionalFormatting sqref="I245">
    <cfRule type="notContainsBlanks" dxfId="2222" priority="1829">
      <formula>LEN(TRIM(I245))&gt;0</formula>
    </cfRule>
  </conditionalFormatting>
  <conditionalFormatting sqref="G236">
    <cfRule type="notContainsBlanks" dxfId="2221" priority="1828">
      <formula>LEN(TRIM(G236))&gt;0</formula>
    </cfRule>
  </conditionalFormatting>
  <conditionalFormatting sqref="F236">
    <cfRule type="notContainsBlanks" dxfId="2220" priority="1827">
      <formula>LEN(TRIM(F236))&gt;0</formula>
    </cfRule>
  </conditionalFormatting>
  <conditionalFormatting sqref="E236">
    <cfRule type="notContainsBlanks" dxfId="2219" priority="1826">
      <formula>LEN(TRIM(E236))&gt;0</formula>
    </cfRule>
  </conditionalFormatting>
  <conditionalFormatting sqref="D236">
    <cfRule type="notContainsBlanks" dxfId="2218" priority="1825">
      <formula>LEN(TRIM(D236))&gt;0</formula>
    </cfRule>
  </conditionalFormatting>
  <conditionalFormatting sqref="C236">
    <cfRule type="notContainsBlanks" dxfId="2217" priority="1824">
      <formula>LEN(TRIM(C236))&gt;0</formula>
    </cfRule>
  </conditionalFormatting>
  <conditionalFormatting sqref="G242">
    <cfRule type="notContainsBlanks" dxfId="2216" priority="1823">
      <formula>LEN(TRIM(G242))&gt;0</formula>
    </cfRule>
  </conditionalFormatting>
  <conditionalFormatting sqref="F242">
    <cfRule type="notContainsBlanks" dxfId="2215" priority="1822">
      <formula>LEN(TRIM(F242))&gt;0</formula>
    </cfRule>
  </conditionalFormatting>
  <conditionalFormatting sqref="E242">
    <cfRule type="notContainsBlanks" dxfId="2214" priority="1821">
      <formula>LEN(TRIM(E242))&gt;0</formula>
    </cfRule>
  </conditionalFormatting>
  <conditionalFormatting sqref="D242">
    <cfRule type="notContainsBlanks" dxfId="2213" priority="1820">
      <formula>LEN(TRIM(D242))&gt;0</formula>
    </cfRule>
  </conditionalFormatting>
  <conditionalFormatting sqref="C242">
    <cfRule type="notContainsBlanks" dxfId="2212" priority="1819">
      <formula>LEN(TRIM(C242))&gt;0</formula>
    </cfRule>
  </conditionalFormatting>
  <conditionalFormatting sqref="I242">
    <cfRule type="notContainsBlanks" dxfId="2211" priority="1818">
      <formula>LEN(TRIM(I242))&gt;0</formula>
    </cfRule>
  </conditionalFormatting>
  <conditionalFormatting sqref="S248">
    <cfRule type="expression" dxfId="2210" priority="1816">
      <formula>$S$28&gt;0</formula>
    </cfRule>
    <cfRule type="cellIs" dxfId="2209" priority="1817" operator="equal">
      <formula>0</formula>
    </cfRule>
  </conditionalFormatting>
  <conditionalFormatting sqref="S249">
    <cfRule type="expression" dxfId="2208" priority="1814">
      <formula>$S$28&gt;0</formula>
    </cfRule>
    <cfRule type="cellIs" dxfId="2207" priority="1815" operator="equal">
      <formula>0</formula>
    </cfRule>
  </conditionalFormatting>
  <conditionalFormatting sqref="N245">
    <cfRule type="expression" dxfId="2206" priority="1811">
      <formula>N245=" "</formula>
    </cfRule>
    <cfRule type="expression" dxfId="2205" priority="1812">
      <formula>N245="NO PRESENTÓ CERTIFICADO"</formula>
    </cfRule>
    <cfRule type="expression" dxfId="2204" priority="1813">
      <formula>N245="PRESENTÓ CERTIFICADO"</formula>
    </cfRule>
  </conditionalFormatting>
  <conditionalFormatting sqref="O245">
    <cfRule type="cellIs" dxfId="2203" priority="1793" operator="equal">
      <formula>"PENDIENTE POR DESCRIPCIÓN"</formula>
    </cfRule>
    <cfRule type="cellIs" dxfId="2202" priority="1794" operator="equal">
      <formula>"DESCRIPCIÓN INSUFICIENTE"</formula>
    </cfRule>
    <cfRule type="cellIs" dxfId="2201" priority="1795" operator="equal">
      <formula>"NO ESTÁ ACORDE A ITEM 5.2.2 (T.R.)"</formula>
    </cfRule>
    <cfRule type="cellIs" dxfId="2200" priority="1796" operator="equal">
      <formula>"ACORDE A ITEM 5.2.2 (T.R.)"</formula>
    </cfRule>
    <cfRule type="cellIs" dxfId="2199" priority="1803" operator="equal">
      <formula>"PENDIENTE POR DESCRIPCIÓN"</formula>
    </cfRule>
    <cfRule type="cellIs" dxfId="2198" priority="1805" operator="equal">
      <formula>"DESCRIPCIÓN INSUFICIENTE"</formula>
    </cfRule>
    <cfRule type="cellIs" dxfId="2197" priority="1806" operator="equal">
      <formula>"NO ESTÁ ACORDE A ITEM 5.2.1 (T.R.)"</formula>
    </cfRule>
    <cfRule type="cellIs" dxfId="2196" priority="1807" operator="equal">
      <formula>"ACORDE A ITEM 5.2.1 (T.R.)"</formula>
    </cfRule>
  </conditionalFormatting>
  <conditionalFormatting sqref="Q245">
    <cfRule type="containsBlanks" dxfId="2195" priority="1798">
      <formula>LEN(TRIM(Q245))=0</formula>
    </cfRule>
    <cfRule type="cellIs" dxfId="2194" priority="1804" operator="equal">
      <formula>"REQUERIMIENTOS SUBSANADOS"</formula>
    </cfRule>
    <cfRule type="containsText" dxfId="2193" priority="1808" operator="containsText" text="NO SUBSANABLE">
      <formula>NOT(ISERROR(SEARCH("NO SUBSANABLE",Q245)))</formula>
    </cfRule>
    <cfRule type="containsText" dxfId="2192" priority="1809" operator="containsText" text="PENDIENTES POR SUBSANAR">
      <formula>NOT(ISERROR(SEARCH("PENDIENTES POR SUBSANAR",Q245)))</formula>
    </cfRule>
    <cfRule type="containsText" dxfId="2191" priority="1810" operator="containsText" text="SIN OBSERVACIÓN">
      <formula>NOT(ISERROR(SEARCH("SIN OBSERVACIÓN",Q245)))</formula>
    </cfRule>
  </conditionalFormatting>
  <conditionalFormatting sqref="R245">
    <cfRule type="containsBlanks" dxfId="2190" priority="1797">
      <formula>LEN(TRIM(R245))=0</formula>
    </cfRule>
    <cfRule type="cellIs" dxfId="2189" priority="1799" operator="equal">
      <formula>"NO CUMPLEN CON LO SOLICITADO"</formula>
    </cfRule>
    <cfRule type="cellIs" dxfId="2188" priority="1800" operator="equal">
      <formula>"CUMPLEN CON LO SOLICITADO"</formula>
    </cfRule>
    <cfRule type="cellIs" dxfId="2187" priority="1801" operator="equal">
      <formula>"PENDIENTES"</formula>
    </cfRule>
    <cfRule type="cellIs" dxfId="2186" priority="1802" operator="equal">
      <formula>"NINGUNO"</formula>
    </cfRule>
  </conditionalFormatting>
  <conditionalFormatting sqref="P242 P245">
    <cfRule type="expression" dxfId="2185" priority="1788">
      <formula>Q242="NO SUBSANABLE"</formula>
    </cfRule>
    <cfRule type="expression" dxfId="2184" priority="1789">
      <formula>Q242="REQUERIMIENTOS SUBSANADOS"</formula>
    </cfRule>
    <cfRule type="expression" dxfId="2183" priority="1790">
      <formula>Q242="PENDIENTES POR SUBSANAR"</formula>
    </cfRule>
    <cfRule type="expression" dxfId="2182" priority="1791">
      <formula>Q242="SIN OBSERVACIÓN"</formula>
    </cfRule>
    <cfRule type="containsBlanks" dxfId="2181" priority="1792">
      <formula>LEN(TRIM(P242))=0</formula>
    </cfRule>
  </conditionalFormatting>
  <conditionalFormatting sqref="N242">
    <cfRule type="expression" dxfId="2180" priority="1785">
      <formula>N242=" "</formula>
    </cfRule>
    <cfRule type="expression" dxfId="2179" priority="1786">
      <formula>N242="NO PRESENTÓ CERTIFICADO"</formula>
    </cfRule>
    <cfRule type="expression" dxfId="2178" priority="1787">
      <formula>N242="PRESENTÓ CERTIFICADO"</formula>
    </cfRule>
  </conditionalFormatting>
  <conditionalFormatting sqref="O242">
    <cfRule type="cellIs" dxfId="2177" priority="1777" operator="equal">
      <formula>"PENDIENTE POR DESCRIPCIÓN"</formula>
    </cfRule>
    <cfRule type="cellIs" dxfId="2176" priority="1778" operator="equal">
      <formula>"DESCRIPCIÓN INSUFICIENTE"</formula>
    </cfRule>
    <cfRule type="cellIs" dxfId="2175" priority="1779" operator="equal">
      <formula>"NO ESTÁ ACORDE A ITEM 5.2.2 (T.R.)"</formula>
    </cfRule>
    <cfRule type="cellIs" dxfId="2174" priority="1780" operator="equal">
      <formula>"ACORDE A ITEM 5.2.2 (T.R.)"</formula>
    </cfRule>
    <cfRule type="cellIs" dxfId="2173" priority="1781" operator="equal">
      <formula>"PENDIENTE POR DESCRIPCIÓN"</formula>
    </cfRule>
    <cfRule type="cellIs" dxfId="2172" priority="1782" operator="equal">
      <formula>"DESCRIPCIÓN INSUFICIENTE"</formula>
    </cfRule>
    <cfRule type="cellIs" dxfId="2171" priority="1783" operator="equal">
      <formula>"NO ESTÁ ACORDE A ITEM 5.2.1 (T.R.)"</formula>
    </cfRule>
    <cfRule type="cellIs" dxfId="2170" priority="1784" operator="equal">
      <formula>"ACORDE A ITEM 5.2.1 (T.R.)"</formula>
    </cfRule>
  </conditionalFormatting>
  <conditionalFormatting sqref="Q242">
    <cfRule type="containsBlanks" dxfId="2169" priority="1768">
      <formula>LEN(TRIM(Q242))=0</formula>
    </cfRule>
    <cfRule type="cellIs" dxfId="2168" priority="1773" operator="equal">
      <formula>"REQUERIMIENTOS SUBSANADOS"</formula>
    </cfRule>
    <cfRule type="containsText" dxfId="2167" priority="1774" operator="containsText" text="NO SUBSANABLE">
      <formula>NOT(ISERROR(SEARCH("NO SUBSANABLE",Q242)))</formula>
    </cfRule>
    <cfRule type="containsText" dxfId="2166" priority="1775" operator="containsText" text="PENDIENTES POR SUBSANAR">
      <formula>NOT(ISERROR(SEARCH("PENDIENTES POR SUBSANAR",Q242)))</formula>
    </cfRule>
    <cfRule type="containsText" dxfId="2165" priority="1776" operator="containsText" text="SIN OBSERVACIÓN">
      <formula>NOT(ISERROR(SEARCH("SIN OBSERVACIÓN",Q242)))</formula>
    </cfRule>
  </conditionalFormatting>
  <conditionalFormatting sqref="R242">
    <cfRule type="containsBlanks" dxfId="2164" priority="1767">
      <formula>LEN(TRIM(R242))=0</formula>
    </cfRule>
    <cfRule type="cellIs" dxfId="2163" priority="1769" operator="equal">
      <formula>"NO CUMPLEN CON LO SOLICITADO"</formula>
    </cfRule>
    <cfRule type="cellIs" dxfId="2162" priority="1770" operator="equal">
      <formula>"CUMPLEN CON LO SOLICITADO"</formula>
    </cfRule>
    <cfRule type="cellIs" dxfId="2161" priority="1771" operator="equal">
      <formula>"PENDIENTES"</formula>
    </cfRule>
    <cfRule type="cellIs" dxfId="2160" priority="1772" operator="equal">
      <formula>"NINGUNO"</formula>
    </cfRule>
  </conditionalFormatting>
  <conditionalFormatting sqref="M242">
    <cfRule type="expression" dxfId="2159" priority="1725">
      <formula>L242="NO CUMPLE"</formula>
    </cfRule>
    <cfRule type="expression" dxfId="2158" priority="1726">
      <formula>L242="CUMPLE"</formula>
    </cfRule>
  </conditionalFormatting>
  <conditionalFormatting sqref="L242:L243">
    <cfRule type="cellIs" dxfId="2157" priority="1723" operator="equal">
      <formula>"NO CUMPLE"</formula>
    </cfRule>
    <cfRule type="cellIs" dxfId="2156" priority="1724" operator="equal">
      <formula>"CUMPLE"</formula>
    </cfRule>
  </conditionalFormatting>
  <conditionalFormatting sqref="M243">
    <cfRule type="expression" dxfId="2155" priority="1721">
      <formula>L243="NO CUMPLE"</formula>
    </cfRule>
    <cfRule type="expression" dxfId="2154" priority="1722">
      <formula>L243="CUMPLE"</formula>
    </cfRule>
  </conditionalFormatting>
  <conditionalFormatting sqref="J242:J244">
    <cfRule type="cellIs" dxfId="2153" priority="1765" operator="equal">
      <formula>"NO CUMPLE"</formula>
    </cfRule>
    <cfRule type="cellIs" dxfId="2152" priority="1766" operator="equal">
      <formula>"CUMPLE"</formula>
    </cfRule>
  </conditionalFormatting>
  <conditionalFormatting sqref="K236">
    <cfRule type="expression" dxfId="2151" priority="1763">
      <formula>J236="NO CUMPLE"</formula>
    </cfRule>
    <cfRule type="expression" dxfId="2150" priority="1764">
      <formula>J236="CUMPLE"</formula>
    </cfRule>
  </conditionalFormatting>
  <conditionalFormatting sqref="K237:K238">
    <cfRule type="expression" dxfId="2149" priority="1761">
      <formula>J237="NO CUMPLE"</formula>
    </cfRule>
    <cfRule type="expression" dxfId="2148" priority="1762">
      <formula>J237="CUMPLE"</formula>
    </cfRule>
  </conditionalFormatting>
  <conditionalFormatting sqref="J245">
    <cfRule type="cellIs" dxfId="2147" priority="1759" operator="equal">
      <formula>"NO CUMPLE"</formula>
    </cfRule>
    <cfRule type="cellIs" dxfId="2146" priority="1760" operator="equal">
      <formula>"CUMPLE"</formula>
    </cfRule>
  </conditionalFormatting>
  <conditionalFormatting sqref="J246:J247">
    <cfRule type="cellIs" dxfId="2145" priority="1757" operator="equal">
      <formula>"NO CUMPLE"</formula>
    </cfRule>
    <cfRule type="cellIs" dxfId="2144" priority="1758" operator="equal">
      <formula>"CUMPLE"</formula>
    </cfRule>
  </conditionalFormatting>
  <conditionalFormatting sqref="K239">
    <cfRule type="expression" dxfId="2143" priority="1755">
      <formula>J239="NO CUMPLE"</formula>
    </cfRule>
    <cfRule type="expression" dxfId="2142" priority="1756">
      <formula>J239="CUMPLE"</formula>
    </cfRule>
  </conditionalFormatting>
  <conditionalFormatting sqref="K240:K241">
    <cfRule type="expression" dxfId="2141" priority="1753">
      <formula>J240="NO CUMPLE"</formula>
    </cfRule>
    <cfRule type="expression" dxfId="2140" priority="1754">
      <formula>J240="CUMPLE"</formula>
    </cfRule>
  </conditionalFormatting>
  <conditionalFormatting sqref="K242">
    <cfRule type="expression" dxfId="2139" priority="1751">
      <formula>J242="NO CUMPLE"</formula>
    </cfRule>
    <cfRule type="expression" dxfId="2138" priority="1752">
      <formula>J242="CUMPLE"</formula>
    </cfRule>
  </conditionalFormatting>
  <conditionalFormatting sqref="K243:K244">
    <cfRule type="expression" dxfId="2137" priority="1749">
      <formula>J243="NO CUMPLE"</formula>
    </cfRule>
    <cfRule type="expression" dxfId="2136" priority="1750">
      <formula>J243="CUMPLE"</formula>
    </cfRule>
  </conditionalFormatting>
  <conditionalFormatting sqref="K245">
    <cfRule type="expression" dxfId="2135" priority="1747">
      <formula>J245="NO CUMPLE"</formula>
    </cfRule>
    <cfRule type="expression" dxfId="2134" priority="1748">
      <formula>J245="CUMPLE"</formula>
    </cfRule>
  </conditionalFormatting>
  <conditionalFormatting sqref="K246:K247">
    <cfRule type="expression" dxfId="2133" priority="1745">
      <formula>J246="NO CUMPLE"</formula>
    </cfRule>
    <cfRule type="expression" dxfId="2132" priority="1746">
      <formula>J246="CUMPLE"</formula>
    </cfRule>
  </conditionalFormatting>
  <conditionalFormatting sqref="M237">
    <cfRule type="expression" dxfId="2131" priority="1733">
      <formula>L237="NO CUMPLE"</formula>
    </cfRule>
    <cfRule type="expression" dxfId="2130" priority="1734">
      <formula>L237="CUMPLE"</formula>
    </cfRule>
  </conditionalFormatting>
  <conditionalFormatting sqref="L236:L237">
    <cfRule type="cellIs" dxfId="2129" priority="1735" operator="equal">
      <formula>"NO CUMPLE"</formula>
    </cfRule>
    <cfRule type="cellIs" dxfId="2128" priority="1736" operator="equal">
      <formula>"CUMPLE"</formula>
    </cfRule>
  </conditionalFormatting>
  <conditionalFormatting sqref="M236">
    <cfRule type="expression" dxfId="2127" priority="1737">
      <formula>L236="NO CUMPLE"</formula>
    </cfRule>
    <cfRule type="expression" dxfId="2126" priority="1738">
      <formula>L236="CUMPLE"</formula>
    </cfRule>
  </conditionalFormatting>
  <conditionalFormatting sqref="M234">
    <cfRule type="expression" dxfId="2125" priority="1739">
      <formula>L234="NO CUMPLE"</formula>
    </cfRule>
    <cfRule type="expression" dxfId="2124" priority="1740">
      <formula>L234="CUMPLE"</formula>
    </cfRule>
  </conditionalFormatting>
  <conditionalFormatting sqref="M233">
    <cfRule type="expression" dxfId="2123" priority="1743">
      <formula>L233="NO CUMPLE"</formula>
    </cfRule>
    <cfRule type="expression" dxfId="2122" priority="1744">
      <formula>L233="CUMPLE"</formula>
    </cfRule>
  </conditionalFormatting>
  <conditionalFormatting sqref="L233:L234">
    <cfRule type="cellIs" dxfId="2121" priority="1741" operator="equal">
      <formula>"NO CUMPLE"</formula>
    </cfRule>
    <cfRule type="cellIs" dxfId="2120" priority="1742" operator="equal">
      <formula>"CUMPLE"</formula>
    </cfRule>
  </conditionalFormatting>
  <conditionalFormatting sqref="M240">
    <cfRule type="expression" dxfId="2119" priority="1727">
      <formula>L240="NO CUMPLE"</formula>
    </cfRule>
    <cfRule type="expression" dxfId="2118" priority="1728">
      <formula>L240="CUMPLE"</formula>
    </cfRule>
  </conditionalFormatting>
  <conditionalFormatting sqref="M239">
    <cfRule type="expression" dxfId="2117" priority="1731">
      <formula>L239="NO CUMPLE"</formula>
    </cfRule>
    <cfRule type="expression" dxfId="2116" priority="1732">
      <formula>L239="CUMPLE"</formula>
    </cfRule>
  </conditionalFormatting>
  <conditionalFormatting sqref="L239:L240">
    <cfRule type="cellIs" dxfId="2115" priority="1729" operator="equal">
      <formula>"NO CUMPLE"</formula>
    </cfRule>
    <cfRule type="cellIs" dxfId="2114" priority="1730" operator="equal">
      <formula>"CUMPLE"</formula>
    </cfRule>
  </conditionalFormatting>
  <conditionalFormatting sqref="M246">
    <cfRule type="expression" dxfId="2113" priority="1715">
      <formula>L246="NO CUMPLE"</formula>
    </cfRule>
    <cfRule type="expression" dxfId="2112" priority="1716">
      <formula>L246="CUMPLE"</formula>
    </cfRule>
  </conditionalFormatting>
  <conditionalFormatting sqref="M245">
    <cfRule type="expression" dxfId="2111" priority="1719">
      <formula>L245="NO CUMPLE"</formula>
    </cfRule>
    <cfRule type="expression" dxfId="2110" priority="1720">
      <formula>L245="CUMPLE"</formula>
    </cfRule>
  </conditionalFormatting>
  <conditionalFormatting sqref="L245:L246">
    <cfRule type="cellIs" dxfId="2109" priority="1717" operator="equal">
      <formula>"NO CUMPLE"</formula>
    </cfRule>
    <cfRule type="cellIs" dxfId="2108" priority="1718" operator="equal">
      <formula>"CUMPLE"</formula>
    </cfRule>
  </conditionalFormatting>
  <conditionalFormatting sqref="J233">
    <cfRule type="cellIs" dxfId="2107" priority="1713" operator="equal">
      <formula>"NO CUMPLE"</formula>
    </cfRule>
    <cfRule type="cellIs" dxfId="2106" priority="1714" operator="equal">
      <formula>"CUMPLE"</formula>
    </cfRule>
  </conditionalFormatting>
  <conditionalFormatting sqref="J234:J235">
    <cfRule type="cellIs" dxfId="2105" priority="1711" operator="equal">
      <formula>"NO CUMPLE"</formula>
    </cfRule>
    <cfRule type="cellIs" dxfId="2104" priority="1712" operator="equal">
      <formula>"CUMPLE"</formula>
    </cfRule>
  </conditionalFormatting>
  <conditionalFormatting sqref="K233">
    <cfRule type="expression" dxfId="2103" priority="1709">
      <formula>J233="NO CUMPLE"</formula>
    </cfRule>
    <cfRule type="expression" dxfId="2102" priority="1710">
      <formula>J233="CUMPLE"</formula>
    </cfRule>
  </conditionalFormatting>
  <conditionalFormatting sqref="K234:K235">
    <cfRule type="expression" dxfId="2101" priority="1707">
      <formula>J234="NO CUMPLE"</formula>
    </cfRule>
    <cfRule type="expression" dxfId="2100" priority="1708">
      <formula>J234="CUMPLE"</formula>
    </cfRule>
  </conditionalFormatting>
  <conditionalFormatting sqref="S255">
    <cfRule type="cellIs" dxfId="2099" priority="1705" operator="greaterThan">
      <formula>0</formula>
    </cfRule>
    <cfRule type="top10" dxfId="2098" priority="1706" rank="10"/>
  </conditionalFormatting>
  <conditionalFormatting sqref="B270">
    <cfRule type="cellIs" dxfId="2097" priority="1703" operator="equal">
      <formula>"NO CUMPLE CON LA EXPERIENCIA REQUERIDA"</formula>
    </cfRule>
    <cfRule type="cellIs" dxfId="2096" priority="1704" operator="equal">
      <formula>"CUMPLE CON LA EXPERIENCIA REQUERIDA"</formula>
    </cfRule>
  </conditionalFormatting>
  <conditionalFormatting sqref="H255">
    <cfRule type="notContainsBlanks" dxfId="2095" priority="1702">
      <formula>LEN(TRIM(H255))&gt;0</formula>
    </cfRule>
  </conditionalFormatting>
  <conditionalFormatting sqref="G255">
    <cfRule type="notContainsBlanks" dxfId="2094" priority="1701">
      <formula>LEN(TRIM(G255))&gt;0</formula>
    </cfRule>
  </conditionalFormatting>
  <conditionalFormatting sqref="F255">
    <cfRule type="notContainsBlanks" dxfId="2093" priority="1700">
      <formula>LEN(TRIM(F255))&gt;0</formula>
    </cfRule>
  </conditionalFormatting>
  <conditionalFormatting sqref="E255">
    <cfRule type="notContainsBlanks" dxfId="2092" priority="1699">
      <formula>LEN(TRIM(E255))&gt;0</formula>
    </cfRule>
  </conditionalFormatting>
  <conditionalFormatting sqref="D255">
    <cfRule type="notContainsBlanks" dxfId="2091" priority="1698">
      <formula>LEN(TRIM(D255))&gt;0</formula>
    </cfRule>
  </conditionalFormatting>
  <conditionalFormatting sqref="C255">
    <cfRule type="notContainsBlanks" dxfId="2090" priority="1697">
      <formula>LEN(TRIM(C255))&gt;0</formula>
    </cfRule>
  </conditionalFormatting>
  <conditionalFormatting sqref="I255">
    <cfRule type="notContainsBlanks" dxfId="2089" priority="1696">
      <formula>LEN(TRIM(I255))&gt;0</formula>
    </cfRule>
  </conditionalFormatting>
  <conditionalFormatting sqref="S258">
    <cfRule type="cellIs" dxfId="2088" priority="1694" operator="greaterThan">
      <formula>0</formula>
    </cfRule>
    <cfRule type="top10" dxfId="2087" priority="1695" rank="10"/>
  </conditionalFormatting>
  <conditionalFormatting sqref="S261">
    <cfRule type="cellIs" dxfId="2086" priority="1692" operator="greaterThan">
      <formula>0</formula>
    </cfRule>
    <cfRule type="top10" dxfId="2085" priority="1693" rank="10"/>
  </conditionalFormatting>
  <conditionalFormatting sqref="G261">
    <cfRule type="notContainsBlanks" dxfId="2084" priority="1691">
      <formula>LEN(TRIM(G261))&gt;0</formula>
    </cfRule>
  </conditionalFormatting>
  <conditionalFormatting sqref="F261">
    <cfRule type="notContainsBlanks" dxfId="2083" priority="1690">
      <formula>LEN(TRIM(F261))&gt;0</formula>
    </cfRule>
  </conditionalFormatting>
  <conditionalFormatting sqref="E261">
    <cfRule type="notContainsBlanks" dxfId="2082" priority="1689">
      <formula>LEN(TRIM(E261))&gt;0</formula>
    </cfRule>
  </conditionalFormatting>
  <conditionalFormatting sqref="D261">
    <cfRule type="notContainsBlanks" dxfId="2081" priority="1688">
      <formula>LEN(TRIM(D261))&gt;0</formula>
    </cfRule>
  </conditionalFormatting>
  <conditionalFormatting sqref="C261">
    <cfRule type="notContainsBlanks" dxfId="2080" priority="1687">
      <formula>LEN(TRIM(C261))&gt;0</formula>
    </cfRule>
  </conditionalFormatting>
  <conditionalFormatting sqref="S264">
    <cfRule type="cellIs" dxfId="2079" priority="1685" operator="greaterThan">
      <formula>0</formula>
    </cfRule>
    <cfRule type="top10" dxfId="2078" priority="1686" rank="10"/>
  </conditionalFormatting>
  <conditionalFormatting sqref="S267">
    <cfRule type="cellIs" dxfId="2077" priority="1683" operator="greaterThan">
      <formula>0</formula>
    </cfRule>
    <cfRule type="top10" dxfId="2076" priority="1684" rank="10"/>
  </conditionalFormatting>
  <conditionalFormatting sqref="G267">
    <cfRule type="notContainsBlanks" dxfId="2075" priority="1682">
      <formula>LEN(TRIM(G267))&gt;0</formula>
    </cfRule>
  </conditionalFormatting>
  <conditionalFormatting sqref="F267">
    <cfRule type="notContainsBlanks" dxfId="2074" priority="1681">
      <formula>LEN(TRIM(F267))&gt;0</formula>
    </cfRule>
  </conditionalFormatting>
  <conditionalFormatting sqref="E267">
    <cfRule type="notContainsBlanks" dxfId="2073" priority="1680">
      <formula>LEN(TRIM(E267))&gt;0</formula>
    </cfRule>
  </conditionalFormatting>
  <conditionalFormatting sqref="D267">
    <cfRule type="notContainsBlanks" dxfId="2072" priority="1679">
      <formula>LEN(TRIM(D267))&gt;0</formula>
    </cfRule>
  </conditionalFormatting>
  <conditionalFormatting sqref="C267">
    <cfRule type="notContainsBlanks" dxfId="2071" priority="1678">
      <formula>LEN(TRIM(C267))&gt;0</formula>
    </cfRule>
  </conditionalFormatting>
  <conditionalFormatting sqref="G258">
    <cfRule type="notContainsBlanks" dxfId="2070" priority="1677">
      <formula>LEN(TRIM(G258))&gt;0</formula>
    </cfRule>
  </conditionalFormatting>
  <conditionalFormatting sqref="F258">
    <cfRule type="notContainsBlanks" dxfId="2069" priority="1676">
      <formula>LEN(TRIM(F258))&gt;0</formula>
    </cfRule>
  </conditionalFormatting>
  <conditionalFormatting sqref="E258">
    <cfRule type="notContainsBlanks" dxfId="2068" priority="1675">
      <formula>LEN(TRIM(E258))&gt;0</formula>
    </cfRule>
  </conditionalFormatting>
  <conditionalFormatting sqref="D258">
    <cfRule type="notContainsBlanks" dxfId="2067" priority="1674">
      <formula>LEN(TRIM(D258))&gt;0</formula>
    </cfRule>
  </conditionalFormatting>
  <conditionalFormatting sqref="C258">
    <cfRule type="notContainsBlanks" dxfId="2066" priority="1673">
      <formula>LEN(TRIM(C258))&gt;0</formula>
    </cfRule>
  </conditionalFormatting>
  <conditionalFormatting sqref="G264">
    <cfRule type="notContainsBlanks" dxfId="2065" priority="1672">
      <formula>LEN(TRIM(G264))&gt;0</formula>
    </cfRule>
  </conditionalFormatting>
  <conditionalFormatting sqref="F264">
    <cfRule type="notContainsBlanks" dxfId="2064" priority="1671">
      <formula>LEN(TRIM(F264))&gt;0</formula>
    </cfRule>
  </conditionalFormatting>
  <conditionalFormatting sqref="E264">
    <cfRule type="notContainsBlanks" dxfId="2063" priority="1670">
      <formula>LEN(TRIM(E264))&gt;0</formula>
    </cfRule>
  </conditionalFormatting>
  <conditionalFormatting sqref="D264">
    <cfRule type="notContainsBlanks" dxfId="2062" priority="1669">
      <formula>LEN(TRIM(D264))&gt;0</formula>
    </cfRule>
  </conditionalFormatting>
  <conditionalFormatting sqref="C264">
    <cfRule type="notContainsBlanks" dxfId="2061" priority="1668">
      <formula>LEN(TRIM(C264))&gt;0</formula>
    </cfRule>
  </conditionalFormatting>
  <conditionalFormatting sqref="S270">
    <cfRule type="expression" dxfId="2060" priority="1666">
      <formula>$S$28&gt;0</formula>
    </cfRule>
    <cfRule type="cellIs" dxfId="2059" priority="1667" operator="equal">
      <formula>0</formula>
    </cfRule>
  </conditionalFormatting>
  <conditionalFormatting sqref="S271">
    <cfRule type="expression" dxfId="2058" priority="1664">
      <formula>$S$28&gt;0</formula>
    </cfRule>
    <cfRule type="cellIs" dxfId="2057" priority="1665" operator="equal">
      <formula>0</formula>
    </cfRule>
  </conditionalFormatting>
  <conditionalFormatting sqref="N255">
    <cfRule type="expression" dxfId="2056" priority="1661">
      <formula>N255=" "</formula>
    </cfRule>
    <cfRule type="expression" dxfId="2055" priority="1662">
      <formula>N255="NO PRESENTÓ CERTIFICADO"</formula>
    </cfRule>
    <cfRule type="expression" dxfId="2054" priority="1663">
      <formula>N255="PRESENTÓ CERTIFICADO"</formula>
    </cfRule>
  </conditionalFormatting>
  <conditionalFormatting sqref="O255">
    <cfRule type="cellIs" dxfId="2053" priority="1643" operator="equal">
      <formula>"PENDIENTE POR DESCRIPCIÓN"</formula>
    </cfRule>
    <cfRule type="cellIs" dxfId="2052" priority="1644" operator="equal">
      <formula>"DESCRIPCIÓN INSUFICIENTE"</formula>
    </cfRule>
    <cfRule type="cellIs" dxfId="2051" priority="1645" operator="equal">
      <formula>"NO ESTÁ ACORDE A ITEM 5.2.2 (T.R.)"</formula>
    </cfRule>
    <cfRule type="cellIs" dxfId="2050" priority="1646" operator="equal">
      <formula>"ACORDE A ITEM 5.2.2 (T.R.)"</formula>
    </cfRule>
    <cfRule type="cellIs" dxfId="2049" priority="1653" operator="equal">
      <formula>"PENDIENTE POR DESCRIPCIÓN"</formula>
    </cfRule>
    <cfRule type="cellIs" dxfId="2048" priority="1655" operator="equal">
      <formula>"DESCRIPCIÓN INSUFICIENTE"</formula>
    </cfRule>
    <cfRule type="cellIs" dxfId="2047" priority="1656" operator="equal">
      <formula>"NO ESTÁ ACORDE A ITEM 5.2.1 (T.R.)"</formula>
    </cfRule>
    <cfRule type="cellIs" dxfId="2046" priority="1657" operator="equal">
      <formula>"ACORDE A ITEM 5.2.1 (T.R.)"</formula>
    </cfRule>
  </conditionalFormatting>
  <conditionalFormatting sqref="Q255">
    <cfRule type="containsBlanks" dxfId="2045" priority="1648">
      <formula>LEN(TRIM(Q255))=0</formula>
    </cfRule>
    <cfRule type="cellIs" dxfId="2044" priority="1654" operator="equal">
      <formula>"REQUERIMIENTOS SUBSANADOS"</formula>
    </cfRule>
    <cfRule type="containsText" dxfId="2043" priority="1658" operator="containsText" text="NO SUBSANABLE">
      <formula>NOT(ISERROR(SEARCH("NO SUBSANABLE",Q255)))</formula>
    </cfRule>
    <cfRule type="containsText" dxfId="2042" priority="1659" operator="containsText" text="PENDIENTES POR SUBSANAR">
      <formula>NOT(ISERROR(SEARCH("PENDIENTES POR SUBSANAR",Q255)))</formula>
    </cfRule>
    <cfRule type="containsText" dxfId="2041" priority="1660" operator="containsText" text="SIN OBSERVACIÓN">
      <formula>NOT(ISERROR(SEARCH("SIN OBSERVACIÓN",Q255)))</formula>
    </cfRule>
  </conditionalFormatting>
  <conditionalFormatting sqref="R255">
    <cfRule type="containsBlanks" dxfId="2040" priority="1647">
      <formula>LEN(TRIM(R255))=0</formula>
    </cfRule>
    <cfRule type="cellIs" dxfId="2039" priority="1649" operator="equal">
      <formula>"NO CUMPLEN CON LO SOLICITADO"</formula>
    </cfRule>
    <cfRule type="cellIs" dxfId="2038" priority="1650" operator="equal">
      <formula>"CUMPLEN CON LO SOLICITADO"</formula>
    </cfRule>
    <cfRule type="cellIs" dxfId="2037" priority="1651" operator="equal">
      <formula>"PENDIENTES"</formula>
    </cfRule>
    <cfRule type="cellIs" dxfId="2036" priority="1652" operator="equal">
      <formula>"NINGUNO"</formula>
    </cfRule>
  </conditionalFormatting>
  <conditionalFormatting sqref="P255">
    <cfRule type="expression" dxfId="2035" priority="1638">
      <formula>Q255="NO SUBSANABLE"</formula>
    </cfRule>
    <cfRule type="expression" dxfId="2034" priority="1639">
      <formula>Q255="REQUERIMIENTOS SUBSANADOS"</formula>
    </cfRule>
    <cfRule type="expression" dxfId="2033" priority="1640">
      <formula>Q255="PENDIENTES POR SUBSANAR"</formula>
    </cfRule>
    <cfRule type="expression" dxfId="2032" priority="1641">
      <formula>Q255="SIN OBSERVACIÓN"</formula>
    </cfRule>
    <cfRule type="containsBlanks" dxfId="2031" priority="1642">
      <formula>LEN(TRIM(P255))=0</formula>
    </cfRule>
  </conditionalFormatting>
  <conditionalFormatting sqref="M264">
    <cfRule type="expression" dxfId="2030" priority="1598">
      <formula>L264="NO CUMPLE"</formula>
    </cfRule>
    <cfRule type="expression" dxfId="2029" priority="1599">
      <formula>L264="CUMPLE"</formula>
    </cfRule>
  </conditionalFormatting>
  <conditionalFormatting sqref="L264:L265">
    <cfRule type="cellIs" dxfId="2028" priority="1596" operator="equal">
      <formula>"NO CUMPLE"</formula>
    </cfRule>
    <cfRule type="cellIs" dxfId="2027" priority="1597" operator="equal">
      <formula>"CUMPLE"</formula>
    </cfRule>
  </conditionalFormatting>
  <conditionalFormatting sqref="M265">
    <cfRule type="expression" dxfId="2026" priority="1594">
      <formula>L265="NO CUMPLE"</formula>
    </cfRule>
    <cfRule type="expression" dxfId="2025" priority="1595">
      <formula>L265="CUMPLE"</formula>
    </cfRule>
  </conditionalFormatting>
  <conditionalFormatting sqref="J258:J266">
    <cfRule type="cellIs" dxfId="2024" priority="1636" operator="equal">
      <formula>"NO CUMPLE"</formula>
    </cfRule>
    <cfRule type="cellIs" dxfId="2023" priority="1637" operator="equal">
      <formula>"CUMPLE"</formula>
    </cfRule>
  </conditionalFormatting>
  <conditionalFormatting sqref="K258">
    <cfRule type="expression" dxfId="2022" priority="1634">
      <formula>J258="NO CUMPLE"</formula>
    </cfRule>
    <cfRule type="expression" dxfId="2021" priority="1635">
      <formula>J258="CUMPLE"</formula>
    </cfRule>
  </conditionalFormatting>
  <conditionalFormatting sqref="K259:K260">
    <cfRule type="expression" dxfId="2020" priority="1632">
      <formula>J259="NO CUMPLE"</formula>
    </cfRule>
    <cfRule type="expression" dxfId="2019" priority="1633">
      <formula>J259="CUMPLE"</formula>
    </cfRule>
  </conditionalFormatting>
  <conditionalFormatting sqref="J268:J269">
    <cfRule type="cellIs" dxfId="2018" priority="1630" operator="equal">
      <formula>"NO CUMPLE"</formula>
    </cfRule>
    <cfRule type="cellIs" dxfId="2017" priority="1631" operator="equal">
      <formula>"CUMPLE"</formula>
    </cfRule>
  </conditionalFormatting>
  <conditionalFormatting sqref="K261">
    <cfRule type="expression" dxfId="2016" priority="1628">
      <formula>J261="NO CUMPLE"</formula>
    </cfRule>
    <cfRule type="expression" dxfId="2015" priority="1629">
      <formula>J261="CUMPLE"</formula>
    </cfRule>
  </conditionalFormatting>
  <conditionalFormatting sqref="K262:K263">
    <cfRule type="expression" dxfId="2014" priority="1626">
      <formula>J262="NO CUMPLE"</formula>
    </cfRule>
    <cfRule type="expression" dxfId="2013" priority="1627">
      <formula>J262="CUMPLE"</formula>
    </cfRule>
  </conditionalFormatting>
  <conditionalFormatting sqref="K264">
    <cfRule type="expression" dxfId="2012" priority="1624">
      <formula>J264="NO CUMPLE"</formula>
    </cfRule>
    <cfRule type="expression" dxfId="2011" priority="1625">
      <formula>J264="CUMPLE"</formula>
    </cfRule>
  </conditionalFormatting>
  <conditionalFormatting sqref="K265:K266">
    <cfRule type="expression" dxfId="2010" priority="1622">
      <formula>J265="NO CUMPLE"</formula>
    </cfRule>
    <cfRule type="expression" dxfId="2009" priority="1623">
      <formula>J265="CUMPLE"</formula>
    </cfRule>
  </conditionalFormatting>
  <conditionalFormatting sqref="K267">
    <cfRule type="expression" dxfId="2008" priority="1620">
      <formula>J267="NO CUMPLE"</formula>
    </cfRule>
    <cfRule type="expression" dxfId="2007" priority="1621">
      <formula>J267="CUMPLE"</formula>
    </cfRule>
  </conditionalFormatting>
  <conditionalFormatting sqref="K268:K269">
    <cfRule type="expression" dxfId="2006" priority="1618">
      <formula>J268="NO CUMPLE"</formula>
    </cfRule>
    <cfRule type="expression" dxfId="2005" priority="1619">
      <formula>J268="CUMPLE"</formula>
    </cfRule>
  </conditionalFormatting>
  <conditionalFormatting sqref="M259">
    <cfRule type="expression" dxfId="2004" priority="1606">
      <formula>L259="NO CUMPLE"</formula>
    </cfRule>
    <cfRule type="expression" dxfId="2003" priority="1607">
      <formula>L259="CUMPLE"</formula>
    </cfRule>
  </conditionalFormatting>
  <conditionalFormatting sqref="L258:L259">
    <cfRule type="cellIs" dxfId="2002" priority="1608" operator="equal">
      <formula>"NO CUMPLE"</formula>
    </cfRule>
    <cfRule type="cellIs" dxfId="2001" priority="1609" operator="equal">
      <formula>"CUMPLE"</formula>
    </cfRule>
  </conditionalFormatting>
  <conditionalFormatting sqref="M258">
    <cfRule type="expression" dxfId="2000" priority="1610">
      <formula>L258="NO CUMPLE"</formula>
    </cfRule>
    <cfRule type="expression" dxfId="1999" priority="1611">
      <formula>L258="CUMPLE"</formula>
    </cfRule>
  </conditionalFormatting>
  <conditionalFormatting sqref="M256">
    <cfRule type="expression" dxfId="1998" priority="1612">
      <formula>L256="NO CUMPLE"</formula>
    </cfRule>
    <cfRule type="expression" dxfId="1997" priority="1613">
      <formula>L256="CUMPLE"</formula>
    </cfRule>
  </conditionalFormatting>
  <conditionalFormatting sqref="M255">
    <cfRule type="expression" dxfId="1996" priority="1616">
      <formula>L255="NO CUMPLE"</formula>
    </cfRule>
    <cfRule type="expression" dxfId="1995" priority="1617">
      <formula>L255="CUMPLE"</formula>
    </cfRule>
  </conditionalFormatting>
  <conditionalFormatting sqref="L255:L256">
    <cfRule type="cellIs" dxfId="1994" priority="1614" operator="equal">
      <formula>"NO CUMPLE"</formula>
    </cfRule>
    <cfRule type="cellIs" dxfId="1993" priority="1615" operator="equal">
      <formula>"CUMPLE"</formula>
    </cfRule>
  </conditionalFormatting>
  <conditionalFormatting sqref="M262">
    <cfRule type="expression" dxfId="1992" priority="1600">
      <formula>L262="NO CUMPLE"</formula>
    </cfRule>
    <cfRule type="expression" dxfId="1991" priority="1601">
      <formula>L262="CUMPLE"</formula>
    </cfRule>
  </conditionalFormatting>
  <conditionalFormatting sqref="M261">
    <cfRule type="expression" dxfId="1990" priority="1604">
      <formula>L261="NO CUMPLE"</formula>
    </cfRule>
    <cfRule type="expression" dxfId="1989" priority="1605">
      <formula>L261="CUMPLE"</formula>
    </cfRule>
  </conditionalFormatting>
  <conditionalFormatting sqref="L261:L262">
    <cfRule type="cellIs" dxfId="1988" priority="1602" operator="equal">
      <formula>"NO CUMPLE"</formula>
    </cfRule>
    <cfRule type="cellIs" dxfId="1987" priority="1603" operator="equal">
      <formula>"CUMPLE"</formula>
    </cfRule>
  </conditionalFormatting>
  <conditionalFormatting sqref="M268">
    <cfRule type="expression" dxfId="1986" priority="1588">
      <formula>L268="NO CUMPLE"</formula>
    </cfRule>
    <cfRule type="expression" dxfId="1985" priority="1589">
      <formula>L268="CUMPLE"</formula>
    </cfRule>
  </conditionalFormatting>
  <conditionalFormatting sqref="M267">
    <cfRule type="expression" dxfId="1984" priority="1592">
      <formula>L267="NO CUMPLE"</formula>
    </cfRule>
    <cfRule type="expression" dxfId="1983" priority="1593">
      <formula>L267="CUMPLE"</formula>
    </cfRule>
  </conditionalFormatting>
  <conditionalFormatting sqref="L267:L268">
    <cfRule type="cellIs" dxfId="1982" priority="1590" operator="equal">
      <formula>"NO CUMPLE"</formula>
    </cfRule>
    <cfRule type="cellIs" dxfId="1981" priority="1591" operator="equal">
      <formula>"CUMPLE"</formula>
    </cfRule>
  </conditionalFormatting>
  <conditionalFormatting sqref="K255">
    <cfRule type="expression" dxfId="1980" priority="1586">
      <formula>J255="NO CUMPLE"</formula>
    </cfRule>
    <cfRule type="expression" dxfId="1979" priority="1587">
      <formula>J255="CUMPLE"</formula>
    </cfRule>
  </conditionalFormatting>
  <conditionalFormatting sqref="K256:K257">
    <cfRule type="expression" dxfId="1978" priority="1584">
      <formula>J256="NO CUMPLE"</formula>
    </cfRule>
    <cfRule type="expression" dxfId="1977" priority="1585">
      <formula>J256="CUMPLE"</formula>
    </cfRule>
  </conditionalFormatting>
  <conditionalFormatting sqref="S277">
    <cfRule type="cellIs" dxfId="1976" priority="1582" operator="greaterThan">
      <formula>0</formula>
    </cfRule>
    <cfRule type="top10" dxfId="1975" priority="1583" rank="10"/>
  </conditionalFormatting>
  <conditionalFormatting sqref="B292">
    <cfRule type="cellIs" dxfId="1974" priority="1580" operator="equal">
      <formula>"NO CUMPLE CON LA EXPERIENCIA REQUERIDA"</formula>
    </cfRule>
    <cfRule type="cellIs" dxfId="1973" priority="1581" operator="equal">
      <formula>"CUMPLE CON LA EXPERIENCIA REQUERIDA"</formula>
    </cfRule>
  </conditionalFormatting>
  <conditionalFormatting sqref="H277 H280 H283 H286 H289">
    <cfRule type="notContainsBlanks" dxfId="1972" priority="1579">
      <formula>LEN(TRIM(H277))&gt;0</formula>
    </cfRule>
  </conditionalFormatting>
  <conditionalFormatting sqref="G277">
    <cfRule type="notContainsBlanks" dxfId="1971" priority="1578">
      <formula>LEN(TRIM(G277))&gt;0</formula>
    </cfRule>
  </conditionalFormatting>
  <conditionalFormatting sqref="F277">
    <cfRule type="notContainsBlanks" dxfId="1970" priority="1577">
      <formula>LEN(TRIM(F277))&gt;0</formula>
    </cfRule>
  </conditionalFormatting>
  <conditionalFormatting sqref="E277">
    <cfRule type="notContainsBlanks" dxfId="1969" priority="1576">
      <formula>LEN(TRIM(E277))&gt;0</formula>
    </cfRule>
  </conditionalFormatting>
  <conditionalFormatting sqref="D277">
    <cfRule type="notContainsBlanks" dxfId="1968" priority="1575">
      <formula>LEN(TRIM(D277))&gt;0</formula>
    </cfRule>
  </conditionalFormatting>
  <conditionalFormatting sqref="C277">
    <cfRule type="notContainsBlanks" dxfId="1967" priority="1574">
      <formula>LEN(TRIM(C277))&gt;0</formula>
    </cfRule>
  </conditionalFormatting>
  <conditionalFormatting sqref="I277">
    <cfRule type="notContainsBlanks" dxfId="1966" priority="1573">
      <formula>LEN(TRIM(I277))&gt;0</formula>
    </cfRule>
  </conditionalFormatting>
  <conditionalFormatting sqref="S280">
    <cfRule type="cellIs" dxfId="1965" priority="1571" operator="greaterThan">
      <formula>0</formula>
    </cfRule>
    <cfRule type="top10" dxfId="1964" priority="1572" rank="10"/>
  </conditionalFormatting>
  <conditionalFormatting sqref="S283">
    <cfRule type="cellIs" dxfId="1963" priority="1569" operator="greaterThan">
      <formula>0</formula>
    </cfRule>
    <cfRule type="top10" dxfId="1962" priority="1570" rank="10"/>
  </conditionalFormatting>
  <conditionalFormatting sqref="G283">
    <cfRule type="notContainsBlanks" dxfId="1961" priority="1568">
      <formula>LEN(TRIM(G283))&gt;0</formula>
    </cfRule>
  </conditionalFormatting>
  <conditionalFormatting sqref="F283">
    <cfRule type="notContainsBlanks" dxfId="1960" priority="1567">
      <formula>LEN(TRIM(F283))&gt;0</formula>
    </cfRule>
  </conditionalFormatting>
  <conditionalFormatting sqref="E283">
    <cfRule type="notContainsBlanks" dxfId="1959" priority="1566">
      <formula>LEN(TRIM(E283))&gt;0</formula>
    </cfRule>
  </conditionalFormatting>
  <conditionalFormatting sqref="D283">
    <cfRule type="notContainsBlanks" dxfId="1958" priority="1565">
      <formula>LEN(TRIM(D283))&gt;0</formula>
    </cfRule>
  </conditionalFormatting>
  <conditionalFormatting sqref="C283">
    <cfRule type="notContainsBlanks" dxfId="1957" priority="1564">
      <formula>LEN(TRIM(C283))&gt;0</formula>
    </cfRule>
  </conditionalFormatting>
  <conditionalFormatting sqref="I283">
    <cfRule type="notContainsBlanks" dxfId="1956" priority="1563">
      <formula>LEN(TRIM(I283))&gt;0</formula>
    </cfRule>
  </conditionalFormatting>
  <conditionalFormatting sqref="S286">
    <cfRule type="cellIs" dxfId="1955" priority="1561" operator="greaterThan">
      <formula>0</formula>
    </cfRule>
    <cfRule type="top10" dxfId="1954" priority="1562" rank="10"/>
  </conditionalFormatting>
  <conditionalFormatting sqref="S289">
    <cfRule type="cellIs" dxfId="1953" priority="1559" operator="greaterThan">
      <formula>0</formula>
    </cfRule>
    <cfRule type="top10" dxfId="1952" priority="1560" rank="10"/>
  </conditionalFormatting>
  <conditionalFormatting sqref="G289">
    <cfRule type="notContainsBlanks" dxfId="1951" priority="1558">
      <formula>LEN(TRIM(G289))&gt;0</formula>
    </cfRule>
  </conditionalFormatting>
  <conditionalFormatting sqref="F289">
    <cfRule type="notContainsBlanks" dxfId="1950" priority="1557">
      <formula>LEN(TRIM(F289))&gt;0</formula>
    </cfRule>
  </conditionalFormatting>
  <conditionalFormatting sqref="E289">
    <cfRule type="notContainsBlanks" dxfId="1949" priority="1556">
      <formula>LEN(TRIM(E289))&gt;0</formula>
    </cfRule>
  </conditionalFormatting>
  <conditionalFormatting sqref="D289">
    <cfRule type="notContainsBlanks" dxfId="1948" priority="1555">
      <formula>LEN(TRIM(D289))&gt;0</formula>
    </cfRule>
  </conditionalFormatting>
  <conditionalFormatting sqref="C289">
    <cfRule type="notContainsBlanks" dxfId="1947" priority="1554">
      <formula>LEN(TRIM(C289))&gt;0</formula>
    </cfRule>
  </conditionalFormatting>
  <conditionalFormatting sqref="I289">
    <cfRule type="notContainsBlanks" dxfId="1946" priority="1553">
      <formula>LEN(TRIM(I289))&gt;0</formula>
    </cfRule>
  </conditionalFormatting>
  <conditionalFormatting sqref="G280">
    <cfRule type="notContainsBlanks" dxfId="1945" priority="1552">
      <formula>LEN(TRIM(G280))&gt;0</formula>
    </cfRule>
  </conditionalFormatting>
  <conditionalFormatting sqref="F280">
    <cfRule type="notContainsBlanks" dxfId="1944" priority="1551">
      <formula>LEN(TRIM(F280))&gt;0</formula>
    </cfRule>
  </conditionalFormatting>
  <conditionalFormatting sqref="E280">
    <cfRule type="notContainsBlanks" dxfId="1943" priority="1550">
      <formula>LEN(TRIM(E280))&gt;0</formula>
    </cfRule>
  </conditionalFormatting>
  <conditionalFormatting sqref="D280">
    <cfRule type="notContainsBlanks" dxfId="1942" priority="1549">
      <formula>LEN(TRIM(D280))&gt;0</formula>
    </cfRule>
  </conditionalFormatting>
  <conditionalFormatting sqref="C280">
    <cfRule type="notContainsBlanks" dxfId="1941" priority="1548">
      <formula>LEN(TRIM(C280))&gt;0</formula>
    </cfRule>
  </conditionalFormatting>
  <conditionalFormatting sqref="G286">
    <cfRule type="notContainsBlanks" dxfId="1940" priority="1547">
      <formula>LEN(TRIM(G286))&gt;0</formula>
    </cfRule>
  </conditionalFormatting>
  <conditionalFormatting sqref="F286">
    <cfRule type="notContainsBlanks" dxfId="1939" priority="1546">
      <formula>LEN(TRIM(F286))&gt;0</formula>
    </cfRule>
  </conditionalFormatting>
  <conditionalFormatting sqref="E286">
    <cfRule type="notContainsBlanks" dxfId="1938" priority="1545">
      <formula>LEN(TRIM(E286))&gt;0</formula>
    </cfRule>
  </conditionalFormatting>
  <conditionalFormatting sqref="D286">
    <cfRule type="notContainsBlanks" dxfId="1937" priority="1544">
      <formula>LEN(TRIM(D286))&gt;0</formula>
    </cfRule>
  </conditionalFormatting>
  <conditionalFormatting sqref="C286">
    <cfRule type="notContainsBlanks" dxfId="1936" priority="1543">
      <formula>LEN(TRIM(C286))&gt;0</formula>
    </cfRule>
  </conditionalFormatting>
  <conditionalFormatting sqref="I280">
    <cfRule type="notContainsBlanks" dxfId="1935" priority="1542">
      <formula>LEN(TRIM(I280))&gt;0</formula>
    </cfRule>
  </conditionalFormatting>
  <conditionalFormatting sqref="I286">
    <cfRule type="notContainsBlanks" dxfId="1934" priority="1541">
      <formula>LEN(TRIM(I286))&gt;0</formula>
    </cfRule>
  </conditionalFormatting>
  <conditionalFormatting sqref="S292">
    <cfRule type="expression" dxfId="1933" priority="1539">
      <formula>$S$28&gt;0</formula>
    </cfRule>
    <cfRule type="cellIs" dxfId="1932" priority="1540" operator="equal">
      <formula>0</formula>
    </cfRule>
  </conditionalFormatting>
  <conditionalFormatting sqref="S293">
    <cfRule type="expression" dxfId="1931" priority="1537">
      <formula>$S$28&gt;0</formula>
    </cfRule>
    <cfRule type="cellIs" dxfId="1930" priority="1538" operator="equal">
      <formula>0</formula>
    </cfRule>
  </conditionalFormatting>
  <conditionalFormatting sqref="N277">
    <cfRule type="expression" dxfId="1929" priority="1534">
      <formula>N277=" "</formula>
    </cfRule>
    <cfRule type="expression" dxfId="1928" priority="1535">
      <formula>N277="NO PRESENTÓ CERTIFICADO"</formula>
    </cfRule>
    <cfRule type="expression" dxfId="1927" priority="1536">
      <formula>N277="PRESENTÓ CERTIFICADO"</formula>
    </cfRule>
  </conditionalFormatting>
  <conditionalFormatting sqref="O277">
    <cfRule type="cellIs" dxfId="1926" priority="1526" operator="equal">
      <formula>"PENDIENTE POR DESCRIPCIÓN"</formula>
    </cfRule>
    <cfRule type="cellIs" dxfId="1925" priority="1527" operator="equal">
      <formula>"DESCRIPCIÓN INSUFICIENTE"</formula>
    </cfRule>
    <cfRule type="cellIs" dxfId="1924" priority="1528" operator="equal">
      <formula>"NO ESTÁ ACORDE A ITEM 5.2.2 (T.R.)"</formula>
    </cfRule>
    <cfRule type="cellIs" dxfId="1923" priority="1529" operator="equal">
      <formula>"ACORDE A ITEM 5.2.2 (T.R.)"</formula>
    </cfRule>
    <cfRule type="cellIs" dxfId="1922" priority="1530" operator="equal">
      <formula>"PENDIENTE POR DESCRIPCIÓN"</formula>
    </cfRule>
    <cfRule type="cellIs" dxfId="1921" priority="1531" operator="equal">
      <formula>"DESCRIPCIÓN INSUFICIENTE"</formula>
    </cfRule>
    <cfRule type="cellIs" dxfId="1920" priority="1532" operator="equal">
      <formula>"NO ESTÁ ACORDE A ITEM 5.2.1 (T.R.)"</formula>
    </cfRule>
    <cfRule type="cellIs" dxfId="1919" priority="1533" operator="equal">
      <formula>"ACORDE A ITEM 5.2.1 (T.R.)"</formula>
    </cfRule>
  </conditionalFormatting>
  <conditionalFormatting sqref="P277">
    <cfRule type="expression" dxfId="1918" priority="1521">
      <formula>Q277="NO SUBSANABLE"</formula>
    </cfRule>
    <cfRule type="expression" dxfId="1917" priority="1522">
      <formula>Q277="REQUERIMIENTOS SUBSANADOS"</formula>
    </cfRule>
    <cfRule type="expression" dxfId="1916" priority="1523">
      <formula>Q277="PENDIENTES POR SUBSANAR"</formula>
    </cfRule>
    <cfRule type="expression" dxfId="1915" priority="1524">
      <formula>Q277="SIN OBSERVACIÓN"</formula>
    </cfRule>
    <cfRule type="containsBlanks" dxfId="1914" priority="1525">
      <formula>LEN(TRIM(P277))=0</formula>
    </cfRule>
  </conditionalFormatting>
  <conditionalFormatting sqref="N289">
    <cfRule type="expression" dxfId="1913" priority="1518">
      <formula>N289=" "</formula>
    </cfRule>
    <cfRule type="expression" dxfId="1912" priority="1519">
      <formula>N289="NO PRESENTÓ CERTIFICADO"</formula>
    </cfRule>
    <cfRule type="expression" dxfId="1911" priority="1520">
      <formula>N289="PRESENTÓ CERTIFICADO"</formula>
    </cfRule>
  </conditionalFormatting>
  <conditionalFormatting sqref="O289">
    <cfRule type="cellIs" dxfId="1910" priority="1500" operator="equal">
      <formula>"PENDIENTE POR DESCRIPCIÓN"</formula>
    </cfRule>
    <cfRule type="cellIs" dxfId="1909" priority="1501" operator="equal">
      <formula>"DESCRIPCIÓN INSUFICIENTE"</formula>
    </cfRule>
    <cfRule type="cellIs" dxfId="1908" priority="1502" operator="equal">
      <formula>"NO ESTÁ ACORDE A ITEM 5.2.2 (T.R.)"</formula>
    </cfRule>
    <cfRule type="cellIs" dxfId="1907" priority="1503" operator="equal">
      <formula>"ACORDE A ITEM 5.2.2 (T.R.)"</formula>
    </cfRule>
    <cfRule type="cellIs" dxfId="1906" priority="1510" operator="equal">
      <formula>"PENDIENTE POR DESCRIPCIÓN"</formula>
    </cfRule>
    <cfRule type="cellIs" dxfId="1905" priority="1512" operator="equal">
      <formula>"DESCRIPCIÓN INSUFICIENTE"</formula>
    </cfRule>
    <cfRule type="cellIs" dxfId="1904" priority="1513" operator="equal">
      <formula>"NO ESTÁ ACORDE A ITEM 5.2.1 (T.R.)"</formula>
    </cfRule>
    <cfRule type="cellIs" dxfId="1903" priority="1514" operator="equal">
      <formula>"ACORDE A ITEM 5.2.1 (T.R.)"</formula>
    </cfRule>
  </conditionalFormatting>
  <conditionalFormatting sqref="Q289">
    <cfRule type="containsBlanks" dxfId="1902" priority="1505">
      <formula>LEN(TRIM(Q289))=0</formula>
    </cfRule>
    <cfRule type="cellIs" dxfId="1901" priority="1511" operator="equal">
      <formula>"REQUERIMIENTOS SUBSANADOS"</formula>
    </cfRule>
    <cfRule type="containsText" dxfId="1900" priority="1515" operator="containsText" text="NO SUBSANABLE">
      <formula>NOT(ISERROR(SEARCH("NO SUBSANABLE",Q289)))</formula>
    </cfRule>
    <cfRule type="containsText" dxfId="1899" priority="1516" operator="containsText" text="PENDIENTES POR SUBSANAR">
      <formula>NOT(ISERROR(SEARCH("PENDIENTES POR SUBSANAR",Q289)))</formula>
    </cfRule>
    <cfRule type="containsText" dxfId="1898" priority="1517" operator="containsText" text="SIN OBSERVACIÓN">
      <formula>NOT(ISERROR(SEARCH("SIN OBSERVACIÓN",Q289)))</formula>
    </cfRule>
  </conditionalFormatting>
  <conditionalFormatting sqref="R289">
    <cfRule type="containsBlanks" dxfId="1897" priority="1504">
      <formula>LEN(TRIM(R289))=0</formula>
    </cfRule>
    <cfRule type="cellIs" dxfId="1896" priority="1506" operator="equal">
      <formula>"NO CUMPLEN CON LO SOLICITADO"</formula>
    </cfRule>
    <cfRule type="cellIs" dxfId="1895" priority="1507" operator="equal">
      <formula>"CUMPLEN CON LO SOLICITADO"</formula>
    </cfRule>
    <cfRule type="cellIs" dxfId="1894" priority="1508" operator="equal">
      <formula>"PENDIENTES"</formula>
    </cfRule>
    <cfRule type="cellIs" dxfId="1893" priority="1509" operator="equal">
      <formula>"NINGUNO"</formula>
    </cfRule>
  </conditionalFormatting>
  <conditionalFormatting sqref="P280 P283 P286 P289">
    <cfRule type="expression" dxfId="1892" priority="1495">
      <formula>Q280="NO SUBSANABLE"</formula>
    </cfRule>
    <cfRule type="expression" dxfId="1891" priority="1496">
      <formula>Q280="REQUERIMIENTOS SUBSANADOS"</formula>
    </cfRule>
    <cfRule type="expression" dxfId="1890" priority="1497">
      <formula>Q280="PENDIENTES POR SUBSANAR"</formula>
    </cfRule>
    <cfRule type="expression" dxfId="1889" priority="1498">
      <formula>Q280="SIN OBSERVACIÓN"</formula>
    </cfRule>
    <cfRule type="containsBlanks" dxfId="1888" priority="1499">
      <formula>LEN(TRIM(P280))=0</formula>
    </cfRule>
  </conditionalFormatting>
  <conditionalFormatting sqref="N286">
    <cfRule type="expression" dxfId="1887" priority="1492">
      <formula>N286=" "</formula>
    </cfRule>
    <cfRule type="expression" dxfId="1886" priority="1493">
      <formula>N286="NO PRESENTÓ CERTIFICADO"</formula>
    </cfRule>
    <cfRule type="expression" dxfId="1885" priority="1494">
      <formula>N286="PRESENTÓ CERTIFICADO"</formula>
    </cfRule>
  </conditionalFormatting>
  <conditionalFormatting sqref="O286">
    <cfRule type="cellIs" dxfId="1884" priority="1484" operator="equal">
      <formula>"PENDIENTE POR DESCRIPCIÓN"</formula>
    </cfRule>
    <cfRule type="cellIs" dxfId="1883" priority="1485" operator="equal">
      <formula>"DESCRIPCIÓN INSUFICIENTE"</formula>
    </cfRule>
    <cfRule type="cellIs" dxfId="1882" priority="1486" operator="equal">
      <formula>"NO ESTÁ ACORDE A ITEM 5.2.2 (T.R.)"</formula>
    </cfRule>
    <cfRule type="cellIs" dxfId="1881" priority="1487" operator="equal">
      <formula>"ACORDE A ITEM 5.2.2 (T.R.)"</formula>
    </cfRule>
    <cfRule type="cellIs" dxfId="1880" priority="1488" operator="equal">
      <formula>"PENDIENTE POR DESCRIPCIÓN"</formula>
    </cfRule>
    <cfRule type="cellIs" dxfId="1879" priority="1489" operator="equal">
      <formula>"DESCRIPCIÓN INSUFICIENTE"</formula>
    </cfRule>
    <cfRule type="cellIs" dxfId="1878" priority="1490" operator="equal">
      <formula>"NO ESTÁ ACORDE A ITEM 5.2.1 (T.R.)"</formula>
    </cfRule>
    <cfRule type="cellIs" dxfId="1877" priority="1491" operator="equal">
      <formula>"ACORDE A ITEM 5.2.1 (T.R.)"</formula>
    </cfRule>
  </conditionalFormatting>
  <conditionalFormatting sqref="Q283">
    <cfRule type="containsBlanks" dxfId="1876" priority="1475">
      <formula>LEN(TRIM(Q283))=0</formula>
    </cfRule>
    <cfRule type="cellIs" dxfId="1875" priority="1480" operator="equal">
      <formula>"REQUERIMIENTOS SUBSANADOS"</formula>
    </cfRule>
    <cfRule type="containsText" dxfId="1874" priority="1481" operator="containsText" text="NO SUBSANABLE">
      <formula>NOT(ISERROR(SEARCH("NO SUBSANABLE",Q283)))</formula>
    </cfRule>
    <cfRule type="containsText" dxfId="1873" priority="1482" operator="containsText" text="PENDIENTES POR SUBSANAR">
      <formula>NOT(ISERROR(SEARCH("PENDIENTES POR SUBSANAR",Q283)))</formula>
    </cfRule>
    <cfRule type="containsText" dxfId="1872" priority="1483" operator="containsText" text="SIN OBSERVACIÓN">
      <formula>NOT(ISERROR(SEARCH("SIN OBSERVACIÓN",Q283)))</formula>
    </cfRule>
  </conditionalFormatting>
  <conditionalFormatting sqref="R283">
    <cfRule type="containsBlanks" dxfId="1871" priority="1474">
      <formula>LEN(TRIM(R283))=0</formula>
    </cfRule>
    <cfRule type="cellIs" dxfId="1870" priority="1476" operator="equal">
      <formula>"NO CUMPLEN CON LO SOLICITADO"</formula>
    </cfRule>
    <cfRule type="cellIs" dxfId="1869" priority="1477" operator="equal">
      <formula>"CUMPLEN CON LO SOLICITADO"</formula>
    </cfRule>
    <cfRule type="cellIs" dxfId="1868" priority="1478" operator="equal">
      <formula>"PENDIENTES"</formula>
    </cfRule>
    <cfRule type="cellIs" dxfId="1867" priority="1479" operator="equal">
      <formula>"NINGUNO"</formula>
    </cfRule>
  </conditionalFormatting>
  <conditionalFormatting sqref="Q286">
    <cfRule type="containsBlanks" dxfId="1866" priority="1465">
      <formula>LEN(TRIM(Q286))=0</formula>
    </cfRule>
    <cfRule type="cellIs" dxfId="1865" priority="1470" operator="equal">
      <formula>"REQUERIMIENTOS SUBSANADOS"</formula>
    </cfRule>
    <cfRule type="containsText" dxfId="1864" priority="1471" operator="containsText" text="NO SUBSANABLE">
      <formula>NOT(ISERROR(SEARCH("NO SUBSANABLE",Q286)))</formula>
    </cfRule>
    <cfRule type="containsText" dxfId="1863" priority="1472" operator="containsText" text="PENDIENTES POR SUBSANAR">
      <formula>NOT(ISERROR(SEARCH("PENDIENTES POR SUBSANAR",Q286)))</formula>
    </cfRule>
    <cfRule type="containsText" dxfId="1862" priority="1473" operator="containsText" text="SIN OBSERVACIÓN">
      <formula>NOT(ISERROR(SEARCH("SIN OBSERVACIÓN",Q286)))</formula>
    </cfRule>
  </conditionalFormatting>
  <conditionalFormatting sqref="R286">
    <cfRule type="containsBlanks" dxfId="1861" priority="1464">
      <formula>LEN(TRIM(R286))=0</formula>
    </cfRule>
    <cfRule type="cellIs" dxfId="1860" priority="1466" operator="equal">
      <formula>"NO CUMPLEN CON LO SOLICITADO"</formula>
    </cfRule>
    <cfRule type="cellIs" dxfId="1859" priority="1467" operator="equal">
      <formula>"CUMPLEN CON LO SOLICITADO"</formula>
    </cfRule>
    <cfRule type="cellIs" dxfId="1858" priority="1468" operator="equal">
      <formula>"PENDIENTES"</formula>
    </cfRule>
    <cfRule type="cellIs" dxfId="1857" priority="1469" operator="equal">
      <formula>"NINGUNO"</formula>
    </cfRule>
  </conditionalFormatting>
  <conditionalFormatting sqref="M286">
    <cfRule type="expression" dxfId="1856" priority="1422">
      <formula>L286="NO CUMPLE"</formula>
    </cfRule>
    <cfRule type="expression" dxfId="1855" priority="1423">
      <formula>L286="CUMPLE"</formula>
    </cfRule>
  </conditionalFormatting>
  <conditionalFormatting sqref="L286:L287">
    <cfRule type="cellIs" dxfId="1854" priority="1420" operator="equal">
      <formula>"NO CUMPLE"</formula>
    </cfRule>
    <cfRule type="cellIs" dxfId="1853" priority="1421" operator="equal">
      <formula>"CUMPLE"</formula>
    </cfRule>
  </conditionalFormatting>
  <conditionalFormatting sqref="M287">
    <cfRule type="expression" dxfId="1852" priority="1418">
      <formula>L287="NO CUMPLE"</formula>
    </cfRule>
    <cfRule type="expression" dxfId="1851" priority="1419">
      <formula>L287="CUMPLE"</formula>
    </cfRule>
  </conditionalFormatting>
  <conditionalFormatting sqref="J280:J288">
    <cfRule type="cellIs" dxfId="1850" priority="1462" operator="equal">
      <formula>"NO CUMPLE"</formula>
    </cfRule>
    <cfRule type="cellIs" dxfId="1849" priority="1463" operator="equal">
      <formula>"CUMPLE"</formula>
    </cfRule>
  </conditionalFormatting>
  <conditionalFormatting sqref="K280">
    <cfRule type="expression" dxfId="1848" priority="1460">
      <formula>J280="NO CUMPLE"</formula>
    </cfRule>
    <cfRule type="expression" dxfId="1847" priority="1461">
      <formula>J280="CUMPLE"</formula>
    </cfRule>
  </conditionalFormatting>
  <conditionalFormatting sqref="K281:K282">
    <cfRule type="expression" dxfId="1846" priority="1458">
      <formula>J281="NO CUMPLE"</formula>
    </cfRule>
    <cfRule type="expression" dxfId="1845" priority="1459">
      <formula>J281="CUMPLE"</formula>
    </cfRule>
  </conditionalFormatting>
  <conditionalFormatting sqref="J289">
    <cfRule type="cellIs" dxfId="1844" priority="1456" operator="equal">
      <formula>"NO CUMPLE"</formula>
    </cfRule>
    <cfRule type="cellIs" dxfId="1843" priority="1457" operator="equal">
      <formula>"CUMPLE"</formula>
    </cfRule>
  </conditionalFormatting>
  <conditionalFormatting sqref="J290:J291">
    <cfRule type="cellIs" dxfId="1842" priority="1454" operator="equal">
      <formula>"NO CUMPLE"</formula>
    </cfRule>
    <cfRule type="cellIs" dxfId="1841" priority="1455" operator="equal">
      <formula>"CUMPLE"</formula>
    </cfRule>
  </conditionalFormatting>
  <conditionalFormatting sqref="K283">
    <cfRule type="expression" dxfId="1840" priority="1452">
      <formula>J283="NO CUMPLE"</formula>
    </cfRule>
    <cfRule type="expression" dxfId="1839" priority="1453">
      <formula>J283="CUMPLE"</formula>
    </cfRule>
  </conditionalFormatting>
  <conditionalFormatting sqref="K284:K285">
    <cfRule type="expression" dxfId="1838" priority="1450">
      <formula>J284="NO CUMPLE"</formula>
    </cfRule>
    <cfRule type="expression" dxfId="1837" priority="1451">
      <formula>J284="CUMPLE"</formula>
    </cfRule>
  </conditionalFormatting>
  <conditionalFormatting sqref="K286">
    <cfRule type="expression" dxfId="1836" priority="1448">
      <formula>J286="NO CUMPLE"</formula>
    </cfRule>
    <cfRule type="expression" dxfId="1835" priority="1449">
      <formula>J286="CUMPLE"</formula>
    </cfRule>
  </conditionalFormatting>
  <conditionalFormatting sqref="K287:K288">
    <cfRule type="expression" dxfId="1834" priority="1446">
      <formula>J287="NO CUMPLE"</formula>
    </cfRule>
    <cfRule type="expression" dxfId="1833" priority="1447">
      <formula>J287="CUMPLE"</formula>
    </cfRule>
  </conditionalFormatting>
  <conditionalFormatting sqref="K289">
    <cfRule type="expression" dxfId="1832" priority="1444">
      <formula>J289="NO CUMPLE"</formula>
    </cfRule>
    <cfRule type="expression" dxfId="1831" priority="1445">
      <formula>J289="CUMPLE"</formula>
    </cfRule>
  </conditionalFormatting>
  <conditionalFormatting sqref="K290:K291">
    <cfRule type="expression" dxfId="1830" priority="1442">
      <formula>J290="NO CUMPLE"</formula>
    </cfRule>
    <cfRule type="expression" dxfId="1829" priority="1443">
      <formula>J290="CUMPLE"</formula>
    </cfRule>
  </conditionalFormatting>
  <conditionalFormatting sqref="M281">
    <cfRule type="expression" dxfId="1828" priority="1430">
      <formula>L281="NO CUMPLE"</formula>
    </cfRule>
    <cfRule type="expression" dxfId="1827" priority="1431">
      <formula>L281="CUMPLE"</formula>
    </cfRule>
  </conditionalFormatting>
  <conditionalFormatting sqref="L280:L281">
    <cfRule type="cellIs" dxfId="1826" priority="1432" operator="equal">
      <formula>"NO CUMPLE"</formula>
    </cfRule>
    <cfRule type="cellIs" dxfId="1825" priority="1433" operator="equal">
      <formula>"CUMPLE"</formula>
    </cfRule>
  </conditionalFormatting>
  <conditionalFormatting sqref="M280">
    <cfRule type="expression" dxfId="1824" priority="1434">
      <formula>L280="NO CUMPLE"</formula>
    </cfRule>
    <cfRule type="expression" dxfId="1823" priority="1435">
      <formula>L280="CUMPLE"</formula>
    </cfRule>
  </conditionalFormatting>
  <conditionalFormatting sqref="M278">
    <cfRule type="expression" dxfId="1822" priority="1436">
      <formula>L278="NO CUMPLE"</formula>
    </cfRule>
    <cfRule type="expression" dxfId="1821" priority="1437">
      <formula>L278="CUMPLE"</formula>
    </cfRule>
  </conditionalFormatting>
  <conditionalFormatting sqref="M277">
    <cfRule type="expression" dxfId="1820" priority="1440">
      <formula>L277="NO CUMPLE"</formula>
    </cfRule>
    <cfRule type="expression" dxfId="1819" priority="1441">
      <formula>L277="CUMPLE"</formula>
    </cfRule>
  </conditionalFormatting>
  <conditionalFormatting sqref="L277:L278">
    <cfRule type="cellIs" dxfId="1818" priority="1438" operator="equal">
      <formula>"NO CUMPLE"</formula>
    </cfRule>
    <cfRule type="cellIs" dxfId="1817" priority="1439" operator="equal">
      <formula>"CUMPLE"</formula>
    </cfRule>
  </conditionalFormatting>
  <conditionalFormatting sqref="M284">
    <cfRule type="expression" dxfId="1816" priority="1424">
      <formula>L284="NO CUMPLE"</formula>
    </cfRule>
    <cfRule type="expression" dxfId="1815" priority="1425">
      <formula>L284="CUMPLE"</formula>
    </cfRule>
  </conditionalFormatting>
  <conditionalFormatting sqref="M283">
    <cfRule type="expression" dxfId="1814" priority="1428">
      <formula>L283="NO CUMPLE"</formula>
    </cfRule>
    <cfRule type="expression" dxfId="1813" priority="1429">
      <formula>L283="CUMPLE"</formula>
    </cfRule>
  </conditionalFormatting>
  <conditionalFormatting sqref="L283:L284">
    <cfRule type="cellIs" dxfId="1812" priority="1426" operator="equal">
      <formula>"NO CUMPLE"</formula>
    </cfRule>
    <cfRule type="cellIs" dxfId="1811" priority="1427" operator="equal">
      <formula>"CUMPLE"</formula>
    </cfRule>
  </conditionalFormatting>
  <conditionalFormatting sqref="M290">
    <cfRule type="expression" dxfId="1810" priority="1412">
      <formula>L290="NO CUMPLE"</formula>
    </cfRule>
    <cfRule type="expression" dxfId="1809" priority="1413">
      <formula>L290="CUMPLE"</formula>
    </cfRule>
  </conditionalFormatting>
  <conditionalFormatting sqref="M289">
    <cfRule type="expression" dxfId="1808" priority="1416">
      <formula>L289="NO CUMPLE"</formula>
    </cfRule>
    <cfRule type="expression" dxfId="1807" priority="1417">
      <formula>L289="CUMPLE"</formula>
    </cfRule>
  </conditionalFormatting>
  <conditionalFormatting sqref="L289:L290">
    <cfRule type="cellIs" dxfId="1806" priority="1414" operator="equal">
      <formula>"NO CUMPLE"</formula>
    </cfRule>
    <cfRule type="cellIs" dxfId="1805" priority="1415" operator="equal">
      <formula>"CUMPLE"</formula>
    </cfRule>
  </conditionalFormatting>
  <conditionalFormatting sqref="J277">
    <cfRule type="cellIs" dxfId="1804" priority="1410" operator="equal">
      <formula>"NO CUMPLE"</formula>
    </cfRule>
    <cfRule type="cellIs" dxfId="1803" priority="1411" operator="equal">
      <formula>"CUMPLE"</formula>
    </cfRule>
  </conditionalFormatting>
  <conditionalFormatting sqref="J278:J279">
    <cfRule type="cellIs" dxfId="1802" priority="1408" operator="equal">
      <formula>"NO CUMPLE"</formula>
    </cfRule>
    <cfRule type="cellIs" dxfId="1801" priority="1409" operator="equal">
      <formula>"CUMPLE"</formula>
    </cfRule>
  </conditionalFormatting>
  <conditionalFormatting sqref="K277">
    <cfRule type="expression" dxfId="1800" priority="1406">
      <formula>J277="NO CUMPLE"</formula>
    </cfRule>
    <cfRule type="expression" dxfId="1799" priority="1407">
      <formula>J277="CUMPLE"</formula>
    </cfRule>
  </conditionalFormatting>
  <conditionalFormatting sqref="K278:K279">
    <cfRule type="expression" dxfId="1798" priority="1404">
      <formula>J278="NO CUMPLE"</formula>
    </cfRule>
    <cfRule type="expression" dxfId="1797" priority="1405">
      <formula>J278="CUMPLE"</formula>
    </cfRule>
  </conditionalFormatting>
  <conditionalFormatting sqref="S299">
    <cfRule type="cellIs" dxfId="1796" priority="1402" operator="greaterThan">
      <formula>0</formula>
    </cfRule>
    <cfRule type="top10" dxfId="1795" priority="1403" rank="10"/>
  </conditionalFormatting>
  <conditionalFormatting sqref="B314">
    <cfRule type="cellIs" dxfId="1794" priority="1400" operator="equal">
      <formula>"NO CUMPLE CON LA EXPERIENCIA REQUERIDA"</formula>
    </cfRule>
    <cfRule type="cellIs" dxfId="1793" priority="1401" operator="equal">
      <formula>"CUMPLE CON LA EXPERIENCIA REQUERIDA"</formula>
    </cfRule>
  </conditionalFormatting>
  <conditionalFormatting sqref="H299 H302 H305 H308 H311">
    <cfRule type="notContainsBlanks" dxfId="1792" priority="1399">
      <formula>LEN(TRIM(H299))&gt;0</formula>
    </cfRule>
  </conditionalFormatting>
  <conditionalFormatting sqref="G299">
    <cfRule type="notContainsBlanks" dxfId="1791" priority="1398">
      <formula>LEN(TRIM(G299))&gt;0</formula>
    </cfRule>
  </conditionalFormatting>
  <conditionalFormatting sqref="F299">
    <cfRule type="notContainsBlanks" dxfId="1790" priority="1397">
      <formula>LEN(TRIM(F299))&gt;0</formula>
    </cfRule>
  </conditionalFormatting>
  <conditionalFormatting sqref="E299">
    <cfRule type="notContainsBlanks" dxfId="1789" priority="1396">
      <formula>LEN(TRIM(E299))&gt;0</formula>
    </cfRule>
  </conditionalFormatting>
  <conditionalFormatting sqref="D299">
    <cfRule type="notContainsBlanks" dxfId="1788" priority="1395">
      <formula>LEN(TRIM(D299))&gt;0</formula>
    </cfRule>
  </conditionalFormatting>
  <conditionalFormatting sqref="C299">
    <cfRule type="notContainsBlanks" dxfId="1787" priority="1394">
      <formula>LEN(TRIM(C299))&gt;0</formula>
    </cfRule>
  </conditionalFormatting>
  <conditionalFormatting sqref="I299">
    <cfRule type="notContainsBlanks" dxfId="1786" priority="1393">
      <formula>LEN(TRIM(I299))&gt;0</formula>
    </cfRule>
  </conditionalFormatting>
  <conditionalFormatting sqref="S302">
    <cfRule type="cellIs" dxfId="1785" priority="1391" operator="greaterThan">
      <formula>0</formula>
    </cfRule>
    <cfRule type="top10" dxfId="1784" priority="1392" rank="10"/>
  </conditionalFormatting>
  <conditionalFormatting sqref="S305">
    <cfRule type="cellIs" dxfId="1783" priority="1389" operator="greaterThan">
      <formula>0</formula>
    </cfRule>
    <cfRule type="top10" dxfId="1782" priority="1390" rank="10"/>
  </conditionalFormatting>
  <conditionalFormatting sqref="G305">
    <cfRule type="notContainsBlanks" dxfId="1781" priority="1388">
      <formula>LEN(TRIM(G305))&gt;0</formula>
    </cfRule>
  </conditionalFormatting>
  <conditionalFormatting sqref="F305">
    <cfRule type="notContainsBlanks" dxfId="1780" priority="1387">
      <formula>LEN(TRIM(F305))&gt;0</formula>
    </cfRule>
  </conditionalFormatting>
  <conditionalFormatting sqref="E305">
    <cfRule type="notContainsBlanks" dxfId="1779" priority="1386">
      <formula>LEN(TRIM(E305))&gt;0</formula>
    </cfRule>
  </conditionalFormatting>
  <conditionalFormatting sqref="D305">
    <cfRule type="notContainsBlanks" dxfId="1778" priority="1385">
      <formula>LEN(TRIM(D305))&gt;0</formula>
    </cfRule>
  </conditionalFormatting>
  <conditionalFormatting sqref="C305">
    <cfRule type="notContainsBlanks" dxfId="1777" priority="1384">
      <formula>LEN(TRIM(C305))&gt;0</formula>
    </cfRule>
  </conditionalFormatting>
  <conditionalFormatting sqref="I305">
    <cfRule type="notContainsBlanks" dxfId="1776" priority="1383">
      <formula>LEN(TRIM(I305))&gt;0</formula>
    </cfRule>
  </conditionalFormatting>
  <conditionalFormatting sqref="S308">
    <cfRule type="cellIs" dxfId="1775" priority="1381" operator="greaterThan">
      <formula>0</formula>
    </cfRule>
    <cfRule type="top10" dxfId="1774" priority="1382" rank="10"/>
  </conditionalFormatting>
  <conditionalFormatting sqref="S311">
    <cfRule type="cellIs" dxfId="1773" priority="1379" operator="greaterThan">
      <formula>0</formula>
    </cfRule>
    <cfRule type="top10" dxfId="1772" priority="1380" rank="10"/>
  </conditionalFormatting>
  <conditionalFormatting sqref="G311">
    <cfRule type="notContainsBlanks" dxfId="1771" priority="1378">
      <formula>LEN(TRIM(G311))&gt;0</formula>
    </cfRule>
  </conditionalFormatting>
  <conditionalFormatting sqref="F311">
    <cfRule type="notContainsBlanks" dxfId="1770" priority="1377">
      <formula>LEN(TRIM(F311))&gt;0</formula>
    </cfRule>
  </conditionalFormatting>
  <conditionalFormatting sqref="E311">
    <cfRule type="notContainsBlanks" dxfId="1769" priority="1376">
      <formula>LEN(TRIM(E311))&gt;0</formula>
    </cfRule>
  </conditionalFormatting>
  <conditionalFormatting sqref="D311">
    <cfRule type="notContainsBlanks" dxfId="1768" priority="1375">
      <formula>LEN(TRIM(D311))&gt;0</formula>
    </cfRule>
  </conditionalFormatting>
  <conditionalFormatting sqref="C311">
    <cfRule type="notContainsBlanks" dxfId="1767" priority="1374">
      <formula>LEN(TRIM(C311))&gt;0</formula>
    </cfRule>
  </conditionalFormatting>
  <conditionalFormatting sqref="I311">
    <cfRule type="notContainsBlanks" dxfId="1766" priority="1373">
      <formula>LEN(TRIM(I311))&gt;0</formula>
    </cfRule>
  </conditionalFormatting>
  <conditionalFormatting sqref="G302">
    <cfRule type="notContainsBlanks" dxfId="1765" priority="1372">
      <formula>LEN(TRIM(G302))&gt;0</formula>
    </cfRule>
  </conditionalFormatting>
  <conditionalFormatting sqref="F302">
    <cfRule type="notContainsBlanks" dxfId="1764" priority="1371">
      <formula>LEN(TRIM(F302))&gt;0</formula>
    </cfRule>
  </conditionalFormatting>
  <conditionalFormatting sqref="E302">
    <cfRule type="notContainsBlanks" dxfId="1763" priority="1370">
      <formula>LEN(TRIM(E302))&gt;0</formula>
    </cfRule>
  </conditionalFormatting>
  <conditionalFormatting sqref="D302">
    <cfRule type="notContainsBlanks" dxfId="1762" priority="1369">
      <formula>LEN(TRIM(D302))&gt;0</formula>
    </cfRule>
  </conditionalFormatting>
  <conditionalFormatting sqref="C302">
    <cfRule type="notContainsBlanks" dxfId="1761" priority="1368">
      <formula>LEN(TRIM(C302))&gt;0</formula>
    </cfRule>
  </conditionalFormatting>
  <conditionalFormatting sqref="G308">
    <cfRule type="notContainsBlanks" dxfId="1760" priority="1367">
      <formula>LEN(TRIM(G308))&gt;0</formula>
    </cfRule>
  </conditionalFormatting>
  <conditionalFormatting sqref="F308">
    <cfRule type="notContainsBlanks" dxfId="1759" priority="1366">
      <formula>LEN(TRIM(F308))&gt;0</formula>
    </cfRule>
  </conditionalFormatting>
  <conditionalFormatting sqref="E308">
    <cfRule type="notContainsBlanks" dxfId="1758" priority="1365">
      <formula>LEN(TRIM(E308))&gt;0</formula>
    </cfRule>
  </conditionalFormatting>
  <conditionalFormatting sqref="D308">
    <cfRule type="notContainsBlanks" dxfId="1757" priority="1364">
      <formula>LEN(TRIM(D308))&gt;0</formula>
    </cfRule>
  </conditionalFormatting>
  <conditionalFormatting sqref="C308">
    <cfRule type="notContainsBlanks" dxfId="1756" priority="1363">
      <formula>LEN(TRIM(C308))&gt;0</formula>
    </cfRule>
  </conditionalFormatting>
  <conditionalFormatting sqref="I302">
    <cfRule type="notContainsBlanks" dxfId="1755" priority="1362">
      <formula>LEN(TRIM(I302))&gt;0</formula>
    </cfRule>
  </conditionalFormatting>
  <conditionalFormatting sqref="I308">
    <cfRule type="notContainsBlanks" dxfId="1754" priority="1361">
      <formula>LEN(TRIM(I308))&gt;0</formula>
    </cfRule>
  </conditionalFormatting>
  <conditionalFormatting sqref="S314">
    <cfRule type="expression" dxfId="1753" priority="1359">
      <formula>$S$28&gt;0</formula>
    </cfRule>
    <cfRule type="cellIs" dxfId="1752" priority="1360" operator="equal">
      <formula>0</formula>
    </cfRule>
  </conditionalFormatting>
  <conditionalFormatting sqref="S315">
    <cfRule type="expression" dxfId="1751" priority="1357">
      <formula>$S$28&gt;0</formula>
    </cfRule>
    <cfRule type="cellIs" dxfId="1750" priority="1358" operator="equal">
      <formula>0</formula>
    </cfRule>
  </conditionalFormatting>
  <conditionalFormatting sqref="N299">
    <cfRule type="expression" dxfId="1749" priority="1354">
      <formula>N299=" "</formula>
    </cfRule>
    <cfRule type="expression" dxfId="1748" priority="1355">
      <formula>N299="NO PRESENTÓ CERTIFICADO"</formula>
    </cfRule>
    <cfRule type="expression" dxfId="1747" priority="1356">
      <formula>N299="PRESENTÓ CERTIFICADO"</formula>
    </cfRule>
  </conditionalFormatting>
  <conditionalFormatting sqref="O299">
    <cfRule type="cellIs" dxfId="1746" priority="1336" operator="equal">
      <formula>"PENDIENTE POR DESCRIPCIÓN"</formula>
    </cfRule>
    <cfRule type="cellIs" dxfId="1745" priority="1337" operator="equal">
      <formula>"DESCRIPCIÓN INSUFICIENTE"</formula>
    </cfRule>
    <cfRule type="cellIs" dxfId="1744" priority="1338" operator="equal">
      <formula>"NO ESTÁ ACORDE A ITEM 5.2.2 (T.R.)"</formula>
    </cfRule>
    <cfRule type="cellIs" dxfId="1743" priority="1339" operator="equal">
      <formula>"ACORDE A ITEM 5.2.2 (T.R.)"</formula>
    </cfRule>
    <cfRule type="cellIs" dxfId="1742" priority="1346" operator="equal">
      <formula>"PENDIENTE POR DESCRIPCIÓN"</formula>
    </cfRule>
    <cfRule type="cellIs" dxfId="1741" priority="1348" operator="equal">
      <formula>"DESCRIPCIÓN INSUFICIENTE"</formula>
    </cfRule>
    <cfRule type="cellIs" dxfId="1740" priority="1349" operator="equal">
      <formula>"NO ESTÁ ACORDE A ITEM 5.2.1 (T.R.)"</formula>
    </cfRule>
    <cfRule type="cellIs" dxfId="1739" priority="1350" operator="equal">
      <formula>"ACORDE A ITEM 5.2.1 (T.R.)"</formula>
    </cfRule>
  </conditionalFormatting>
  <conditionalFormatting sqref="Q299">
    <cfRule type="containsBlanks" dxfId="1738" priority="1341">
      <formula>LEN(TRIM(Q299))=0</formula>
    </cfRule>
    <cfRule type="cellIs" dxfId="1737" priority="1347" operator="equal">
      <formula>"REQUERIMIENTOS SUBSANADOS"</formula>
    </cfRule>
    <cfRule type="containsText" dxfId="1736" priority="1351" operator="containsText" text="NO SUBSANABLE">
      <formula>NOT(ISERROR(SEARCH("NO SUBSANABLE",Q299)))</formula>
    </cfRule>
    <cfRule type="containsText" dxfId="1735" priority="1352" operator="containsText" text="PENDIENTES POR SUBSANAR">
      <formula>NOT(ISERROR(SEARCH("PENDIENTES POR SUBSANAR",Q299)))</formula>
    </cfRule>
    <cfRule type="containsText" dxfId="1734" priority="1353" operator="containsText" text="SIN OBSERVACIÓN">
      <formula>NOT(ISERROR(SEARCH("SIN OBSERVACIÓN",Q299)))</formula>
    </cfRule>
  </conditionalFormatting>
  <conditionalFormatting sqref="R299">
    <cfRule type="containsBlanks" dxfId="1733" priority="1340">
      <formula>LEN(TRIM(R299))=0</formula>
    </cfRule>
    <cfRule type="cellIs" dxfId="1732" priority="1342" operator="equal">
      <formula>"NO CUMPLEN CON LO SOLICITADO"</formula>
    </cfRule>
    <cfRule type="cellIs" dxfId="1731" priority="1343" operator="equal">
      <formula>"CUMPLEN CON LO SOLICITADO"</formula>
    </cfRule>
    <cfRule type="cellIs" dxfId="1730" priority="1344" operator="equal">
      <formula>"PENDIENTES"</formula>
    </cfRule>
    <cfRule type="cellIs" dxfId="1729" priority="1345" operator="equal">
      <formula>"NINGUNO"</formula>
    </cfRule>
  </conditionalFormatting>
  <conditionalFormatting sqref="P299">
    <cfRule type="expression" dxfId="1728" priority="1331">
      <formula>Q299="NO SUBSANABLE"</formula>
    </cfRule>
    <cfRule type="expression" dxfId="1727" priority="1332">
      <formula>Q299="REQUERIMIENTOS SUBSANADOS"</formula>
    </cfRule>
    <cfRule type="expression" dxfId="1726" priority="1333">
      <formula>Q299="PENDIENTES POR SUBSANAR"</formula>
    </cfRule>
    <cfRule type="expression" dxfId="1725" priority="1334">
      <formula>Q299="SIN OBSERVACIÓN"</formula>
    </cfRule>
    <cfRule type="containsBlanks" dxfId="1724" priority="1335">
      <formula>LEN(TRIM(P299))=0</formula>
    </cfRule>
  </conditionalFormatting>
  <conditionalFormatting sqref="N311">
    <cfRule type="expression" dxfId="1723" priority="1328">
      <formula>N311=" "</formula>
    </cfRule>
    <cfRule type="expression" dxfId="1722" priority="1329">
      <formula>N311="NO PRESENTÓ CERTIFICADO"</formula>
    </cfRule>
    <cfRule type="expression" dxfId="1721" priority="1330">
      <formula>N311="PRESENTÓ CERTIFICADO"</formula>
    </cfRule>
  </conditionalFormatting>
  <conditionalFormatting sqref="O311">
    <cfRule type="cellIs" dxfId="1720" priority="1310" operator="equal">
      <formula>"PENDIENTE POR DESCRIPCIÓN"</formula>
    </cfRule>
    <cfRule type="cellIs" dxfId="1719" priority="1311" operator="equal">
      <formula>"DESCRIPCIÓN INSUFICIENTE"</formula>
    </cfRule>
    <cfRule type="cellIs" dxfId="1718" priority="1312" operator="equal">
      <formula>"NO ESTÁ ACORDE A ITEM 5.2.2 (T.R.)"</formula>
    </cfRule>
    <cfRule type="cellIs" dxfId="1717" priority="1313" operator="equal">
      <formula>"ACORDE A ITEM 5.2.2 (T.R.)"</formula>
    </cfRule>
    <cfRule type="cellIs" dxfId="1716" priority="1320" operator="equal">
      <formula>"PENDIENTE POR DESCRIPCIÓN"</formula>
    </cfRule>
    <cfRule type="cellIs" dxfId="1715" priority="1322" operator="equal">
      <formula>"DESCRIPCIÓN INSUFICIENTE"</formula>
    </cfRule>
    <cfRule type="cellIs" dxfId="1714" priority="1323" operator="equal">
      <formula>"NO ESTÁ ACORDE A ITEM 5.2.1 (T.R.)"</formula>
    </cfRule>
    <cfRule type="cellIs" dxfId="1713" priority="1324" operator="equal">
      <formula>"ACORDE A ITEM 5.2.1 (T.R.)"</formula>
    </cfRule>
  </conditionalFormatting>
  <conditionalFormatting sqref="Q311">
    <cfRule type="containsBlanks" dxfId="1712" priority="1315">
      <formula>LEN(TRIM(Q311))=0</formula>
    </cfRule>
    <cfRule type="cellIs" dxfId="1711" priority="1321" operator="equal">
      <formula>"REQUERIMIENTOS SUBSANADOS"</formula>
    </cfRule>
    <cfRule type="containsText" dxfId="1710" priority="1325" operator="containsText" text="NO SUBSANABLE">
      <formula>NOT(ISERROR(SEARCH("NO SUBSANABLE",Q311)))</formula>
    </cfRule>
    <cfRule type="containsText" dxfId="1709" priority="1326" operator="containsText" text="PENDIENTES POR SUBSANAR">
      <formula>NOT(ISERROR(SEARCH("PENDIENTES POR SUBSANAR",Q311)))</formula>
    </cfRule>
    <cfRule type="containsText" dxfId="1708" priority="1327" operator="containsText" text="SIN OBSERVACIÓN">
      <formula>NOT(ISERROR(SEARCH("SIN OBSERVACIÓN",Q311)))</formula>
    </cfRule>
  </conditionalFormatting>
  <conditionalFormatting sqref="R311">
    <cfRule type="containsBlanks" dxfId="1707" priority="1314">
      <formula>LEN(TRIM(R311))=0</formula>
    </cfRule>
    <cfRule type="cellIs" dxfId="1706" priority="1316" operator="equal">
      <formula>"NO CUMPLEN CON LO SOLICITADO"</formula>
    </cfRule>
    <cfRule type="cellIs" dxfId="1705" priority="1317" operator="equal">
      <formula>"CUMPLEN CON LO SOLICITADO"</formula>
    </cfRule>
    <cfRule type="cellIs" dxfId="1704" priority="1318" operator="equal">
      <formula>"PENDIENTES"</formula>
    </cfRule>
    <cfRule type="cellIs" dxfId="1703" priority="1319" operator="equal">
      <formula>"NINGUNO"</formula>
    </cfRule>
  </conditionalFormatting>
  <conditionalFormatting sqref="P302 P305 P308 P311">
    <cfRule type="expression" dxfId="1702" priority="1305">
      <formula>Q302="NO SUBSANABLE"</formula>
    </cfRule>
    <cfRule type="expression" dxfId="1701" priority="1306">
      <formula>Q302="REQUERIMIENTOS SUBSANADOS"</formula>
    </cfRule>
    <cfRule type="expression" dxfId="1700" priority="1307">
      <formula>Q302="PENDIENTES POR SUBSANAR"</formula>
    </cfRule>
    <cfRule type="expression" dxfId="1699" priority="1308">
      <formula>Q302="SIN OBSERVACIÓN"</formula>
    </cfRule>
    <cfRule type="containsBlanks" dxfId="1698" priority="1309">
      <formula>LEN(TRIM(P302))=0</formula>
    </cfRule>
  </conditionalFormatting>
  <conditionalFormatting sqref="N302">
    <cfRule type="expression" dxfId="1697" priority="1302">
      <formula>N302=" "</formula>
    </cfRule>
    <cfRule type="expression" dxfId="1696" priority="1303">
      <formula>N302="NO PRESENTÓ CERTIFICADO"</formula>
    </cfRule>
    <cfRule type="expression" dxfId="1695" priority="1304">
      <formula>N302="PRESENTÓ CERTIFICADO"</formula>
    </cfRule>
  </conditionalFormatting>
  <conditionalFormatting sqref="N305">
    <cfRule type="expression" dxfId="1694" priority="1299">
      <formula>N305=" "</formula>
    </cfRule>
    <cfRule type="expression" dxfId="1693" priority="1300">
      <formula>N305="NO PRESENTÓ CERTIFICADO"</formula>
    </cfRule>
    <cfRule type="expression" dxfId="1692" priority="1301">
      <formula>N305="PRESENTÓ CERTIFICADO"</formula>
    </cfRule>
  </conditionalFormatting>
  <conditionalFormatting sqref="N308">
    <cfRule type="expression" dxfId="1691" priority="1296">
      <formula>N308=" "</formula>
    </cfRule>
    <cfRule type="expression" dxfId="1690" priority="1297">
      <formula>N308="NO PRESENTÓ CERTIFICADO"</formula>
    </cfRule>
    <cfRule type="expression" dxfId="1689" priority="1298">
      <formula>N308="PRESENTÓ CERTIFICADO"</formula>
    </cfRule>
  </conditionalFormatting>
  <conditionalFormatting sqref="O302">
    <cfRule type="cellIs" dxfId="1688" priority="1288" operator="equal">
      <formula>"PENDIENTE POR DESCRIPCIÓN"</formula>
    </cfRule>
    <cfRule type="cellIs" dxfId="1687" priority="1289" operator="equal">
      <formula>"DESCRIPCIÓN INSUFICIENTE"</formula>
    </cfRule>
    <cfRule type="cellIs" dxfId="1686" priority="1290" operator="equal">
      <formula>"NO ESTÁ ACORDE A ITEM 5.2.2 (T.R.)"</formula>
    </cfRule>
    <cfRule type="cellIs" dxfId="1685" priority="1291" operator="equal">
      <formula>"ACORDE A ITEM 5.2.2 (T.R.)"</formula>
    </cfRule>
    <cfRule type="cellIs" dxfId="1684" priority="1292" operator="equal">
      <formula>"PENDIENTE POR DESCRIPCIÓN"</formula>
    </cfRule>
    <cfRule type="cellIs" dxfId="1683" priority="1293" operator="equal">
      <formula>"DESCRIPCIÓN INSUFICIENTE"</formula>
    </cfRule>
    <cfRule type="cellIs" dxfId="1682" priority="1294" operator="equal">
      <formula>"NO ESTÁ ACORDE A ITEM 5.2.1 (T.R.)"</formula>
    </cfRule>
    <cfRule type="cellIs" dxfId="1681" priority="1295" operator="equal">
      <formula>"ACORDE A ITEM 5.2.1 (T.R.)"</formula>
    </cfRule>
  </conditionalFormatting>
  <conditionalFormatting sqref="O305">
    <cfRule type="cellIs" dxfId="1680" priority="1280" operator="equal">
      <formula>"PENDIENTE POR DESCRIPCIÓN"</formula>
    </cfRule>
    <cfRule type="cellIs" dxfId="1679" priority="1281" operator="equal">
      <formula>"DESCRIPCIÓN INSUFICIENTE"</formula>
    </cfRule>
    <cfRule type="cellIs" dxfId="1678" priority="1282" operator="equal">
      <formula>"NO ESTÁ ACORDE A ITEM 5.2.2 (T.R.)"</formula>
    </cfRule>
    <cfRule type="cellIs" dxfId="1677" priority="1283" operator="equal">
      <formula>"ACORDE A ITEM 5.2.2 (T.R.)"</formula>
    </cfRule>
    <cfRule type="cellIs" dxfId="1676" priority="1284" operator="equal">
      <formula>"PENDIENTE POR DESCRIPCIÓN"</formula>
    </cfRule>
    <cfRule type="cellIs" dxfId="1675" priority="1285" operator="equal">
      <formula>"DESCRIPCIÓN INSUFICIENTE"</formula>
    </cfRule>
    <cfRule type="cellIs" dxfId="1674" priority="1286" operator="equal">
      <formula>"NO ESTÁ ACORDE A ITEM 5.2.1 (T.R.)"</formula>
    </cfRule>
    <cfRule type="cellIs" dxfId="1673" priority="1287" operator="equal">
      <formula>"ACORDE A ITEM 5.2.1 (T.R.)"</formula>
    </cfRule>
  </conditionalFormatting>
  <conditionalFormatting sqref="O308">
    <cfRule type="cellIs" dxfId="1672" priority="1272" operator="equal">
      <formula>"PENDIENTE POR DESCRIPCIÓN"</formula>
    </cfRule>
    <cfRule type="cellIs" dxfId="1671" priority="1273" operator="equal">
      <formula>"DESCRIPCIÓN INSUFICIENTE"</formula>
    </cfRule>
    <cfRule type="cellIs" dxfId="1670" priority="1274" operator="equal">
      <formula>"NO ESTÁ ACORDE A ITEM 5.2.2 (T.R.)"</formula>
    </cfRule>
    <cfRule type="cellIs" dxfId="1669" priority="1275" operator="equal">
      <formula>"ACORDE A ITEM 5.2.2 (T.R.)"</formula>
    </cfRule>
    <cfRule type="cellIs" dxfId="1668" priority="1276" operator="equal">
      <formula>"PENDIENTE POR DESCRIPCIÓN"</formula>
    </cfRule>
    <cfRule type="cellIs" dxfId="1667" priority="1277" operator="equal">
      <formula>"DESCRIPCIÓN INSUFICIENTE"</formula>
    </cfRule>
    <cfRule type="cellIs" dxfId="1666" priority="1278" operator="equal">
      <formula>"NO ESTÁ ACORDE A ITEM 5.2.1 (T.R.)"</formula>
    </cfRule>
    <cfRule type="cellIs" dxfId="1665" priority="1279" operator="equal">
      <formula>"ACORDE A ITEM 5.2.1 (T.R.)"</formula>
    </cfRule>
  </conditionalFormatting>
  <conditionalFormatting sqref="Q302">
    <cfRule type="containsBlanks" dxfId="1664" priority="1263">
      <formula>LEN(TRIM(Q302))=0</formula>
    </cfRule>
    <cfRule type="cellIs" dxfId="1663" priority="1268" operator="equal">
      <formula>"REQUERIMIENTOS SUBSANADOS"</formula>
    </cfRule>
    <cfRule type="containsText" dxfId="1662" priority="1269" operator="containsText" text="NO SUBSANABLE">
      <formula>NOT(ISERROR(SEARCH("NO SUBSANABLE",Q302)))</formula>
    </cfRule>
    <cfRule type="containsText" dxfId="1661" priority="1270" operator="containsText" text="PENDIENTES POR SUBSANAR">
      <formula>NOT(ISERROR(SEARCH("PENDIENTES POR SUBSANAR",Q302)))</formula>
    </cfRule>
    <cfRule type="containsText" dxfId="1660" priority="1271" operator="containsText" text="SIN OBSERVACIÓN">
      <formula>NOT(ISERROR(SEARCH("SIN OBSERVACIÓN",Q302)))</formula>
    </cfRule>
  </conditionalFormatting>
  <conditionalFormatting sqref="R302">
    <cfRule type="containsBlanks" dxfId="1659" priority="1262">
      <formula>LEN(TRIM(R302))=0</formula>
    </cfRule>
    <cfRule type="cellIs" dxfId="1658" priority="1264" operator="equal">
      <formula>"NO CUMPLEN CON LO SOLICITADO"</formula>
    </cfRule>
    <cfRule type="cellIs" dxfId="1657" priority="1265" operator="equal">
      <formula>"CUMPLEN CON LO SOLICITADO"</formula>
    </cfRule>
    <cfRule type="cellIs" dxfId="1656" priority="1266" operator="equal">
      <formula>"PENDIENTES"</formula>
    </cfRule>
    <cfRule type="cellIs" dxfId="1655" priority="1267" operator="equal">
      <formula>"NINGUNO"</formula>
    </cfRule>
  </conditionalFormatting>
  <conditionalFormatting sqref="Q305">
    <cfRule type="containsBlanks" dxfId="1654" priority="1253">
      <formula>LEN(TRIM(Q305))=0</formula>
    </cfRule>
    <cfRule type="cellIs" dxfId="1653" priority="1258" operator="equal">
      <formula>"REQUERIMIENTOS SUBSANADOS"</formula>
    </cfRule>
    <cfRule type="containsText" dxfId="1652" priority="1259" operator="containsText" text="NO SUBSANABLE">
      <formula>NOT(ISERROR(SEARCH("NO SUBSANABLE",Q305)))</formula>
    </cfRule>
    <cfRule type="containsText" dxfId="1651" priority="1260" operator="containsText" text="PENDIENTES POR SUBSANAR">
      <formula>NOT(ISERROR(SEARCH("PENDIENTES POR SUBSANAR",Q305)))</formula>
    </cfRule>
    <cfRule type="containsText" dxfId="1650" priority="1261" operator="containsText" text="SIN OBSERVACIÓN">
      <formula>NOT(ISERROR(SEARCH("SIN OBSERVACIÓN",Q305)))</formula>
    </cfRule>
  </conditionalFormatting>
  <conditionalFormatting sqref="R305">
    <cfRule type="containsBlanks" dxfId="1649" priority="1252">
      <formula>LEN(TRIM(R305))=0</formula>
    </cfRule>
    <cfRule type="cellIs" dxfId="1648" priority="1254" operator="equal">
      <formula>"NO CUMPLEN CON LO SOLICITADO"</formula>
    </cfRule>
    <cfRule type="cellIs" dxfId="1647" priority="1255" operator="equal">
      <formula>"CUMPLEN CON LO SOLICITADO"</formula>
    </cfRule>
    <cfRule type="cellIs" dxfId="1646" priority="1256" operator="equal">
      <formula>"PENDIENTES"</formula>
    </cfRule>
    <cfRule type="cellIs" dxfId="1645" priority="1257" operator="equal">
      <formula>"NINGUNO"</formula>
    </cfRule>
  </conditionalFormatting>
  <conditionalFormatting sqref="Q308">
    <cfRule type="containsBlanks" dxfId="1644" priority="1243">
      <formula>LEN(TRIM(Q308))=0</formula>
    </cfRule>
    <cfRule type="cellIs" dxfId="1643" priority="1248" operator="equal">
      <formula>"REQUERIMIENTOS SUBSANADOS"</formula>
    </cfRule>
    <cfRule type="containsText" dxfId="1642" priority="1249" operator="containsText" text="NO SUBSANABLE">
      <formula>NOT(ISERROR(SEARCH("NO SUBSANABLE",Q308)))</formula>
    </cfRule>
    <cfRule type="containsText" dxfId="1641" priority="1250" operator="containsText" text="PENDIENTES POR SUBSANAR">
      <formula>NOT(ISERROR(SEARCH("PENDIENTES POR SUBSANAR",Q308)))</formula>
    </cfRule>
    <cfRule type="containsText" dxfId="1640" priority="1251" operator="containsText" text="SIN OBSERVACIÓN">
      <formula>NOT(ISERROR(SEARCH("SIN OBSERVACIÓN",Q308)))</formula>
    </cfRule>
  </conditionalFormatting>
  <conditionalFormatting sqref="R308">
    <cfRule type="containsBlanks" dxfId="1639" priority="1242">
      <formula>LEN(TRIM(R308))=0</formula>
    </cfRule>
    <cfRule type="cellIs" dxfId="1638" priority="1244" operator="equal">
      <formula>"NO CUMPLEN CON LO SOLICITADO"</formula>
    </cfRule>
    <cfRule type="cellIs" dxfId="1637" priority="1245" operator="equal">
      <formula>"CUMPLEN CON LO SOLICITADO"</formula>
    </cfRule>
    <cfRule type="cellIs" dxfId="1636" priority="1246" operator="equal">
      <formula>"PENDIENTES"</formula>
    </cfRule>
    <cfRule type="cellIs" dxfId="1635" priority="1247" operator="equal">
      <formula>"NINGUNO"</formula>
    </cfRule>
  </conditionalFormatting>
  <conditionalFormatting sqref="M308">
    <cfRule type="expression" dxfId="1634" priority="1200">
      <formula>L308="NO CUMPLE"</formula>
    </cfRule>
    <cfRule type="expression" dxfId="1633" priority="1201">
      <formula>L308="CUMPLE"</formula>
    </cfRule>
  </conditionalFormatting>
  <conditionalFormatting sqref="L308:L309">
    <cfRule type="cellIs" dxfId="1632" priority="1198" operator="equal">
      <formula>"NO CUMPLE"</formula>
    </cfRule>
    <cfRule type="cellIs" dxfId="1631" priority="1199" operator="equal">
      <formula>"CUMPLE"</formula>
    </cfRule>
  </conditionalFormatting>
  <conditionalFormatting sqref="M309">
    <cfRule type="expression" dxfId="1630" priority="1196">
      <formula>L309="NO CUMPLE"</formula>
    </cfRule>
    <cfRule type="expression" dxfId="1629" priority="1197">
      <formula>L309="CUMPLE"</formula>
    </cfRule>
  </conditionalFormatting>
  <conditionalFormatting sqref="J302:J310">
    <cfRule type="cellIs" dxfId="1628" priority="1240" operator="equal">
      <formula>"NO CUMPLE"</formula>
    </cfRule>
    <cfRule type="cellIs" dxfId="1627" priority="1241" operator="equal">
      <formula>"CUMPLE"</formula>
    </cfRule>
  </conditionalFormatting>
  <conditionalFormatting sqref="K302">
    <cfRule type="expression" dxfId="1626" priority="1238">
      <formula>J302="NO CUMPLE"</formula>
    </cfRule>
    <cfRule type="expression" dxfId="1625" priority="1239">
      <formula>J302="CUMPLE"</formula>
    </cfRule>
  </conditionalFormatting>
  <conditionalFormatting sqref="K303:K304">
    <cfRule type="expression" dxfId="1624" priority="1236">
      <formula>J303="NO CUMPLE"</formula>
    </cfRule>
    <cfRule type="expression" dxfId="1623" priority="1237">
      <formula>J303="CUMPLE"</formula>
    </cfRule>
  </conditionalFormatting>
  <conditionalFormatting sqref="J311">
    <cfRule type="cellIs" dxfId="1622" priority="1234" operator="equal">
      <formula>"NO CUMPLE"</formula>
    </cfRule>
    <cfRule type="cellIs" dxfId="1621" priority="1235" operator="equal">
      <formula>"CUMPLE"</formula>
    </cfRule>
  </conditionalFormatting>
  <conditionalFormatting sqref="J312:J313">
    <cfRule type="cellIs" dxfId="1620" priority="1232" operator="equal">
      <formula>"NO CUMPLE"</formula>
    </cfRule>
    <cfRule type="cellIs" dxfId="1619" priority="1233" operator="equal">
      <formula>"CUMPLE"</formula>
    </cfRule>
  </conditionalFormatting>
  <conditionalFormatting sqref="K305">
    <cfRule type="expression" dxfId="1618" priority="1230">
      <formula>J305="NO CUMPLE"</formula>
    </cfRule>
    <cfRule type="expression" dxfId="1617" priority="1231">
      <formula>J305="CUMPLE"</formula>
    </cfRule>
  </conditionalFormatting>
  <conditionalFormatting sqref="K306:K307">
    <cfRule type="expression" dxfId="1616" priority="1228">
      <formula>J306="NO CUMPLE"</formula>
    </cfRule>
    <cfRule type="expression" dxfId="1615" priority="1229">
      <formula>J306="CUMPLE"</formula>
    </cfRule>
  </conditionalFormatting>
  <conditionalFormatting sqref="K308">
    <cfRule type="expression" dxfId="1614" priority="1226">
      <formula>J308="NO CUMPLE"</formula>
    </cfRule>
    <cfRule type="expression" dxfId="1613" priority="1227">
      <formula>J308="CUMPLE"</formula>
    </cfRule>
  </conditionalFormatting>
  <conditionalFormatting sqref="K309:K310">
    <cfRule type="expression" dxfId="1612" priority="1224">
      <formula>J309="NO CUMPLE"</formula>
    </cfRule>
    <cfRule type="expression" dxfId="1611" priority="1225">
      <formula>J309="CUMPLE"</formula>
    </cfRule>
  </conditionalFormatting>
  <conditionalFormatting sqref="K311">
    <cfRule type="expression" dxfId="1610" priority="1222">
      <formula>J311="NO CUMPLE"</formula>
    </cfRule>
    <cfRule type="expression" dxfId="1609" priority="1223">
      <formula>J311="CUMPLE"</formula>
    </cfRule>
  </conditionalFormatting>
  <conditionalFormatting sqref="K312:K313">
    <cfRule type="expression" dxfId="1608" priority="1220">
      <formula>J312="NO CUMPLE"</formula>
    </cfRule>
    <cfRule type="expression" dxfId="1607" priority="1221">
      <formula>J312="CUMPLE"</formula>
    </cfRule>
  </conditionalFormatting>
  <conditionalFormatting sqref="M303">
    <cfRule type="expression" dxfId="1606" priority="1208">
      <formula>L303="NO CUMPLE"</formula>
    </cfRule>
    <cfRule type="expression" dxfId="1605" priority="1209">
      <formula>L303="CUMPLE"</formula>
    </cfRule>
  </conditionalFormatting>
  <conditionalFormatting sqref="L302:L303">
    <cfRule type="cellIs" dxfId="1604" priority="1210" operator="equal">
      <formula>"NO CUMPLE"</formula>
    </cfRule>
    <cfRule type="cellIs" dxfId="1603" priority="1211" operator="equal">
      <formula>"CUMPLE"</formula>
    </cfRule>
  </conditionalFormatting>
  <conditionalFormatting sqref="M302">
    <cfRule type="expression" dxfId="1602" priority="1212">
      <formula>L302="NO CUMPLE"</formula>
    </cfRule>
    <cfRule type="expression" dxfId="1601" priority="1213">
      <formula>L302="CUMPLE"</formula>
    </cfRule>
  </conditionalFormatting>
  <conditionalFormatting sqref="M300">
    <cfRule type="expression" dxfId="1600" priority="1214">
      <formula>L300="NO CUMPLE"</formula>
    </cfRule>
    <cfRule type="expression" dxfId="1599" priority="1215">
      <formula>L300="CUMPLE"</formula>
    </cfRule>
  </conditionalFormatting>
  <conditionalFormatting sqref="M299">
    <cfRule type="expression" dxfId="1598" priority="1218">
      <formula>L299="NO CUMPLE"</formula>
    </cfRule>
    <cfRule type="expression" dxfId="1597" priority="1219">
      <formula>L299="CUMPLE"</formula>
    </cfRule>
  </conditionalFormatting>
  <conditionalFormatting sqref="L299:L300">
    <cfRule type="cellIs" dxfId="1596" priority="1216" operator="equal">
      <formula>"NO CUMPLE"</formula>
    </cfRule>
    <cfRule type="cellIs" dxfId="1595" priority="1217" operator="equal">
      <formula>"CUMPLE"</formula>
    </cfRule>
  </conditionalFormatting>
  <conditionalFormatting sqref="M306">
    <cfRule type="expression" dxfId="1594" priority="1202">
      <formula>L306="NO CUMPLE"</formula>
    </cfRule>
    <cfRule type="expression" dxfId="1593" priority="1203">
      <formula>L306="CUMPLE"</formula>
    </cfRule>
  </conditionalFormatting>
  <conditionalFormatting sqref="M305">
    <cfRule type="expression" dxfId="1592" priority="1206">
      <formula>L305="NO CUMPLE"</formula>
    </cfRule>
    <cfRule type="expression" dxfId="1591" priority="1207">
      <formula>L305="CUMPLE"</formula>
    </cfRule>
  </conditionalFormatting>
  <conditionalFormatting sqref="L305:L306">
    <cfRule type="cellIs" dxfId="1590" priority="1204" operator="equal">
      <formula>"NO CUMPLE"</formula>
    </cfRule>
    <cfRule type="cellIs" dxfId="1589" priority="1205" operator="equal">
      <formula>"CUMPLE"</formula>
    </cfRule>
  </conditionalFormatting>
  <conditionalFormatting sqref="M312">
    <cfRule type="expression" dxfId="1588" priority="1190">
      <formula>L312="NO CUMPLE"</formula>
    </cfRule>
    <cfRule type="expression" dxfId="1587" priority="1191">
      <formula>L312="CUMPLE"</formula>
    </cfRule>
  </conditionalFormatting>
  <conditionalFormatting sqref="M311">
    <cfRule type="expression" dxfId="1586" priority="1194">
      <formula>L311="NO CUMPLE"</formula>
    </cfRule>
    <cfRule type="expression" dxfId="1585" priority="1195">
      <formula>L311="CUMPLE"</formula>
    </cfRule>
  </conditionalFormatting>
  <conditionalFormatting sqref="L311:L312">
    <cfRule type="cellIs" dxfId="1584" priority="1192" operator="equal">
      <formula>"NO CUMPLE"</formula>
    </cfRule>
    <cfRule type="cellIs" dxfId="1583" priority="1193" operator="equal">
      <formula>"CUMPLE"</formula>
    </cfRule>
  </conditionalFormatting>
  <conditionalFormatting sqref="J299">
    <cfRule type="cellIs" dxfId="1582" priority="1188" operator="equal">
      <formula>"NO CUMPLE"</formula>
    </cfRule>
    <cfRule type="cellIs" dxfId="1581" priority="1189" operator="equal">
      <formula>"CUMPLE"</formula>
    </cfRule>
  </conditionalFormatting>
  <conditionalFormatting sqref="J300:J301">
    <cfRule type="cellIs" dxfId="1580" priority="1186" operator="equal">
      <formula>"NO CUMPLE"</formula>
    </cfRule>
    <cfRule type="cellIs" dxfId="1579" priority="1187" operator="equal">
      <formula>"CUMPLE"</formula>
    </cfRule>
  </conditionalFormatting>
  <conditionalFormatting sqref="K299">
    <cfRule type="expression" dxfId="1578" priority="1184">
      <formula>J299="NO CUMPLE"</formula>
    </cfRule>
    <cfRule type="expression" dxfId="1577" priority="1185">
      <formula>J299="CUMPLE"</formula>
    </cfRule>
  </conditionalFormatting>
  <conditionalFormatting sqref="K300:K301">
    <cfRule type="expression" dxfId="1576" priority="1182">
      <formula>J300="NO CUMPLE"</formula>
    </cfRule>
    <cfRule type="expression" dxfId="1575" priority="1183">
      <formula>J300="CUMPLE"</formula>
    </cfRule>
  </conditionalFormatting>
  <conditionalFormatting sqref="T116">
    <cfRule type="cellIs" dxfId="1574" priority="1180" operator="equal">
      <formula>"NO CUMPLE"</formula>
    </cfRule>
    <cfRule type="cellIs" dxfId="1573" priority="1181" operator="equal">
      <formula>"CUMPLE"</formula>
    </cfRule>
  </conditionalFormatting>
  <conditionalFormatting sqref="T101">
    <cfRule type="cellIs" dxfId="1572" priority="1178" operator="equal">
      <formula>"NO"</formula>
    </cfRule>
    <cfRule type="cellIs" dxfId="1571" priority="1179" operator="equal">
      <formula>"SI"</formula>
    </cfRule>
  </conditionalFormatting>
  <conditionalFormatting sqref="T138">
    <cfRule type="cellIs" dxfId="1570" priority="1176" operator="equal">
      <formula>"NO CUMPLE"</formula>
    </cfRule>
    <cfRule type="cellIs" dxfId="1569" priority="1177" operator="equal">
      <formula>"CUMPLE"</formula>
    </cfRule>
  </conditionalFormatting>
  <conditionalFormatting sqref="T123">
    <cfRule type="cellIs" dxfId="1568" priority="1174" operator="equal">
      <formula>"NO"</formula>
    </cfRule>
    <cfRule type="cellIs" dxfId="1567" priority="1175" operator="equal">
      <formula>"SI"</formula>
    </cfRule>
  </conditionalFormatting>
  <conditionalFormatting sqref="T160">
    <cfRule type="cellIs" dxfId="1566" priority="1172" operator="equal">
      <formula>"NO CUMPLE"</formula>
    </cfRule>
    <cfRule type="cellIs" dxfId="1565" priority="1173" operator="equal">
      <formula>"CUMPLE"</formula>
    </cfRule>
  </conditionalFormatting>
  <conditionalFormatting sqref="T145">
    <cfRule type="cellIs" dxfId="1564" priority="1170" operator="equal">
      <formula>"NO"</formula>
    </cfRule>
    <cfRule type="cellIs" dxfId="1563" priority="1171" operator="equal">
      <formula>"SI"</formula>
    </cfRule>
  </conditionalFormatting>
  <conditionalFormatting sqref="U151:U153">
    <cfRule type="cellIs" dxfId="1562" priority="1168" operator="equal">
      <formula>0</formula>
    </cfRule>
    <cfRule type="cellIs" dxfId="1561" priority="1169" operator="equal">
      <formula>1</formula>
    </cfRule>
  </conditionalFormatting>
  <conditionalFormatting sqref="U154:U156">
    <cfRule type="cellIs" dxfId="1560" priority="1166" operator="equal">
      <formula>0</formula>
    </cfRule>
    <cfRule type="cellIs" dxfId="1559" priority="1167" operator="equal">
      <formula>1</formula>
    </cfRule>
  </conditionalFormatting>
  <conditionalFormatting sqref="U157:U159">
    <cfRule type="cellIs" dxfId="1558" priority="1164" operator="equal">
      <formula>0</formula>
    </cfRule>
    <cfRule type="cellIs" dxfId="1557" priority="1165" operator="equal">
      <formula>1</formula>
    </cfRule>
  </conditionalFormatting>
  <conditionalFormatting sqref="T182">
    <cfRule type="cellIs" dxfId="1556" priority="1162" operator="equal">
      <formula>"NO CUMPLE"</formula>
    </cfRule>
    <cfRule type="cellIs" dxfId="1555" priority="1163" operator="equal">
      <formula>"CUMPLE"</formula>
    </cfRule>
  </conditionalFormatting>
  <conditionalFormatting sqref="T167">
    <cfRule type="cellIs" dxfId="1554" priority="1160" operator="equal">
      <formula>"NO"</formula>
    </cfRule>
    <cfRule type="cellIs" dxfId="1553" priority="1161" operator="equal">
      <formula>"SI"</formula>
    </cfRule>
  </conditionalFormatting>
  <conditionalFormatting sqref="T204">
    <cfRule type="cellIs" dxfId="1552" priority="1158" operator="equal">
      <formula>"NO CUMPLE"</formula>
    </cfRule>
    <cfRule type="cellIs" dxfId="1551" priority="1159" operator="equal">
      <formula>"CUMPLE"</formula>
    </cfRule>
  </conditionalFormatting>
  <conditionalFormatting sqref="T189">
    <cfRule type="cellIs" dxfId="1550" priority="1156" operator="equal">
      <formula>"NO"</formula>
    </cfRule>
    <cfRule type="cellIs" dxfId="1549" priority="1157" operator="equal">
      <formula>"SI"</formula>
    </cfRule>
  </conditionalFormatting>
  <conditionalFormatting sqref="U192:U194">
    <cfRule type="cellIs" dxfId="1548" priority="1154" operator="equal">
      <formula>0</formula>
    </cfRule>
    <cfRule type="cellIs" dxfId="1547" priority="1155" operator="equal">
      <formula>1</formula>
    </cfRule>
  </conditionalFormatting>
  <conditionalFormatting sqref="U195:U197">
    <cfRule type="cellIs" dxfId="1546" priority="1152" operator="equal">
      <formula>0</formula>
    </cfRule>
    <cfRule type="cellIs" dxfId="1545" priority="1153" operator="equal">
      <formula>1</formula>
    </cfRule>
  </conditionalFormatting>
  <conditionalFormatting sqref="U198:U200">
    <cfRule type="cellIs" dxfId="1544" priority="1150" operator="equal">
      <formula>0</formula>
    </cfRule>
    <cfRule type="cellIs" dxfId="1543" priority="1151" operator="equal">
      <formula>1</formula>
    </cfRule>
  </conditionalFormatting>
  <conditionalFormatting sqref="U201:U203">
    <cfRule type="cellIs" dxfId="1542" priority="1148" operator="equal">
      <formula>0</formula>
    </cfRule>
    <cfRule type="cellIs" dxfId="1541" priority="1149" operator="equal">
      <formula>1</formula>
    </cfRule>
  </conditionalFormatting>
  <conditionalFormatting sqref="T226">
    <cfRule type="cellIs" dxfId="1540" priority="1146" operator="equal">
      <formula>"NO CUMPLE"</formula>
    </cfRule>
    <cfRule type="cellIs" dxfId="1539" priority="1147" operator="equal">
      <formula>"CUMPLE"</formula>
    </cfRule>
  </conditionalFormatting>
  <conditionalFormatting sqref="T211">
    <cfRule type="cellIs" dxfId="1538" priority="1144" operator="equal">
      <formula>"NO"</formula>
    </cfRule>
    <cfRule type="cellIs" dxfId="1537" priority="1145" operator="equal">
      <formula>"SI"</formula>
    </cfRule>
  </conditionalFormatting>
  <conditionalFormatting sqref="U214:U216">
    <cfRule type="cellIs" dxfId="1536" priority="1142" operator="equal">
      <formula>0</formula>
    </cfRule>
    <cfRule type="cellIs" dxfId="1535" priority="1143" operator="equal">
      <formula>1</formula>
    </cfRule>
  </conditionalFormatting>
  <conditionalFormatting sqref="U217:U219">
    <cfRule type="cellIs" dxfId="1534" priority="1140" operator="equal">
      <formula>0</formula>
    </cfRule>
    <cfRule type="cellIs" dxfId="1533" priority="1141" operator="equal">
      <formula>1</formula>
    </cfRule>
  </conditionalFormatting>
  <conditionalFormatting sqref="U220:U222">
    <cfRule type="cellIs" dxfId="1532" priority="1138" operator="equal">
      <formula>0</formula>
    </cfRule>
    <cfRule type="cellIs" dxfId="1531" priority="1139" operator="equal">
      <formula>1</formula>
    </cfRule>
  </conditionalFormatting>
  <conditionalFormatting sqref="U223:U225">
    <cfRule type="cellIs" dxfId="1530" priority="1136" operator="equal">
      <formula>0</formula>
    </cfRule>
    <cfRule type="cellIs" dxfId="1529" priority="1137" operator="equal">
      <formula>1</formula>
    </cfRule>
  </conditionalFormatting>
  <conditionalFormatting sqref="T248">
    <cfRule type="cellIs" dxfId="1528" priority="1134" operator="equal">
      <formula>"NO CUMPLE"</formula>
    </cfRule>
    <cfRule type="cellIs" dxfId="1527" priority="1135" operator="equal">
      <formula>"CUMPLE"</formula>
    </cfRule>
  </conditionalFormatting>
  <conditionalFormatting sqref="T233">
    <cfRule type="cellIs" dxfId="1526" priority="1132" operator="equal">
      <formula>"NO"</formula>
    </cfRule>
    <cfRule type="cellIs" dxfId="1525" priority="1133" operator="equal">
      <formula>"SI"</formula>
    </cfRule>
  </conditionalFormatting>
  <conditionalFormatting sqref="U242:U244">
    <cfRule type="cellIs" dxfId="1524" priority="1130" operator="equal">
      <formula>0</formula>
    </cfRule>
    <cfRule type="cellIs" dxfId="1523" priority="1131" operator="equal">
      <formula>1</formula>
    </cfRule>
  </conditionalFormatting>
  <conditionalFormatting sqref="U245:U247">
    <cfRule type="cellIs" dxfId="1522" priority="1128" operator="equal">
      <formula>0</formula>
    </cfRule>
    <cfRule type="cellIs" dxfId="1521" priority="1129" operator="equal">
      <formula>1</formula>
    </cfRule>
  </conditionalFormatting>
  <conditionalFormatting sqref="T270">
    <cfRule type="cellIs" dxfId="1520" priority="1126" operator="equal">
      <formula>"NO CUMPLE"</formula>
    </cfRule>
    <cfRule type="cellIs" dxfId="1519" priority="1127" operator="equal">
      <formula>"CUMPLE"</formula>
    </cfRule>
  </conditionalFormatting>
  <conditionalFormatting sqref="T255">
    <cfRule type="cellIs" dxfId="1518" priority="1124" operator="equal">
      <formula>"NO"</formula>
    </cfRule>
    <cfRule type="cellIs" dxfId="1517" priority="1125" operator="equal">
      <formula>"SI"</formula>
    </cfRule>
  </conditionalFormatting>
  <conditionalFormatting sqref="U255:U257">
    <cfRule type="cellIs" dxfId="1516" priority="1122" operator="equal">
      <formula>0</formula>
    </cfRule>
    <cfRule type="cellIs" dxfId="1515" priority="1123" operator="equal">
      <formula>1</formula>
    </cfRule>
  </conditionalFormatting>
  <conditionalFormatting sqref="T292">
    <cfRule type="cellIs" dxfId="1514" priority="1120" operator="equal">
      <formula>"NO CUMPLE"</formula>
    </cfRule>
    <cfRule type="cellIs" dxfId="1513" priority="1121" operator="equal">
      <formula>"CUMPLE"</formula>
    </cfRule>
  </conditionalFormatting>
  <conditionalFormatting sqref="T277">
    <cfRule type="cellIs" dxfId="1512" priority="1118" operator="equal">
      <formula>"NO"</formula>
    </cfRule>
    <cfRule type="cellIs" dxfId="1511" priority="1119" operator="equal">
      <formula>"SI"</formula>
    </cfRule>
  </conditionalFormatting>
  <conditionalFormatting sqref="U277:U279">
    <cfRule type="cellIs" dxfId="1510" priority="1116" operator="equal">
      <formula>0</formula>
    </cfRule>
    <cfRule type="cellIs" dxfId="1509" priority="1117" operator="equal">
      <formula>1</formula>
    </cfRule>
  </conditionalFormatting>
  <conditionalFormatting sqref="U286:U288">
    <cfRule type="cellIs" dxfId="1508" priority="1114" operator="equal">
      <formula>0</formula>
    </cfRule>
    <cfRule type="cellIs" dxfId="1507" priority="1115" operator="equal">
      <formula>1</formula>
    </cfRule>
  </conditionalFormatting>
  <conditionalFormatting sqref="U289:U291">
    <cfRule type="cellIs" dxfId="1506" priority="1112" operator="equal">
      <formula>0</formula>
    </cfRule>
    <cfRule type="cellIs" dxfId="1505" priority="1113" operator="equal">
      <formula>1</formula>
    </cfRule>
  </conditionalFormatting>
  <conditionalFormatting sqref="T314">
    <cfRule type="cellIs" dxfId="1504" priority="1110" operator="equal">
      <formula>"NO CUMPLE"</formula>
    </cfRule>
    <cfRule type="cellIs" dxfId="1503" priority="1111" operator="equal">
      <formula>"CUMPLE"</formula>
    </cfRule>
  </conditionalFormatting>
  <conditionalFormatting sqref="T299">
    <cfRule type="cellIs" dxfId="1502" priority="1108" operator="equal">
      <formula>"NO"</formula>
    </cfRule>
    <cfRule type="cellIs" dxfId="1501" priority="1109" operator="equal">
      <formula>"SI"</formula>
    </cfRule>
  </conditionalFormatting>
  <conditionalFormatting sqref="U299:U301">
    <cfRule type="cellIs" dxfId="1500" priority="1106" operator="equal">
      <formula>0</formula>
    </cfRule>
    <cfRule type="cellIs" dxfId="1499" priority="1107" operator="equal">
      <formula>1</formula>
    </cfRule>
  </conditionalFormatting>
  <conditionalFormatting sqref="U302:U304">
    <cfRule type="cellIs" dxfId="1498" priority="1104" operator="equal">
      <formula>0</formula>
    </cfRule>
    <cfRule type="cellIs" dxfId="1497" priority="1105" operator="equal">
      <formula>1</formula>
    </cfRule>
  </conditionalFormatting>
  <conditionalFormatting sqref="U305:U307">
    <cfRule type="cellIs" dxfId="1496" priority="1102" operator="equal">
      <formula>0</formula>
    </cfRule>
    <cfRule type="cellIs" dxfId="1495" priority="1103" operator="equal">
      <formula>1</formula>
    </cfRule>
  </conditionalFormatting>
  <conditionalFormatting sqref="U308:U310">
    <cfRule type="cellIs" dxfId="1494" priority="1100" operator="equal">
      <formula>0</formula>
    </cfRule>
    <cfRule type="cellIs" dxfId="1493" priority="1101" operator="equal">
      <formula>1</formula>
    </cfRule>
  </conditionalFormatting>
  <conditionalFormatting sqref="U311:U313">
    <cfRule type="cellIs" dxfId="1492" priority="1098" operator="equal">
      <formula>0</formula>
    </cfRule>
    <cfRule type="cellIs" dxfId="1491" priority="1099" operator="equal">
      <formula>1</formula>
    </cfRule>
  </conditionalFormatting>
  <conditionalFormatting sqref="K16">
    <cfRule type="expression" dxfId="1490" priority="1096">
      <formula>J16="NO CUMPLE"</formula>
    </cfRule>
    <cfRule type="expression" dxfId="1489" priority="1097">
      <formula>J16="CUMPLE"</formula>
    </cfRule>
  </conditionalFormatting>
  <conditionalFormatting sqref="K17:K18">
    <cfRule type="expression" dxfId="1488" priority="1094">
      <formula>J17="NO CUMPLE"</formula>
    </cfRule>
    <cfRule type="expression" dxfId="1487" priority="1095">
      <formula>J17="CUMPLE"</formula>
    </cfRule>
  </conditionalFormatting>
  <conditionalFormatting sqref="K19">
    <cfRule type="expression" dxfId="1486" priority="1092">
      <formula>J19="NO CUMPLE"</formula>
    </cfRule>
    <cfRule type="expression" dxfId="1485" priority="1093">
      <formula>J19="CUMPLE"</formula>
    </cfRule>
  </conditionalFormatting>
  <conditionalFormatting sqref="K20:K21">
    <cfRule type="expression" dxfId="1484" priority="1090">
      <formula>J20="NO CUMPLE"</formula>
    </cfRule>
    <cfRule type="expression" dxfId="1483" priority="1091">
      <formula>J20="CUMPLE"</formula>
    </cfRule>
  </conditionalFormatting>
  <conditionalFormatting sqref="K22">
    <cfRule type="expression" dxfId="1482" priority="1088">
      <formula>J22="NO CUMPLE"</formula>
    </cfRule>
    <cfRule type="expression" dxfId="1481" priority="1089">
      <formula>J22="CUMPLE"</formula>
    </cfRule>
  </conditionalFormatting>
  <conditionalFormatting sqref="K23:K24">
    <cfRule type="expression" dxfId="1480" priority="1086">
      <formula>J23="NO CUMPLE"</formula>
    </cfRule>
    <cfRule type="expression" dxfId="1479" priority="1087">
      <formula>J23="CUMPLE"</formula>
    </cfRule>
  </conditionalFormatting>
  <conditionalFormatting sqref="K25">
    <cfRule type="expression" dxfId="1478" priority="1084">
      <formula>J25="NO CUMPLE"</formula>
    </cfRule>
    <cfRule type="expression" dxfId="1477" priority="1085">
      <formula>J25="CUMPLE"</formula>
    </cfRule>
  </conditionalFormatting>
  <conditionalFormatting sqref="K26:K27">
    <cfRule type="expression" dxfId="1476" priority="1082">
      <formula>J26="NO CUMPLE"</formula>
    </cfRule>
    <cfRule type="expression" dxfId="1475" priority="1083">
      <formula>J26="CUMPLE"</formula>
    </cfRule>
  </conditionalFormatting>
  <conditionalFormatting sqref="N280">
    <cfRule type="expression" dxfId="1474" priority="1079">
      <formula>N280=" "</formula>
    </cfRule>
    <cfRule type="expression" dxfId="1473" priority="1080">
      <formula>N280="NO PRESENTÓ CERTIFICADO"</formula>
    </cfRule>
    <cfRule type="expression" dxfId="1472" priority="1081">
      <formula>N280="PRESENTÓ CERTIFICADO"</formula>
    </cfRule>
  </conditionalFormatting>
  <conditionalFormatting sqref="O280">
    <cfRule type="cellIs" dxfId="1471" priority="1071" operator="equal">
      <formula>"PENDIENTE POR DESCRIPCIÓN"</formula>
    </cfRule>
    <cfRule type="cellIs" dxfId="1470" priority="1072" operator="equal">
      <formula>"DESCRIPCIÓN INSUFICIENTE"</formula>
    </cfRule>
    <cfRule type="cellIs" dxfId="1469" priority="1073" operator="equal">
      <formula>"NO ESTÁ ACORDE A ITEM 5.2.2 (T.R.)"</formula>
    </cfRule>
    <cfRule type="cellIs" dxfId="1468" priority="1074" operator="equal">
      <formula>"ACORDE A ITEM 5.2.2 (T.R.)"</formula>
    </cfRule>
    <cfRule type="cellIs" dxfId="1467" priority="1075" operator="equal">
      <formula>"PENDIENTE POR DESCRIPCIÓN"</formula>
    </cfRule>
    <cfRule type="cellIs" dxfId="1466" priority="1076" operator="equal">
      <formula>"DESCRIPCIÓN INSUFICIENTE"</formula>
    </cfRule>
    <cfRule type="cellIs" dxfId="1465" priority="1077" operator="equal">
      <formula>"NO ESTÁ ACORDE A ITEM 5.2.1 (T.R.)"</formula>
    </cfRule>
    <cfRule type="cellIs" dxfId="1464" priority="1078" operator="equal">
      <formula>"ACORDE A ITEM 5.2.1 (T.R.)"</formula>
    </cfRule>
  </conditionalFormatting>
  <conditionalFormatting sqref="N283">
    <cfRule type="expression" dxfId="1463" priority="1068">
      <formula>N283=" "</formula>
    </cfRule>
    <cfRule type="expression" dxfId="1462" priority="1069">
      <formula>N283="NO PRESENTÓ CERTIFICADO"</formula>
    </cfRule>
    <cfRule type="expression" dxfId="1461" priority="1070">
      <formula>N283="PRESENTÓ CERTIFICADO"</formula>
    </cfRule>
  </conditionalFormatting>
  <conditionalFormatting sqref="O283">
    <cfRule type="cellIs" dxfId="1460" priority="1060" operator="equal">
      <formula>"PENDIENTE POR DESCRIPCIÓN"</formula>
    </cfRule>
    <cfRule type="cellIs" dxfId="1459" priority="1061" operator="equal">
      <formula>"DESCRIPCIÓN INSUFICIENTE"</formula>
    </cfRule>
    <cfRule type="cellIs" dxfId="1458" priority="1062" operator="equal">
      <formula>"NO ESTÁ ACORDE A ITEM 5.2.2 (T.R.)"</formula>
    </cfRule>
    <cfRule type="cellIs" dxfId="1457" priority="1063" operator="equal">
      <formula>"ACORDE A ITEM 5.2.2 (T.R.)"</formula>
    </cfRule>
    <cfRule type="cellIs" dxfId="1456" priority="1064" operator="equal">
      <formula>"PENDIENTE POR DESCRIPCIÓN"</formula>
    </cfRule>
    <cfRule type="cellIs" dxfId="1455" priority="1065" operator="equal">
      <formula>"DESCRIPCIÓN INSUFICIENTE"</formula>
    </cfRule>
    <cfRule type="cellIs" dxfId="1454" priority="1066" operator="equal">
      <formula>"NO ESTÁ ACORDE A ITEM 5.2.1 (T.R.)"</formula>
    </cfRule>
    <cfRule type="cellIs" dxfId="1453" priority="1067" operator="equal">
      <formula>"ACORDE A ITEM 5.2.1 (T.R.)"</formula>
    </cfRule>
  </conditionalFormatting>
  <conditionalFormatting sqref="Q277">
    <cfRule type="containsBlanks" dxfId="1452" priority="1051">
      <formula>LEN(TRIM(Q277))=0</formula>
    </cfRule>
    <cfRule type="cellIs" dxfId="1451" priority="1056" operator="equal">
      <formula>"REQUERIMIENTOS SUBSANADOS"</formula>
    </cfRule>
    <cfRule type="containsText" dxfId="1450" priority="1057" operator="containsText" text="NO SUBSANABLE">
      <formula>NOT(ISERROR(SEARCH("NO SUBSANABLE",Q277)))</formula>
    </cfRule>
    <cfRule type="containsText" dxfId="1449" priority="1058" operator="containsText" text="PENDIENTES POR SUBSANAR">
      <formula>NOT(ISERROR(SEARCH("PENDIENTES POR SUBSANAR",Q277)))</formula>
    </cfRule>
    <cfRule type="containsText" dxfId="1448" priority="1059" operator="containsText" text="SIN OBSERVACIÓN">
      <formula>NOT(ISERROR(SEARCH("SIN OBSERVACIÓN",Q277)))</formula>
    </cfRule>
  </conditionalFormatting>
  <conditionalFormatting sqref="R277">
    <cfRule type="containsBlanks" dxfId="1447" priority="1050">
      <formula>LEN(TRIM(R277))=0</formula>
    </cfRule>
    <cfRule type="cellIs" dxfId="1446" priority="1052" operator="equal">
      <formula>"NO CUMPLEN CON LO SOLICITADO"</formula>
    </cfRule>
    <cfRule type="cellIs" dxfId="1445" priority="1053" operator="equal">
      <formula>"CUMPLEN CON LO SOLICITADO"</formula>
    </cfRule>
    <cfRule type="cellIs" dxfId="1444" priority="1054" operator="equal">
      <formula>"PENDIENTES"</formula>
    </cfRule>
    <cfRule type="cellIs" dxfId="1443" priority="1055" operator="equal">
      <formula>"NINGUNO"</formula>
    </cfRule>
  </conditionalFormatting>
  <conditionalFormatting sqref="Q280">
    <cfRule type="containsBlanks" dxfId="1442" priority="1041">
      <formula>LEN(TRIM(Q280))=0</formula>
    </cfRule>
    <cfRule type="cellIs" dxfId="1441" priority="1046" operator="equal">
      <formula>"REQUERIMIENTOS SUBSANADOS"</formula>
    </cfRule>
    <cfRule type="containsText" dxfId="1440" priority="1047" operator="containsText" text="NO SUBSANABLE">
      <formula>NOT(ISERROR(SEARCH("NO SUBSANABLE",Q280)))</formula>
    </cfRule>
    <cfRule type="containsText" dxfId="1439" priority="1048" operator="containsText" text="PENDIENTES POR SUBSANAR">
      <formula>NOT(ISERROR(SEARCH("PENDIENTES POR SUBSANAR",Q280)))</formula>
    </cfRule>
    <cfRule type="containsText" dxfId="1438" priority="1049" operator="containsText" text="SIN OBSERVACIÓN">
      <formula>NOT(ISERROR(SEARCH("SIN OBSERVACIÓN",Q280)))</formula>
    </cfRule>
  </conditionalFormatting>
  <conditionalFormatting sqref="R280">
    <cfRule type="containsBlanks" dxfId="1437" priority="1040">
      <formula>LEN(TRIM(R280))=0</formula>
    </cfRule>
    <cfRule type="cellIs" dxfId="1436" priority="1042" operator="equal">
      <formula>"NO CUMPLEN CON LO SOLICITADO"</formula>
    </cfRule>
    <cfRule type="cellIs" dxfId="1435" priority="1043" operator="equal">
      <formula>"CUMPLEN CON LO SOLICITADO"</formula>
    </cfRule>
    <cfRule type="cellIs" dxfId="1434" priority="1044" operator="equal">
      <formula>"PENDIENTES"</formula>
    </cfRule>
    <cfRule type="cellIs" dxfId="1433" priority="1045" operator="equal">
      <formula>"NINGUNO"</formula>
    </cfRule>
  </conditionalFormatting>
  <conditionalFormatting sqref="U280:U285">
    <cfRule type="cellIs" dxfId="1432" priority="1038" operator="equal">
      <formula>0</formula>
    </cfRule>
    <cfRule type="cellIs" dxfId="1431" priority="1039" operator="equal">
      <formula>1</formula>
    </cfRule>
  </conditionalFormatting>
  <conditionalFormatting sqref="H258 H261 H264 H267">
    <cfRule type="notContainsBlanks" dxfId="1430" priority="1037">
      <formula>LEN(TRIM(H258))&gt;0</formula>
    </cfRule>
  </conditionalFormatting>
  <conditionalFormatting sqref="I258 I261 I264 I267">
    <cfRule type="notContainsBlanks" dxfId="1429" priority="1036">
      <formula>LEN(TRIM(I258))&gt;0</formula>
    </cfRule>
  </conditionalFormatting>
  <conditionalFormatting sqref="N258">
    <cfRule type="expression" dxfId="1428" priority="1033">
      <formula>N258=" "</formula>
    </cfRule>
    <cfRule type="expression" dxfId="1427" priority="1034">
      <formula>N258="NO PRESENTÓ CERTIFICADO"</formula>
    </cfRule>
    <cfRule type="expression" dxfId="1426" priority="1035">
      <formula>N258="PRESENTÓ CERTIFICADO"</formula>
    </cfRule>
  </conditionalFormatting>
  <conditionalFormatting sqref="O258">
    <cfRule type="cellIs" dxfId="1425" priority="1015" operator="equal">
      <formula>"PENDIENTE POR DESCRIPCIÓN"</formula>
    </cfRule>
    <cfRule type="cellIs" dxfId="1424" priority="1016" operator="equal">
      <formula>"DESCRIPCIÓN INSUFICIENTE"</formula>
    </cfRule>
    <cfRule type="cellIs" dxfId="1423" priority="1017" operator="equal">
      <formula>"NO ESTÁ ACORDE A ITEM 5.2.2 (T.R.)"</formula>
    </cfRule>
    <cfRule type="cellIs" dxfId="1422" priority="1018" operator="equal">
      <formula>"ACORDE A ITEM 5.2.2 (T.R.)"</formula>
    </cfRule>
    <cfRule type="cellIs" dxfId="1421" priority="1025" operator="equal">
      <formula>"PENDIENTE POR DESCRIPCIÓN"</formula>
    </cfRule>
    <cfRule type="cellIs" dxfId="1420" priority="1027" operator="equal">
      <formula>"DESCRIPCIÓN INSUFICIENTE"</formula>
    </cfRule>
    <cfRule type="cellIs" dxfId="1419" priority="1028" operator="equal">
      <formula>"NO ESTÁ ACORDE A ITEM 5.2.1 (T.R.)"</formula>
    </cfRule>
    <cfRule type="cellIs" dxfId="1418" priority="1029" operator="equal">
      <formula>"ACORDE A ITEM 5.2.1 (T.R.)"</formula>
    </cfRule>
  </conditionalFormatting>
  <conditionalFormatting sqref="Q258">
    <cfRule type="containsBlanks" dxfId="1417" priority="1020">
      <formula>LEN(TRIM(Q258))=0</formula>
    </cfRule>
    <cfRule type="cellIs" dxfId="1416" priority="1026" operator="equal">
      <formula>"REQUERIMIENTOS SUBSANADOS"</formula>
    </cfRule>
    <cfRule type="containsText" dxfId="1415" priority="1030" operator="containsText" text="NO SUBSANABLE">
      <formula>NOT(ISERROR(SEARCH("NO SUBSANABLE",Q258)))</formula>
    </cfRule>
    <cfRule type="containsText" dxfId="1414" priority="1031" operator="containsText" text="PENDIENTES POR SUBSANAR">
      <formula>NOT(ISERROR(SEARCH("PENDIENTES POR SUBSANAR",Q258)))</formula>
    </cfRule>
    <cfRule type="containsText" dxfId="1413" priority="1032" operator="containsText" text="SIN OBSERVACIÓN">
      <formula>NOT(ISERROR(SEARCH("SIN OBSERVACIÓN",Q258)))</formula>
    </cfRule>
  </conditionalFormatting>
  <conditionalFormatting sqref="R258">
    <cfRule type="containsBlanks" dxfId="1412" priority="1019">
      <formula>LEN(TRIM(R258))=0</formula>
    </cfRule>
    <cfRule type="cellIs" dxfId="1411" priority="1021" operator="equal">
      <formula>"NO CUMPLEN CON LO SOLICITADO"</formula>
    </cfRule>
    <cfRule type="cellIs" dxfId="1410" priority="1022" operator="equal">
      <formula>"CUMPLEN CON LO SOLICITADO"</formula>
    </cfRule>
    <cfRule type="cellIs" dxfId="1409" priority="1023" operator="equal">
      <formula>"PENDIENTES"</formula>
    </cfRule>
    <cfRule type="cellIs" dxfId="1408" priority="1024" operator="equal">
      <formula>"NINGUNO"</formula>
    </cfRule>
  </conditionalFormatting>
  <conditionalFormatting sqref="P258">
    <cfRule type="expression" dxfId="1407" priority="1010">
      <formula>Q258="NO SUBSANABLE"</formula>
    </cfRule>
    <cfRule type="expression" dxfId="1406" priority="1011">
      <formula>Q258="REQUERIMIENTOS SUBSANADOS"</formula>
    </cfRule>
    <cfRule type="expression" dxfId="1405" priority="1012">
      <formula>Q258="PENDIENTES POR SUBSANAR"</formula>
    </cfRule>
    <cfRule type="expression" dxfId="1404" priority="1013">
      <formula>Q258="SIN OBSERVACIÓN"</formula>
    </cfRule>
    <cfRule type="containsBlanks" dxfId="1403" priority="1014">
      <formula>LEN(TRIM(P258))=0</formula>
    </cfRule>
  </conditionalFormatting>
  <conditionalFormatting sqref="N261">
    <cfRule type="expression" dxfId="1402" priority="1007">
      <formula>N261=" "</formula>
    </cfRule>
    <cfRule type="expression" dxfId="1401" priority="1008">
      <formula>N261="NO PRESENTÓ CERTIFICADO"</formula>
    </cfRule>
    <cfRule type="expression" dxfId="1400" priority="1009">
      <formula>N261="PRESENTÓ CERTIFICADO"</formula>
    </cfRule>
  </conditionalFormatting>
  <conditionalFormatting sqref="O261">
    <cfRule type="cellIs" dxfId="1399" priority="989" operator="equal">
      <formula>"PENDIENTE POR DESCRIPCIÓN"</formula>
    </cfRule>
    <cfRule type="cellIs" dxfId="1398" priority="990" operator="equal">
      <formula>"DESCRIPCIÓN INSUFICIENTE"</formula>
    </cfRule>
    <cfRule type="cellIs" dxfId="1397" priority="991" operator="equal">
      <formula>"NO ESTÁ ACORDE A ITEM 5.2.2 (T.R.)"</formula>
    </cfRule>
    <cfRule type="cellIs" dxfId="1396" priority="992" operator="equal">
      <formula>"ACORDE A ITEM 5.2.2 (T.R.)"</formula>
    </cfRule>
    <cfRule type="cellIs" dxfId="1395" priority="999" operator="equal">
      <formula>"PENDIENTE POR DESCRIPCIÓN"</formula>
    </cfRule>
    <cfRule type="cellIs" dxfId="1394" priority="1001" operator="equal">
      <formula>"DESCRIPCIÓN INSUFICIENTE"</formula>
    </cfRule>
    <cfRule type="cellIs" dxfId="1393" priority="1002" operator="equal">
      <formula>"NO ESTÁ ACORDE A ITEM 5.2.1 (T.R.)"</formula>
    </cfRule>
    <cfRule type="cellIs" dxfId="1392" priority="1003" operator="equal">
      <formula>"ACORDE A ITEM 5.2.1 (T.R.)"</formula>
    </cfRule>
  </conditionalFormatting>
  <conditionalFormatting sqref="Q261">
    <cfRule type="containsBlanks" dxfId="1391" priority="994">
      <formula>LEN(TRIM(Q261))=0</formula>
    </cfRule>
    <cfRule type="cellIs" dxfId="1390" priority="1000" operator="equal">
      <formula>"REQUERIMIENTOS SUBSANADOS"</formula>
    </cfRule>
    <cfRule type="containsText" dxfId="1389" priority="1004" operator="containsText" text="NO SUBSANABLE">
      <formula>NOT(ISERROR(SEARCH("NO SUBSANABLE",Q261)))</formula>
    </cfRule>
    <cfRule type="containsText" dxfId="1388" priority="1005" operator="containsText" text="PENDIENTES POR SUBSANAR">
      <formula>NOT(ISERROR(SEARCH("PENDIENTES POR SUBSANAR",Q261)))</formula>
    </cfRule>
    <cfRule type="containsText" dxfId="1387" priority="1006" operator="containsText" text="SIN OBSERVACIÓN">
      <formula>NOT(ISERROR(SEARCH("SIN OBSERVACIÓN",Q261)))</formula>
    </cfRule>
  </conditionalFormatting>
  <conditionalFormatting sqref="R261">
    <cfRule type="containsBlanks" dxfId="1386" priority="993">
      <formula>LEN(TRIM(R261))=0</formula>
    </cfRule>
    <cfRule type="cellIs" dxfId="1385" priority="995" operator="equal">
      <formula>"NO CUMPLEN CON LO SOLICITADO"</formula>
    </cfRule>
    <cfRule type="cellIs" dxfId="1384" priority="996" operator="equal">
      <formula>"CUMPLEN CON LO SOLICITADO"</formula>
    </cfRule>
    <cfRule type="cellIs" dxfId="1383" priority="997" operator="equal">
      <formula>"PENDIENTES"</formula>
    </cfRule>
    <cfRule type="cellIs" dxfId="1382" priority="998" operator="equal">
      <formula>"NINGUNO"</formula>
    </cfRule>
  </conditionalFormatting>
  <conditionalFormatting sqref="P261">
    <cfRule type="expression" dxfId="1381" priority="984">
      <formula>Q261="NO SUBSANABLE"</formula>
    </cfRule>
    <cfRule type="expression" dxfId="1380" priority="985">
      <formula>Q261="REQUERIMIENTOS SUBSANADOS"</formula>
    </cfRule>
    <cfRule type="expression" dxfId="1379" priority="986">
      <formula>Q261="PENDIENTES POR SUBSANAR"</formula>
    </cfRule>
    <cfRule type="expression" dxfId="1378" priority="987">
      <formula>Q261="SIN OBSERVACIÓN"</formula>
    </cfRule>
    <cfRule type="containsBlanks" dxfId="1377" priority="988">
      <formula>LEN(TRIM(P261))=0</formula>
    </cfRule>
  </conditionalFormatting>
  <conditionalFormatting sqref="N264">
    <cfRule type="expression" dxfId="1376" priority="981">
      <formula>N264=" "</formula>
    </cfRule>
    <cfRule type="expression" dxfId="1375" priority="982">
      <formula>N264="NO PRESENTÓ CERTIFICADO"</formula>
    </cfRule>
    <cfRule type="expression" dxfId="1374" priority="983">
      <formula>N264="PRESENTÓ CERTIFICADO"</formula>
    </cfRule>
  </conditionalFormatting>
  <conditionalFormatting sqref="O264">
    <cfRule type="cellIs" dxfId="1373" priority="963" operator="equal">
      <formula>"PENDIENTE POR DESCRIPCIÓN"</formula>
    </cfRule>
    <cfRule type="cellIs" dxfId="1372" priority="964" operator="equal">
      <formula>"DESCRIPCIÓN INSUFICIENTE"</formula>
    </cfRule>
    <cfRule type="cellIs" dxfId="1371" priority="965" operator="equal">
      <formula>"NO ESTÁ ACORDE A ITEM 5.2.2 (T.R.)"</formula>
    </cfRule>
    <cfRule type="cellIs" dxfId="1370" priority="966" operator="equal">
      <formula>"ACORDE A ITEM 5.2.2 (T.R.)"</formula>
    </cfRule>
    <cfRule type="cellIs" dxfId="1369" priority="973" operator="equal">
      <formula>"PENDIENTE POR DESCRIPCIÓN"</formula>
    </cfRule>
    <cfRule type="cellIs" dxfId="1368" priority="975" operator="equal">
      <formula>"DESCRIPCIÓN INSUFICIENTE"</formula>
    </cfRule>
    <cfRule type="cellIs" dxfId="1367" priority="976" operator="equal">
      <formula>"NO ESTÁ ACORDE A ITEM 5.2.1 (T.R.)"</formula>
    </cfRule>
    <cfRule type="cellIs" dxfId="1366" priority="977" operator="equal">
      <formula>"ACORDE A ITEM 5.2.1 (T.R.)"</formula>
    </cfRule>
  </conditionalFormatting>
  <conditionalFormatting sqref="Q264">
    <cfRule type="containsBlanks" dxfId="1365" priority="968">
      <formula>LEN(TRIM(Q264))=0</formula>
    </cfRule>
    <cfRule type="cellIs" dxfId="1364" priority="974" operator="equal">
      <formula>"REQUERIMIENTOS SUBSANADOS"</formula>
    </cfRule>
    <cfRule type="containsText" dxfId="1363" priority="978" operator="containsText" text="NO SUBSANABLE">
      <formula>NOT(ISERROR(SEARCH("NO SUBSANABLE",Q264)))</formula>
    </cfRule>
    <cfRule type="containsText" dxfId="1362" priority="979" operator="containsText" text="PENDIENTES POR SUBSANAR">
      <formula>NOT(ISERROR(SEARCH("PENDIENTES POR SUBSANAR",Q264)))</formula>
    </cfRule>
    <cfRule type="containsText" dxfId="1361" priority="980" operator="containsText" text="SIN OBSERVACIÓN">
      <formula>NOT(ISERROR(SEARCH("SIN OBSERVACIÓN",Q264)))</formula>
    </cfRule>
  </conditionalFormatting>
  <conditionalFormatting sqref="R264">
    <cfRule type="containsBlanks" dxfId="1360" priority="967">
      <formula>LEN(TRIM(R264))=0</formula>
    </cfRule>
    <cfRule type="cellIs" dxfId="1359" priority="969" operator="equal">
      <formula>"NO CUMPLEN CON LO SOLICITADO"</formula>
    </cfRule>
    <cfRule type="cellIs" dxfId="1358" priority="970" operator="equal">
      <formula>"CUMPLEN CON LO SOLICITADO"</formula>
    </cfRule>
    <cfRule type="cellIs" dxfId="1357" priority="971" operator="equal">
      <formula>"PENDIENTES"</formula>
    </cfRule>
    <cfRule type="cellIs" dxfId="1356" priority="972" operator="equal">
      <formula>"NINGUNO"</formula>
    </cfRule>
  </conditionalFormatting>
  <conditionalFormatting sqref="P264">
    <cfRule type="expression" dxfId="1355" priority="958">
      <formula>Q264="NO SUBSANABLE"</formula>
    </cfRule>
    <cfRule type="expression" dxfId="1354" priority="959">
      <formula>Q264="REQUERIMIENTOS SUBSANADOS"</formula>
    </cfRule>
    <cfRule type="expression" dxfId="1353" priority="960">
      <formula>Q264="PENDIENTES POR SUBSANAR"</formula>
    </cfRule>
    <cfRule type="expression" dxfId="1352" priority="961">
      <formula>Q264="SIN OBSERVACIÓN"</formula>
    </cfRule>
    <cfRule type="containsBlanks" dxfId="1351" priority="962">
      <formula>LEN(TRIM(P264))=0</formula>
    </cfRule>
  </conditionalFormatting>
  <conditionalFormatting sqref="N267">
    <cfRule type="expression" dxfId="1350" priority="955">
      <formula>N267=" "</formula>
    </cfRule>
    <cfRule type="expression" dxfId="1349" priority="956">
      <formula>N267="NO PRESENTÓ CERTIFICADO"</formula>
    </cfRule>
    <cfRule type="expression" dxfId="1348" priority="957">
      <formula>N267="PRESENTÓ CERTIFICADO"</formula>
    </cfRule>
  </conditionalFormatting>
  <conditionalFormatting sqref="O267">
    <cfRule type="cellIs" dxfId="1347" priority="937" operator="equal">
      <formula>"PENDIENTE POR DESCRIPCIÓN"</formula>
    </cfRule>
    <cfRule type="cellIs" dxfId="1346" priority="938" operator="equal">
      <formula>"DESCRIPCIÓN INSUFICIENTE"</formula>
    </cfRule>
    <cfRule type="cellIs" dxfId="1345" priority="939" operator="equal">
      <formula>"NO ESTÁ ACORDE A ITEM 5.2.2 (T.R.)"</formula>
    </cfRule>
    <cfRule type="cellIs" dxfId="1344" priority="940" operator="equal">
      <formula>"ACORDE A ITEM 5.2.2 (T.R.)"</formula>
    </cfRule>
    <cfRule type="cellIs" dxfId="1343" priority="947" operator="equal">
      <formula>"PENDIENTE POR DESCRIPCIÓN"</formula>
    </cfRule>
    <cfRule type="cellIs" dxfId="1342" priority="949" operator="equal">
      <formula>"DESCRIPCIÓN INSUFICIENTE"</formula>
    </cfRule>
    <cfRule type="cellIs" dxfId="1341" priority="950" operator="equal">
      <formula>"NO ESTÁ ACORDE A ITEM 5.2.1 (T.R.)"</formula>
    </cfRule>
    <cfRule type="cellIs" dxfId="1340" priority="951" operator="equal">
      <formula>"ACORDE A ITEM 5.2.1 (T.R.)"</formula>
    </cfRule>
  </conditionalFormatting>
  <conditionalFormatting sqref="Q267">
    <cfRule type="containsBlanks" dxfId="1339" priority="942">
      <formula>LEN(TRIM(Q267))=0</formula>
    </cfRule>
    <cfRule type="cellIs" dxfId="1338" priority="948" operator="equal">
      <formula>"REQUERIMIENTOS SUBSANADOS"</formula>
    </cfRule>
    <cfRule type="containsText" dxfId="1337" priority="952" operator="containsText" text="NO SUBSANABLE">
      <formula>NOT(ISERROR(SEARCH("NO SUBSANABLE",Q267)))</formula>
    </cfRule>
    <cfRule type="containsText" dxfId="1336" priority="953" operator="containsText" text="PENDIENTES POR SUBSANAR">
      <formula>NOT(ISERROR(SEARCH("PENDIENTES POR SUBSANAR",Q267)))</formula>
    </cfRule>
    <cfRule type="containsText" dxfId="1335" priority="954" operator="containsText" text="SIN OBSERVACIÓN">
      <formula>NOT(ISERROR(SEARCH("SIN OBSERVACIÓN",Q267)))</formula>
    </cfRule>
  </conditionalFormatting>
  <conditionalFormatting sqref="R267">
    <cfRule type="containsBlanks" dxfId="1334" priority="941">
      <formula>LEN(TRIM(R267))=0</formula>
    </cfRule>
    <cfRule type="cellIs" dxfId="1333" priority="943" operator="equal">
      <formula>"NO CUMPLEN CON LO SOLICITADO"</formula>
    </cfRule>
    <cfRule type="cellIs" dxfId="1332" priority="944" operator="equal">
      <formula>"CUMPLEN CON LO SOLICITADO"</formula>
    </cfRule>
    <cfRule type="cellIs" dxfId="1331" priority="945" operator="equal">
      <formula>"PENDIENTES"</formula>
    </cfRule>
    <cfRule type="cellIs" dxfId="1330" priority="946" operator="equal">
      <formula>"NINGUNO"</formula>
    </cfRule>
  </conditionalFormatting>
  <conditionalFormatting sqref="P267">
    <cfRule type="expression" dxfId="1329" priority="932">
      <formula>Q267="NO SUBSANABLE"</formula>
    </cfRule>
    <cfRule type="expression" dxfId="1328" priority="933">
      <formula>Q267="REQUERIMIENTOS SUBSANADOS"</formula>
    </cfRule>
    <cfRule type="expression" dxfId="1327" priority="934">
      <formula>Q267="PENDIENTES POR SUBSANAR"</formula>
    </cfRule>
    <cfRule type="expression" dxfId="1326" priority="935">
      <formula>Q267="SIN OBSERVACIÓN"</formula>
    </cfRule>
    <cfRule type="containsBlanks" dxfId="1325" priority="936">
      <formula>LEN(TRIM(P267))=0</formula>
    </cfRule>
  </conditionalFormatting>
  <conditionalFormatting sqref="J267">
    <cfRule type="cellIs" dxfId="1324" priority="930" operator="equal">
      <formula>"NO CUMPLE"</formula>
    </cfRule>
    <cfRule type="cellIs" dxfId="1323" priority="931" operator="equal">
      <formula>"CUMPLE"</formula>
    </cfRule>
  </conditionalFormatting>
  <conditionalFormatting sqref="J256">
    <cfRule type="cellIs" dxfId="1322" priority="928" operator="equal">
      <formula>"NO CUMPLE"</formula>
    </cfRule>
    <cfRule type="cellIs" dxfId="1321" priority="929" operator="equal">
      <formula>"CUMPLE"</formula>
    </cfRule>
  </conditionalFormatting>
  <conditionalFormatting sqref="J255">
    <cfRule type="cellIs" dxfId="1320" priority="926" operator="equal">
      <formula>"NO CUMPLE"</formula>
    </cfRule>
    <cfRule type="cellIs" dxfId="1319" priority="927" operator="equal">
      <formula>"CUMPLE"</formula>
    </cfRule>
  </conditionalFormatting>
  <conditionalFormatting sqref="J257">
    <cfRule type="cellIs" dxfId="1318" priority="924" operator="equal">
      <formula>"NO CUMPLE"</formula>
    </cfRule>
    <cfRule type="cellIs" dxfId="1317" priority="925" operator="equal">
      <formula>"CUMPLE"</formula>
    </cfRule>
  </conditionalFormatting>
  <conditionalFormatting sqref="U258:U269">
    <cfRule type="cellIs" dxfId="1316" priority="922" operator="equal">
      <formula>0</formula>
    </cfRule>
    <cfRule type="cellIs" dxfId="1315" priority="923" operator="equal">
      <formula>1</formula>
    </cfRule>
  </conditionalFormatting>
  <conditionalFormatting sqref="I236">
    <cfRule type="notContainsBlanks" dxfId="1314" priority="921">
      <formula>LEN(TRIM(I236))&gt;0</formula>
    </cfRule>
  </conditionalFormatting>
  <conditionalFormatting sqref="N233">
    <cfRule type="expression" dxfId="1313" priority="918">
      <formula>N233=" "</formula>
    </cfRule>
    <cfRule type="expression" dxfId="1312" priority="919">
      <formula>N233="NO PRESENTÓ CERTIFICADO"</formula>
    </cfRule>
    <cfRule type="expression" dxfId="1311" priority="920">
      <formula>N233="PRESENTÓ CERTIFICADO"</formula>
    </cfRule>
  </conditionalFormatting>
  <conditionalFormatting sqref="O233">
    <cfRule type="cellIs" dxfId="1310" priority="900" operator="equal">
      <formula>"PENDIENTE POR DESCRIPCIÓN"</formula>
    </cfRule>
    <cfRule type="cellIs" dxfId="1309" priority="901" operator="equal">
      <formula>"DESCRIPCIÓN INSUFICIENTE"</formula>
    </cfRule>
    <cfRule type="cellIs" dxfId="1308" priority="902" operator="equal">
      <formula>"NO ESTÁ ACORDE A ITEM 5.2.2 (T.R.)"</formula>
    </cfRule>
    <cfRule type="cellIs" dxfId="1307" priority="903" operator="equal">
      <formula>"ACORDE A ITEM 5.2.2 (T.R.)"</formula>
    </cfRule>
    <cfRule type="cellIs" dxfId="1306" priority="910" operator="equal">
      <formula>"PENDIENTE POR DESCRIPCIÓN"</formula>
    </cfRule>
    <cfRule type="cellIs" dxfId="1305" priority="912" operator="equal">
      <formula>"DESCRIPCIÓN INSUFICIENTE"</formula>
    </cfRule>
    <cfRule type="cellIs" dxfId="1304" priority="913" operator="equal">
      <formula>"NO ESTÁ ACORDE A ITEM 5.2.1 (T.R.)"</formula>
    </cfRule>
    <cfRule type="cellIs" dxfId="1303" priority="914" operator="equal">
      <formula>"ACORDE A ITEM 5.2.1 (T.R.)"</formula>
    </cfRule>
  </conditionalFormatting>
  <conditionalFormatting sqref="Q233">
    <cfRule type="containsBlanks" dxfId="1302" priority="905">
      <formula>LEN(TRIM(Q233))=0</formula>
    </cfRule>
    <cfRule type="cellIs" dxfId="1301" priority="911" operator="equal">
      <formula>"REQUERIMIENTOS SUBSANADOS"</formula>
    </cfRule>
    <cfRule type="containsText" dxfId="1300" priority="915" operator="containsText" text="NO SUBSANABLE">
      <formula>NOT(ISERROR(SEARCH("NO SUBSANABLE",Q233)))</formula>
    </cfRule>
    <cfRule type="containsText" dxfId="1299" priority="916" operator="containsText" text="PENDIENTES POR SUBSANAR">
      <formula>NOT(ISERROR(SEARCH("PENDIENTES POR SUBSANAR",Q233)))</formula>
    </cfRule>
    <cfRule type="containsText" dxfId="1298" priority="917" operator="containsText" text="SIN OBSERVACIÓN">
      <formula>NOT(ISERROR(SEARCH("SIN OBSERVACIÓN",Q233)))</formula>
    </cfRule>
  </conditionalFormatting>
  <conditionalFormatting sqref="R233">
    <cfRule type="containsBlanks" dxfId="1297" priority="904">
      <formula>LEN(TRIM(R233))=0</formula>
    </cfRule>
    <cfRule type="cellIs" dxfId="1296" priority="906" operator="equal">
      <formula>"NO CUMPLEN CON LO SOLICITADO"</formula>
    </cfRule>
    <cfRule type="cellIs" dxfId="1295" priority="907" operator="equal">
      <formula>"CUMPLEN CON LO SOLICITADO"</formula>
    </cfRule>
    <cfRule type="cellIs" dxfId="1294" priority="908" operator="equal">
      <formula>"PENDIENTES"</formula>
    </cfRule>
    <cfRule type="cellIs" dxfId="1293" priority="909" operator="equal">
      <formula>"NINGUNO"</formula>
    </cfRule>
  </conditionalFormatting>
  <conditionalFormatting sqref="P233">
    <cfRule type="expression" dxfId="1292" priority="895">
      <formula>Q233="NO SUBSANABLE"</formula>
    </cfRule>
    <cfRule type="expression" dxfId="1291" priority="896">
      <formula>Q233="REQUERIMIENTOS SUBSANADOS"</formula>
    </cfRule>
    <cfRule type="expression" dxfId="1290" priority="897">
      <formula>Q233="PENDIENTES POR SUBSANAR"</formula>
    </cfRule>
    <cfRule type="expression" dxfId="1289" priority="898">
      <formula>Q233="SIN OBSERVACIÓN"</formula>
    </cfRule>
    <cfRule type="containsBlanks" dxfId="1288" priority="899">
      <formula>LEN(TRIM(P233))=0</formula>
    </cfRule>
  </conditionalFormatting>
  <conditionalFormatting sqref="N236">
    <cfRule type="expression" dxfId="1287" priority="892">
      <formula>N236=" "</formula>
    </cfRule>
    <cfRule type="expression" dxfId="1286" priority="893">
      <formula>N236="NO PRESENTÓ CERTIFICADO"</formula>
    </cfRule>
    <cfRule type="expression" dxfId="1285" priority="894">
      <formula>N236="PRESENTÓ CERTIFICADO"</formula>
    </cfRule>
  </conditionalFormatting>
  <conditionalFormatting sqref="O236">
    <cfRule type="cellIs" dxfId="1284" priority="874" operator="equal">
      <formula>"PENDIENTE POR DESCRIPCIÓN"</formula>
    </cfRule>
    <cfRule type="cellIs" dxfId="1283" priority="875" operator="equal">
      <formula>"DESCRIPCIÓN INSUFICIENTE"</formula>
    </cfRule>
    <cfRule type="cellIs" dxfId="1282" priority="876" operator="equal">
      <formula>"NO ESTÁ ACORDE A ITEM 5.2.2 (T.R.)"</formula>
    </cfRule>
    <cfRule type="cellIs" dxfId="1281" priority="877" operator="equal">
      <formula>"ACORDE A ITEM 5.2.2 (T.R.)"</formula>
    </cfRule>
    <cfRule type="cellIs" dxfId="1280" priority="884" operator="equal">
      <formula>"PENDIENTE POR DESCRIPCIÓN"</formula>
    </cfRule>
    <cfRule type="cellIs" dxfId="1279" priority="886" operator="equal">
      <formula>"DESCRIPCIÓN INSUFICIENTE"</formula>
    </cfRule>
    <cfRule type="cellIs" dxfId="1278" priority="887" operator="equal">
      <formula>"NO ESTÁ ACORDE A ITEM 5.2.1 (T.R.)"</formula>
    </cfRule>
    <cfRule type="cellIs" dxfId="1277" priority="888" operator="equal">
      <formula>"ACORDE A ITEM 5.2.1 (T.R.)"</formula>
    </cfRule>
  </conditionalFormatting>
  <conditionalFormatting sqref="Q236">
    <cfRule type="containsBlanks" dxfId="1276" priority="879">
      <formula>LEN(TRIM(Q236))=0</formula>
    </cfRule>
    <cfRule type="cellIs" dxfId="1275" priority="885" operator="equal">
      <formula>"REQUERIMIENTOS SUBSANADOS"</formula>
    </cfRule>
    <cfRule type="containsText" dxfId="1274" priority="889" operator="containsText" text="NO SUBSANABLE">
      <formula>NOT(ISERROR(SEARCH("NO SUBSANABLE",Q236)))</formula>
    </cfRule>
    <cfRule type="containsText" dxfId="1273" priority="890" operator="containsText" text="PENDIENTES POR SUBSANAR">
      <formula>NOT(ISERROR(SEARCH("PENDIENTES POR SUBSANAR",Q236)))</formula>
    </cfRule>
    <cfRule type="containsText" dxfId="1272" priority="891" operator="containsText" text="SIN OBSERVACIÓN">
      <formula>NOT(ISERROR(SEARCH("SIN OBSERVACIÓN",Q236)))</formula>
    </cfRule>
  </conditionalFormatting>
  <conditionalFormatting sqref="R236">
    <cfRule type="containsBlanks" dxfId="1271" priority="878">
      <formula>LEN(TRIM(R236))=0</formula>
    </cfRule>
    <cfRule type="cellIs" dxfId="1270" priority="880" operator="equal">
      <formula>"NO CUMPLEN CON LO SOLICITADO"</formula>
    </cfRule>
    <cfRule type="cellIs" dxfId="1269" priority="881" operator="equal">
      <formula>"CUMPLEN CON LO SOLICITADO"</formula>
    </cfRule>
    <cfRule type="cellIs" dxfId="1268" priority="882" operator="equal">
      <formula>"PENDIENTES"</formula>
    </cfRule>
    <cfRule type="cellIs" dxfId="1267" priority="883" operator="equal">
      <formula>"NINGUNO"</formula>
    </cfRule>
  </conditionalFormatting>
  <conditionalFormatting sqref="P236">
    <cfRule type="expression" dxfId="1266" priority="869">
      <formula>Q236="NO SUBSANABLE"</formula>
    </cfRule>
    <cfRule type="expression" dxfId="1265" priority="870">
      <formula>Q236="REQUERIMIENTOS SUBSANADOS"</formula>
    </cfRule>
    <cfRule type="expression" dxfId="1264" priority="871">
      <formula>Q236="PENDIENTES POR SUBSANAR"</formula>
    </cfRule>
    <cfRule type="expression" dxfId="1263" priority="872">
      <formula>Q236="SIN OBSERVACIÓN"</formula>
    </cfRule>
    <cfRule type="containsBlanks" dxfId="1262" priority="873">
      <formula>LEN(TRIM(P236))=0</formula>
    </cfRule>
  </conditionalFormatting>
  <conditionalFormatting sqref="N239">
    <cfRule type="expression" dxfId="1261" priority="866">
      <formula>N239=" "</formula>
    </cfRule>
    <cfRule type="expression" dxfId="1260" priority="867">
      <formula>N239="NO PRESENTÓ CERTIFICADO"</formula>
    </cfRule>
    <cfRule type="expression" dxfId="1259" priority="868">
      <formula>N239="PRESENTÓ CERTIFICADO"</formula>
    </cfRule>
  </conditionalFormatting>
  <conditionalFormatting sqref="O239">
    <cfRule type="cellIs" dxfId="1258" priority="848" operator="equal">
      <formula>"PENDIENTE POR DESCRIPCIÓN"</formula>
    </cfRule>
    <cfRule type="cellIs" dxfId="1257" priority="849" operator="equal">
      <formula>"DESCRIPCIÓN INSUFICIENTE"</formula>
    </cfRule>
    <cfRule type="cellIs" dxfId="1256" priority="850" operator="equal">
      <formula>"NO ESTÁ ACORDE A ITEM 5.2.2 (T.R.)"</formula>
    </cfRule>
    <cfRule type="cellIs" dxfId="1255" priority="851" operator="equal">
      <formula>"ACORDE A ITEM 5.2.2 (T.R.)"</formula>
    </cfRule>
    <cfRule type="cellIs" dxfId="1254" priority="858" operator="equal">
      <formula>"PENDIENTE POR DESCRIPCIÓN"</formula>
    </cfRule>
    <cfRule type="cellIs" dxfId="1253" priority="860" operator="equal">
      <formula>"DESCRIPCIÓN INSUFICIENTE"</formula>
    </cfRule>
    <cfRule type="cellIs" dxfId="1252" priority="861" operator="equal">
      <formula>"NO ESTÁ ACORDE A ITEM 5.2.1 (T.R.)"</formula>
    </cfRule>
    <cfRule type="cellIs" dxfId="1251" priority="862" operator="equal">
      <formula>"ACORDE A ITEM 5.2.1 (T.R.)"</formula>
    </cfRule>
  </conditionalFormatting>
  <conditionalFormatting sqref="Q239">
    <cfRule type="containsBlanks" dxfId="1250" priority="853">
      <formula>LEN(TRIM(Q239))=0</formula>
    </cfRule>
    <cfRule type="cellIs" dxfId="1249" priority="859" operator="equal">
      <formula>"REQUERIMIENTOS SUBSANADOS"</formula>
    </cfRule>
    <cfRule type="containsText" dxfId="1248" priority="863" operator="containsText" text="NO SUBSANABLE">
      <formula>NOT(ISERROR(SEARCH("NO SUBSANABLE",Q239)))</formula>
    </cfRule>
    <cfRule type="containsText" dxfId="1247" priority="864" operator="containsText" text="PENDIENTES POR SUBSANAR">
      <formula>NOT(ISERROR(SEARCH("PENDIENTES POR SUBSANAR",Q239)))</formula>
    </cfRule>
    <cfRule type="containsText" dxfId="1246" priority="865" operator="containsText" text="SIN OBSERVACIÓN">
      <formula>NOT(ISERROR(SEARCH("SIN OBSERVACIÓN",Q239)))</formula>
    </cfRule>
  </conditionalFormatting>
  <conditionalFormatting sqref="R239">
    <cfRule type="containsBlanks" dxfId="1245" priority="852">
      <formula>LEN(TRIM(R239))=0</formula>
    </cfRule>
    <cfRule type="cellIs" dxfId="1244" priority="854" operator="equal">
      <formula>"NO CUMPLEN CON LO SOLICITADO"</formula>
    </cfRule>
    <cfRule type="cellIs" dxfId="1243" priority="855" operator="equal">
      <formula>"CUMPLEN CON LO SOLICITADO"</formula>
    </cfRule>
    <cfRule type="cellIs" dxfId="1242" priority="856" operator="equal">
      <formula>"PENDIENTES"</formula>
    </cfRule>
    <cfRule type="cellIs" dxfId="1241" priority="857" operator="equal">
      <formula>"NINGUNO"</formula>
    </cfRule>
  </conditionalFormatting>
  <conditionalFormatting sqref="P239">
    <cfRule type="expression" dxfId="1240" priority="843">
      <formula>Q239="NO SUBSANABLE"</formula>
    </cfRule>
    <cfRule type="expression" dxfId="1239" priority="844">
      <formula>Q239="REQUERIMIENTOS SUBSANADOS"</formula>
    </cfRule>
    <cfRule type="expression" dxfId="1238" priority="845">
      <formula>Q239="PENDIENTES POR SUBSANAR"</formula>
    </cfRule>
    <cfRule type="expression" dxfId="1237" priority="846">
      <formula>Q239="SIN OBSERVACIÓN"</formula>
    </cfRule>
    <cfRule type="containsBlanks" dxfId="1236" priority="847">
      <formula>LEN(TRIM(P239))=0</formula>
    </cfRule>
  </conditionalFormatting>
  <conditionalFormatting sqref="J236">
    <cfRule type="cellIs" dxfId="1235" priority="841" operator="equal">
      <formula>"NO CUMPLE"</formula>
    </cfRule>
    <cfRule type="cellIs" dxfId="1234" priority="842" operator="equal">
      <formula>"CUMPLE"</formula>
    </cfRule>
  </conditionalFormatting>
  <conditionalFormatting sqref="J237">
    <cfRule type="cellIs" dxfId="1233" priority="839" operator="equal">
      <formula>"NO CUMPLE"</formula>
    </cfRule>
    <cfRule type="cellIs" dxfId="1232" priority="840" operator="equal">
      <formula>"CUMPLE"</formula>
    </cfRule>
  </conditionalFormatting>
  <conditionalFormatting sqref="J238">
    <cfRule type="cellIs" dxfId="1231" priority="837" operator="equal">
      <formula>"NO CUMPLE"</formula>
    </cfRule>
    <cfRule type="cellIs" dxfId="1230" priority="838" operator="equal">
      <formula>"CUMPLE"</formula>
    </cfRule>
  </conditionalFormatting>
  <conditionalFormatting sqref="J239">
    <cfRule type="cellIs" dxfId="1229" priority="835" operator="equal">
      <formula>"NO CUMPLE"</formula>
    </cfRule>
    <cfRule type="cellIs" dxfId="1228" priority="836" operator="equal">
      <formula>"CUMPLE"</formula>
    </cfRule>
  </conditionalFormatting>
  <conditionalFormatting sqref="J240">
    <cfRule type="cellIs" dxfId="1227" priority="833" operator="equal">
      <formula>"NO CUMPLE"</formula>
    </cfRule>
    <cfRule type="cellIs" dxfId="1226" priority="834" operator="equal">
      <formula>"CUMPLE"</formula>
    </cfRule>
  </conditionalFormatting>
  <conditionalFormatting sqref="J241">
    <cfRule type="cellIs" dxfId="1225" priority="831" operator="equal">
      <formula>"NO CUMPLE"</formula>
    </cfRule>
    <cfRule type="cellIs" dxfId="1224" priority="832" operator="equal">
      <formula>"CUMPLE"</formula>
    </cfRule>
  </conditionalFormatting>
  <conditionalFormatting sqref="S233">
    <cfRule type="cellIs" dxfId="1223" priority="829" operator="greaterThan">
      <formula>0</formula>
    </cfRule>
    <cfRule type="top10" dxfId="1222" priority="830" rank="10"/>
  </conditionalFormatting>
  <conditionalFormatting sqref="U233:U235">
    <cfRule type="cellIs" dxfId="1221" priority="827" operator="equal">
      <formula>0</formula>
    </cfRule>
    <cfRule type="cellIs" dxfId="1220" priority="828" operator="equal">
      <formula>1</formula>
    </cfRule>
  </conditionalFormatting>
  <conditionalFormatting sqref="U236:U238">
    <cfRule type="cellIs" dxfId="1219" priority="825" operator="equal">
      <formula>0</formula>
    </cfRule>
    <cfRule type="cellIs" dxfId="1218" priority="826" operator="equal">
      <formula>1</formula>
    </cfRule>
  </conditionalFormatting>
  <conditionalFormatting sqref="U239:U241">
    <cfRule type="cellIs" dxfId="1217" priority="823" operator="equal">
      <formula>0</formula>
    </cfRule>
    <cfRule type="cellIs" dxfId="1216" priority="824" operator="equal">
      <formula>1</formula>
    </cfRule>
  </conditionalFormatting>
  <conditionalFormatting sqref="N211">
    <cfRule type="expression" dxfId="1215" priority="820">
      <formula>N211=" "</formula>
    </cfRule>
    <cfRule type="expression" dxfId="1214" priority="821">
      <formula>N211="NO PRESENTÓ CERTIFICADO"</formula>
    </cfRule>
    <cfRule type="expression" dxfId="1213" priority="822">
      <formula>N211="PRESENTÓ CERTIFICADO"</formula>
    </cfRule>
  </conditionalFormatting>
  <conditionalFormatting sqref="O211">
    <cfRule type="cellIs" dxfId="1212" priority="802" operator="equal">
      <formula>"PENDIENTE POR DESCRIPCIÓN"</formula>
    </cfRule>
    <cfRule type="cellIs" dxfId="1211" priority="803" operator="equal">
      <formula>"DESCRIPCIÓN INSUFICIENTE"</formula>
    </cfRule>
    <cfRule type="cellIs" dxfId="1210" priority="804" operator="equal">
      <formula>"NO ESTÁ ACORDE A ITEM 5.2.2 (T.R.)"</formula>
    </cfRule>
    <cfRule type="cellIs" dxfId="1209" priority="805" operator="equal">
      <formula>"ACORDE A ITEM 5.2.2 (T.R.)"</formula>
    </cfRule>
    <cfRule type="cellIs" dxfId="1208" priority="812" operator="equal">
      <formula>"PENDIENTE POR DESCRIPCIÓN"</formula>
    </cfRule>
    <cfRule type="cellIs" dxfId="1207" priority="814" operator="equal">
      <formula>"DESCRIPCIÓN INSUFICIENTE"</formula>
    </cfRule>
    <cfRule type="cellIs" dxfId="1206" priority="815" operator="equal">
      <formula>"NO ESTÁ ACORDE A ITEM 5.2.1 (T.R.)"</formula>
    </cfRule>
    <cfRule type="cellIs" dxfId="1205" priority="816" operator="equal">
      <formula>"ACORDE A ITEM 5.2.1 (T.R.)"</formula>
    </cfRule>
  </conditionalFormatting>
  <conditionalFormatting sqref="Q211">
    <cfRule type="containsBlanks" dxfId="1204" priority="807">
      <formula>LEN(TRIM(Q211))=0</formula>
    </cfRule>
    <cfRule type="cellIs" dxfId="1203" priority="813" operator="equal">
      <formula>"REQUERIMIENTOS SUBSANADOS"</formula>
    </cfRule>
    <cfRule type="containsText" dxfId="1202" priority="817" operator="containsText" text="NO SUBSANABLE">
      <formula>NOT(ISERROR(SEARCH("NO SUBSANABLE",Q211)))</formula>
    </cfRule>
    <cfRule type="containsText" dxfId="1201" priority="818" operator="containsText" text="PENDIENTES POR SUBSANAR">
      <formula>NOT(ISERROR(SEARCH("PENDIENTES POR SUBSANAR",Q211)))</formula>
    </cfRule>
    <cfRule type="containsText" dxfId="1200" priority="819" operator="containsText" text="SIN OBSERVACIÓN">
      <formula>NOT(ISERROR(SEARCH("SIN OBSERVACIÓN",Q211)))</formula>
    </cfRule>
  </conditionalFormatting>
  <conditionalFormatting sqref="R211">
    <cfRule type="containsBlanks" dxfId="1199" priority="806">
      <formula>LEN(TRIM(R211))=0</formula>
    </cfRule>
    <cfRule type="cellIs" dxfId="1198" priority="808" operator="equal">
      <formula>"NO CUMPLEN CON LO SOLICITADO"</formula>
    </cfRule>
    <cfRule type="cellIs" dxfId="1197" priority="809" operator="equal">
      <formula>"CUMPLEN CON LO SOLICITADO"</formula>
    </cfRule>
    <cfRule type="cellIs" dxfId="1196" priority="810" operator="equal">
      <formula>"PENDIENTES"</formula>
    </cfRule>
    <cfRule type="cellIs" dxfId="1195" priority="811" operator="equal">
      <formula>"NINGUNO"</formula>
    </cfRule>
  </conditionalFormatting>
  <conditionalFormatting sqref="P211">
    <cfRule type="expression" dxfId="1194" priority="797">
      <formula>Q211="NO SUBSANABLE"</formula>
    </cfRule>
    <cfRule type="expression" dxfId="1193" priority="798">
      <formula>Q211="REQUERIMIENTOS SUBSANADOS"</formula>
    </cfRule>
    <cfRule type="expression" dxfId="1192" priority="799">
      <formula>Q211="PENDIENTES POR SUBSANAR"</formula>
    </cfRule>
    <cfRule type="expression" dxfId="1191" priority="800">
      <formula>Q211="SIN OBSERVACIÓN"</formula>
    </cfRule>
    <cfRule type="containsBlanks" dxfId="1190" priority="801">
      <formula>LEN(TRIM(P211))=0</formula>
    </cfRule>
  </conditionalFormatting>
  <conditionalFormatting sqref="S189">
    <cfRule type="cellIs" dxfId="1189" priority="795" operator="greaterThan">
      <formula>0</formula>
    </cfRule>
    <cfRule type="top10" dxfId="1188" priority="796" rank="10"/>
  </conditionalFormatting>
  <conditionalFormatting sqref="N189">
    <cfRule type="expression" dxfId="1187" priority="792">
      <formula>N189=" "</formula>
    </cfRule>
    <cfRule type="expression" dxfId="1186" priority="793">
      <formula>N189="NO PRESENTÓ CERTIFICADO"</formula>
    </cfRule>
    <cfRule type="expression" dxfId="1185" priority="794">
      <formula>N189="PRESENTÓ CERTIFICADO"</formula>
    </cfRule>
  </conditionalFormatting>
  <conditionalFormatting sqref="O189">
    <cfRule type="cellIs" dxfId="1184" priority="774" operator="equal">
      <formula>"PENDIENTE POR DESCRIPCIÓN"</formula>
    </cfRule>
    <cfRule type="cellIs" dxfId="1183" priority="775" operator="equal">
      <formula>"DESCRIPCIÓN INSUFICIENTE"</formula>
    </cfRule>
    <cfRule type="cellIs" dxfId="1182" priority="776" operator="equal">
      <formula>"NO ESTÁ ACORDE A ITEM 5.2.2 (T.R.)"</formula>
    </cfRule>
    <cfRule type="cellIs" dxfId="1181" priority="777" operator="equal">
      <formula>"ACORDE A ITEM 5.2.2 (T.R.)"</formula>
    </cfRule>
    <cfRule type="cellIs" dxfId="1180" priority="784" operator="equal">
      <formula>"PENDIENTE POR DESCRIPCIÓN"</formula>
    </cfRule>
    <cfRule type="cellIs" dxfId="1179" priority="786" operator="equal">
      <formula>"DESCRIPCIÓN INSUFICIENTE"</formula>
    </cfRule>
    <cfRule type="cellIs" dxfId="1178" priority="787" operator="equal">
      <formula>"NO ESTÁ ACORDE A ITEM 5.2.1 (T.R.)"</formula>
    </cfRule>
    <cfRule type="cellIs" dxfId="1177" priority="788" operator="equal">
      <formula>"ACORDE A ITEM 5.2.1 (T.R.)"</formula>
    </cfRule>
  </conditionalFormatting>
  <conditionalFormatting sqref="Q189">
    <cfRule type="containsBlanks" dxfId="1176" priority="779">
      <formula>LEN(TRIM(Q189))=0</formula>
    </cfRule>
    <cfRule type="cellIs" dxfId="1175" priority="785" operator="equal">
      <formula>"REQUERIMIENTOS SUBSANADOS"</formula>
    </cfRule>
    <cfRule type="containsText" dxfId="1174" priority="789" operator="containsText" text="NO SUBSANABLE">
      <formula>NOT(ISERROR(SEARCH("NO SUBSANABLE",Q189)))</formula>
    </cfRule>
    <cfRule type="containsText" dxfId="1173" priority="790" operator="containsText" text="PENDIENTES POR SUBSANAR">
      <formula>NOT(ISERROR(SEARCH("PENDIENTES POR SUBSANAR",Q189)))</formula>
    </cfRule>
    <cfRule type="containsText" dxfId="1172" priority="791" operator="containsText" text="SIN OBSERVACIÓN">
      <formula>NOT(ISERROR(SEARCH("SIN OBSERVACIÓN",Q189)))</formula>
    </cfRule>
  </conditionalFormatting>
  <conditionalFormatting sqref="R189">
    <cfRule type="containsBlanks" dxfId="1171" priority="778">
      <formula>LEN(TRIM(R189))=0</formula>
    </cfRule>
    <cfRule type="cellIs" dxfId="1170" priority="780" operator="equal">
      <formula>"NO CUMPLEN CON LO SOLICITADO"</formula>
    </cfRule>
    <cfRule type="cellIs" dxfId="1169" priority="781" operator="equal">
      <formula>"CUMPLEN CON LO SOLICITADO"</formula>
    </cfRule>
    <cfRule type="cellIs" dxfId="1168" priority="782" operator="equal">
      <formula>"PENDIENTES"</formula>
    </cfRule>
    <cfRule type="cellIs" dxfId="1167" priority="783" operator="equal">
      <formula>"NINGUNO"</formula>
    </cfRule>
  </conditionalFormatting>
  <conditionalFormatting sqref="P189">
    <cfRule type="expression" dxfId="1166" priority="769">
      <formula>Q189="NO SUBSANABLE"</formula>
    </cfRule>
    <cfRule type="expression" dxfId="1165" priority="770">
      <formula>Q189="REQUERIMIENTOS SUBSANADOS"</formula>
    </cfRule>
    <cfRule type="expression" dxfId="1164" priority="771">
      <formula>Q189="PENDIENTES POR SUBSANAR"</formula>
    </cfRule>
    <cfRule type="expression" dxfId="1163" priority="772">
      <formula>Q189="SIN OBSERVACIÓN"</formula>
    </cfRule>
    <cfRule type="containsBlanks" dxfId="1162" priority="773">
      <formula>LEN(TRIM(P189))=0</formula>
    </cfRule>
  </conditionalFormatting>
  <conditionalFormatting sqref="U211:U213">
    <cfRule type="cellIs" dxfId="1161" priority="767" operator="equal">
      <formula>0</formula>
    </cfRule>
    <cfRule type="cellIs" dxfId="1160" priority="768" operator="equal">
      <formula>1</formula>
    </cfRule>
  </conditionalFormatting>
  <conditionalFormatting sqref="U189:U191">
    <cfRule type="cellIs" dxfId="1159" priority="765" operator="equal">
      <formula>0</formula>
    </cfRule>
    <cfRule type="cellIs" dxfId="1158" priority="766" operator="equal">
      <formula>1</formula>
    </cfRule>
  </conditionalFormatting>
  <conditionalFormatting sqref="H170 H173">
    <cfRule type="notContainsBlanks" dxfId="1157" priority="764">
      <formula>LEN(TRIM(H170))&gt;0</formula>
    </cfRule>
  </conditionalFormatting>
  <conditionalFormatting sqref="N179">
    <cfRule type="expression" dxfId="1156" priority="761">
      <formula>N179=" "</formula>
    </cfRule>
    <cfRule type="expression" dxfId="1155" priority="762">
      <formula>N179="NO PRESENTÓ CERTIFICADO"</formula>
    </cfRule>
    <cfRule type="expression" dxfId="1154" priority="763">
      <formula>N179="PRESENTÓ CERTIFICADO"</formula>
    </cfRule>
  </conditionalFormatting>
  <conditionalFormatting sqref="O179">
    <cfRule type="cellIs" dxfId="1153" priority="743" operator="equal">
      <formula>"PENDIENTE POR DESCRIPCIÓN"</formula>
    </cfRule>
    <cfRule type="cellIs" dxfId="1152" priority="744" operator="equal">
      <formula>"DESCRIPCIÓN INSUFICIENTE"</formula>
    </cfRule>
    <cfRule type="cellIs" dxfId="1151" priority="745" operator="equal">
      <formula>"NO ESTÁ ACORDE A ITEM 5.2.2 (T.R.)"</formula>
    </cfRule>
    <cfRule type="cellIs" dxfId="1150" priority="746" operator="equal">
      <formula>"ACORDE A ITEM 5.2.2 (T.R.)"</formula>
    </cfRule>
    <cfRule type="cellIs" dxfId="1149" priority="753" operator="equal">
      <formula>"PENDIENTE POR DESCRIPCIÓN"</formula>
    </cfRule>
    <cfRule type="cellIs" dxfId="1148" priority="755" operator="equal">
      <formula>"DESCRIPCIÓN INSUFICIENTE"</formula>
    </cfRule>
    <cfRule type="cellIs" dxfId="1147" priority="756" operator="equal">
      <formula>"NO ESTÁ ACORDE A ITEM 5.2.1 (T.R.)"</formula>
    </cfRule>
    <cfRule type="cellIs" dxfId="1146" priority="757" operator="equal">
      <formula>"ACORDE A ITEM 5.2.1 (T.R.)"</formula>
    </cfRule>
  </conditionalFormatting>
  <conditionalFormatting sqref="Q179">
    <cfRule type="containsBlanks" dxfId="1145" priority="748">
      <formula>LEN(TRIM(Q179))=0</formula>
    </cfRule>
    <cfRule type="cellIs" dxfId="1144" priority="754" operator="equal">
      <formula>"REQUERIMIENTOS SUBSANADOS"</formula>
    </cfRule>
    <cfRule type="containsText" dxfId="1143" priority="758" operator="containsText" text="NO SUBSANABLE">
      <formula>NOT(ISERROR(SEARCH("NO SUBSANABLE",Q179)))</formula>
    </cfRule>
    <cfRule type="containsText" dxfId="1142" priority="759" operator="containsText" text="PENDIENTES POR SUBSANAR">
      <formula>NOT(ISERROR(SEARCH("PENDIENTES POR SUBSANAR",Q179)))</formula>
    </cfRule>
    <cfRule type="containsText" dxfId="1141" priority="760" operator="containsText" text="SIN OBSERVACIÓN">
      <formula>NOT(ISERROR(SEARCH("SIN OBSERVACIÓN",Q179)))</formula>
    </cfRule>
  </conditionalFormatting>
  <conditionalFormatting sqref="R179">
    <cfRule type="containsBlanks" dxfId="1140" priority="747">
      <formula>LEN(TRIM(R179))=0</formula>
    </cfRule>
    <cfRule type="cellIs" dxfId="1139" priority="749" operator="equal">
      <formula>"NO CUMPLEN CON LO SOLICITADO"</formula>
    </cfRule>
    <cfRule type="cellIs" dxfId="1138" priority="750" operator="equal">
      <formula>"CUMPLEN CON LO SOLICITADO"</formula>
    </cfRule>
    <cfRule type="cellIs" dxfId="1137" priority="751" operator="equal">
      <formula>"PENDIENTES"</formula>
    </cfRule>
    <cfRule type="cellIs" dxfId="1136" priority="752" operator="equal">
      <formula>"NINGUNO"</formula>
    </cfRule>
  </conditionalFormatting>
  <conditionalFormatting sqref="P179">
    <cfRule type="expression" dxfId="1135" priority="738">
      <formula>Q179="NO SUBSANABLE"</formula>
    </cfRule>
    <cfRule type="expression" dxfId="1134" priority="739">
      <formula>Q179="REQUERIMIENTOS SUBSANADOS"</formula>
    </cfRule>
    <cfRule type="expression" dxfId="1133" priority="740">
      <formula>Q179="PENDIENTES POR SUBSANAR"</formula>
    </cfRule>
    <cfRule type="expression" dxfId="1132" priority="741">
      <formula>Q179="SIN OBSERVACIÓN"</formula>
    </cfRule>
    <cfRule type="containsBlanks" dxfId="1131" priority="742">
      <formula>LEN(TRIM(P179))=0</formula>
    </cfRule>
  </conditionalFormatting>
  <conditionalFormatting sqref="N170">
    <cfRule type="expression" dxfId="1130" priority="735">
      <formula>N170=" "</formula>
    </cfRule>
    <cfRule type="expression" dxfId="1129" priority="736">
      <formula>N170="NO PRESENTÓ CERTIFICADO"</formula>
    </cfRule>
    <cfRule type="expression" dxfId="1128" priority="737">
      <formula>N170="PRESENTÓ CERTIFICADO"</formula>
    </cfRule>
  </conditionalFormatting>
  <conditionalFormatting sqref="O170">
    <cfRule type="cellIs" dxfId="1127" priority="717" operator="equal">
      <formula>"PENDIENTE POR DESCRIPCIÓN"</formula>
    </cfRule>
    <cfRule type="cellIs" dxfId="1126" priority="718" operator="equal">
      <formula>"DESCRIPCIÓN INSUFICIENTE"</formula>
    </cfRule>
    <cfRule type="cellIs" dxfId="1125" priority="719" operator="equal">
      <formula>"NO ESTÁ ACORDE A ITEM 5.2.2 (T.R.)"</formula>
    </cfRule>
    <cfRule type="cellIs" dxfId="1124" priority="720" operator="equal">
      <formula>"ACORDE A ITEM 5.2.2 (T.R.)"</formula>
    </cfRule>
    <cfRule type="cellIs" dxfId="1123" priority="727" operator="equal">
      <formula>"PENDIENTE POR DESCRIPCIÓN"</formula>
    </cfRule>
    <cfRule type="cellIs" dxfId="1122" priority="729" operator="equal">
      <formula>"DESCRIPCIÓN INSUFICIENTE"</formula>
    </cfRule>
    <cfRule type="cellIs" dxfId="1121" priority="730" operator="equal">
      <formula>"NO ESTÁ ACORDE A ITEM 5.2.1 (T.R.)"</formula>
    </cfRule>
    <cfRule type="cellIs" dxfId="1120" priority="731" operator="equal">
      <formula>"ACORDE A ITEM 5.2.1 (T.R.)"</formula>
    </cfRule>
  </conditionalFormatting>
  <conditionalFormatting sqref="Q170">
    <cfRule type="containsBlanks" dxfId="1119" priority="722">
      <formula>LEN(TRIM(Q170))=0</formula>
    </cfRule>
    <cfRule type="cellIs" dxfId="1118" priority="728" operator="equal">
      <formula>"REQUERIMIENTOS SUBSANADOS"</formula>
    </cfRule>
    <cfRule type="containsText" dxfId="1117" priority="732" operator="containsText" text="NO SUBSANABLE">
      <formula>NOT(ISERROR(SEARCH("NO SUBSANABLE",Q170)))</formula>
    </cfRule>
    <cfRule type="containsText" dxfId="1116" priority="733" operator="containsText" text="PENDIENTES POR SUBSANAR">
      <formula>NOT(ISERROR(SEARCH("PENDIENTES POR SUBSANAR",Q170)))</formula>
    </cfRule>
    <cfRule type="containsText" dxfId="1115" priority="734" operator="containsText" text="SIN OBSERVACIÓN">
      <formula>NOT(ISERROR(SEARCH("SIN OBSERVACIÓN",Q170)))</formula>
    </cfRule>
  </conditionalFormatting>
  <conditionalFormatting sqref="R170">
    <cfRule type="containsBlanks" dxfId="1114" priority="721">
      <formula>LEN(TRIM(R170))=0</formula>
    </cfRule>
    <cfRule type="cellIs" dxfId="1113" priority="723" operator="equal">
      <formula>"NO CUMPLEN CON LO SOLICITADO"</formula>
    </cfRule>
    <cfRule type="cellIs" dxfId="1112" priority="724" operator="equal">
      <formula>"CUMPLEN CON LO SOLICITADO"</formula>
    </cfRule>
    <cfRule type="cellIs" dxfId="1111" priority="725" operator="equal">
      <formula>"PENDIENTES"</formula>
    </cfRule>
    <cfRule type="cellIs" dxfId="1110" priority="726" operator="equal">
      <formula>"NINGUNO"</formula>
    </cfRule>
  </conditionalFormatting>
  <conditionalFormatting sqref="P170">
    <cfRule type="expression" dxfId="1109" priority="712">
      <formula>Q170="NO SUBSANABLE"</formula>
    </cfRule>
    <cfRule type="expression" dxfId="1108" priority="713">
      <formula>Q170="REQUERIMIENTOS SUBSANADOS"</formula>
    </cfRule>
    <cfRule type="expression" dxfId="1107" priority="714">
      <formula>Q170="PENDIENTES POR SUBSANAR"</formula>
    </cfRule>
    <cfRule type="expression" dxfId="1106" priority="715">
      <formula>Q170="SIN OBSERVACIÓN"</formula>
    </cfRule>
    <cfRule type="containsBlanks" dxfId="1105" priority="716">
      <formula>LEN(TRIM(P170))=0</formula>
    </cfRule>
  </conditionalFormatting>
  <conditionalFormatting sqref="N167">
    <cfRule type="expression" dxfId="1104" priority="709">
      <formula>N167=" "</formula>
    </cfRule>
    <cfRule type="expression" dxfId="1103" priority="710">
      <formula>N167="NO PRESENTÓ CERTIFICADO"</formula>
    </cfRule>
    <cfRule type="expression" dxfId="1102" priority="711">
      <formula>N167="PRESENTÓ CERTIFICADO"</formula>
    </cfRule>
  </conditionalFormatting>
  <conditionalFormatting sqref="O167">
    <cfRule type="cellIs" dxfId="1101" priority="691" operator="equal">
      <formula>"PENDIENTE POR DESCRIPCIÓN"</formula>
    </cfRule>
    <cfRule type="cellIs" dxfId="1100" priority="692" operator="equal">
      <formula>"DESCRIPCIÓN INSUFICIENTE"</formula>
    </cfRule>
    <cfRule type="cellIs" dxfId="1099" priority="693" operator="equal">
      <formula>"NO ESTÁ ACORDE A ITEM 5.2.2 (T.R.)"</formula>
    </cfRule>
    <cfRule type="cellIs" dxfId="1098" priority="694" operator="equal">
      <formula>"ACORDE A ITEM 5.2.2 (T.R.)"</formula>
    </cfRule>
    <cfRule type="cellIs" dxfId="1097" priority="701" operator="equal">
      <formula>"PENDIENTE POR DESCRIPCIÓN"</formula>
    </cfRule>
    <cfRule type="cellIs" dxfId="1096" priority="703" operator="equal">
      <formula>"DESCRIPCIÓN INSUFICIENTE"</formula>
    </cfRule>
    <cfRule type="cellIs" dxfId="1095" priority="704" operator="equal">
      <formula>"NO ESTÁ ACORDE A ITEM 5.2.1 (T.R.)"</formula>
    </cfRule>
    <cfRule type="cellIs" dxfId="1094" priority="705" operator="equal">
      <formula>"ACORDE A ITEM 5.2.1 (T.R.)"</formula>
    </cfRule>
  </conditionalFormatting>
  <conditionalFormatting sqref="Q167">
    <cfRule type="containsBlanks" dxfId="1093" priority="696">
      <formula>LEN(TRIM(Q167))=0</formula>
    </cfRule>
    <cfRule type="cellIs" dxfId="1092" priority="702" operator="equal">
      <formula>"REQUERIMIENTOS SUBSANADOS"</formula>
    </cfRule>
    <cfRule type="containsText" dxfId="1091" priority="706" operator="containsText" text="NO SUBSANABLE">
      <formula>NOT(ISERROR(SEARCH("NO SUBSANABLE",Q167)))</formula>
    </cfRule>
    <cfRule type="containsText" dxfId="1090" priority="707" operator="containsText" text="PENDIENTES POR SUBSANAR">
      <formula>NOT(ISERROR(SEARCH("PENDIENTES POR SUBSANAR",Q167)))</formula>
    </cfRule>
    <cfRule type="containsText" dxfId="1089" priority="708" operator="containsText" text="SIN OBSERVACIÓN">
      <formula>NOT(ISERROR(SEARCH("SIN OBSERVACIÓN",Q167)))</formula>
    </cfRule>
  </conditionalFormatting>
  <conditionalFormatting sqref="R167">
    <cfRule type="containsBlanks" dxfId="1088" priority="695">
      <formula>LEN(TRIM(R167))=0</formula>
    </cfRule>
    <cfRule type="cellIs" dxfId="1087" priority="697" operator="equal">
      <formula>"NO CUMPLEN CON LO SOLICITADO"</formula>
    </cfRule>
    <cfRule type="cellIs" dxfId="1086" priority="698" operator="equal">
      <formula>"CUMPLEN CON LO SOLICITADO"</formula>
    </cfRule>
    <cfRule type="cellIs" dxfId="1085" priority="699" operator="equal">
      <formula>"PENDIENTES"</formula>
    </cfRule>
    <cfRule type="cellIs" dxfId="1084" priority="700" operator="equal">
      <formula>"NINGUNO"</formula>
    </cfRule>
  </conditionalFormatting>
  <conditionalFormatting sqref="P167">
    <cfRule type="expression" dxfId="1083" priority="686">
      <formula>Q167="NO SUBSANABLE"</formula>
    </cfRule>
    <cfRule type="expression" dxfId="1082" priority="687">
      <formula>Q167="REQUERIMIENTOS SUBSANADOS"</formula>
    </cfRule>
    <cfRule type="expression" dxfId="1081" priority="688">
      <formula>Q167="PENDIENTES POR SUBSANAR"</formula>
    </cfRule>
    <cfRule type="expression" dxfId="1080" priority="689">
      <formula>Q167="SIN OBSERVACIÓN"</formula>
    </cfRule>
    <cfRule type="containsBlanks" dxfId="1079" priority="690">
      <formula>LEN(TRIM(P167))=0</formula>
    </cfRule>
  </conditionalFormatting>
  <conditionalFormatting sqref="N176">
    <cfRule type="expression" dxfId="1078" priority="683">
      <formula>N176=" "</formula>
    </cfRule>
    <cfRule type="expression" dxfId="1077" priority="684">
      <formula>N176="NO PRESENTÓ CERTIFICADO"</formula>
    </cfRule>
    <cfRule type="expression" dxfId="1076" priority="685">
      <formula>N176="PRESENTÓ CERTIFICADO"</formula>
    </cfRule>
  </conditionalFormatting>
  <conditionalFormatting sqref="O176">
    <cfRule type="cellIs" dxfId="1075" priority="665" operator="equal">
      <formula>"PENDIENTE POR DESCRIPCIÓN"</formula>
    </cfRule>
    <cfRule type="cellIs" dxfId="1074" priority="666" operator="equal">
      <formula>"DESCRIPCIÓN INSUFICIENTE"</formula>
    </cfRule>
    <cfRule type="cellIs" dxfId="1073" priority="667" operator="equal">
      <formula>"NO ESTÁ ACORDE A ITEM 5.2.2 (T.R.)"</formula>
    </cfRule>
    <cfRule type="cellIs" dxfId="1072" priority="668" operator="equal">
      <formula>"ACORDE A ITEM 5.2.2 (T.R.)"</formula>
    </cfRule>
    <cfRule type="cellIs" dxfId="1071" priority="675" operator="equal">
      <formula>"PENDIENTE POR DESCRIPCIÓN"</formula>
    </cfRule>
    <cfRule type="cellIs" dxfId="1070" priority="677" operator="equal">
      <formula>"DESCRIPCIÓN INSUFICIENTE"</formula>
    </cfRule>
    <cfRule type="cellIs" dxfId="1069" priority="678" operator="equal">
      <formula>"NO ESTÁ ACORDE A ITEM 5.2.1 (T.R.)"</formula>
    </cfRule>
    <cfRule type="cellIs" dxfId="1068" priority="679" operator="equal">
      <formula>"ACORDE A ITEM 5.2.1 (T.R.)"</formula>
    </cfRule>
  </conditionalFormatting>
  <conditionalFormatting sqref="Q176">
    <cfRule type="containsBlanks" dxfId="1067" priority="670">
      <formula>LEN(TRIM(Q176))=0</formula>
    </cfRule>
    <cfRule type="cellIs" dxfId="1066" priority="676" operator="equal">
      <formula>"REQUERIMIENTOS SUBSANADOS"</formula>
    </cfRule>
    <cfRule type="containsText" dxfId="1065" priority="680" operator="containsText" text="NO SUBSANABLE">
      <formula>NOT(ISERROR(SEARCH("NO SUBSANABLE",Q176)))</formula>
    </cfRule>
    <cfRule type="containsText" dxfId="1064" priority="681" operator="containsText" text="PENDIENTES POR SUBSANAR">
      <formula>NOT(ISERROR(SEARCH("PENDIENTES POR SUBSANAR",Q176)))</formula>
    </cfRule>
    <cfRule type="containsText" dxfId="1063" priority="682" operator="containsText" text="SIN OBSERVACIÓN">
      <formula>NOT(ISERROR(SEARCH("SIN OBSERVACIÓN",Q176)))</formula>
    </cfRule>
  </conditionalFormatting>
  <conditionalFormatting sqref="R176">
    <cfRule type="containsBlanks" dxfId="1062" priority="669">
      <formula>LEN(TRIM(R176))=0</formula>
    </cfRule>
    <cfRule type="cellIs" dxfId="1061" priority="671" operator="equal">
      <formula>"NO CUMPLEN CON LO SOLICITADO"</formula>
    </cfRule>
    <cfRule type="cellIs" dxfId="1060" priority="672" operator="equal">
      <formula>"CUMPLEN CON LO SOLICITADO"</formula>
    </cfRule>
    <cfRule type="cellIs" dxfId="1059" priority="673" operator="equal">
      <formula>"PENDIENTES"</formula>
    </cfRule>
    <cfRule type="cellIs" dxfId="1058" priority="674" operator="equal">
      <formula>"NINGUNO"</formula>
    </cfRule>
  </conditionalFormatting>
  <conditionalFormatting sqref="N173">
    <cfRule type="expression" dxfId="1057" priority="662">
      <formula>N173=" "</formula>
    </cfRule>
    <cfRule type="expression" dxfId="1056" priority="663">
      <formula>N173="NO PRESENTÓ CERTIFICADO"</formula>
    </cfRule>
    <cfRule type="expression" dxfId="1055" priority="664">
      <formula>N173="PRESENTÓ CERTIFICADO"</formula>
    </cfRule>
  </conditionalFormatting>
  <conditionalFormatting sqref="O173">
    <cfRule type="cellIs" dxfId="1054" priority="644" operator="equal">
      <formula>"PENDIENTE POR DESCRIPCIÓN"</formula>
    </cfRule>
    <cfRule type="cellIs" dxfId="1053" priority="645" operator="equal">
      <formula>"DESCRIPCIÓN INSUFICIENTE"</formula>
    </cfRule>
    <cfRule type="cellIs" dxfId="1052" priority="646" operator="equal">
      <formula>"NO ESTÁ ACORDE A ITEM 5.2.2 (T.R.)"</formula>
    </cfRule>
    <cfRule type="cellIs" dxfId="1051" priority="647" operator="equal">
      <formula>"ACORDE A ITEM 5.2.2 (T.R.)"</formula>
    </cfRule>
    <cfRule type="cellIs" dxfId="1050" priority="654" operator="equal">
      <formula>"PENDIENTE POR DESCRIPCIÓN"</formula>
    </cfRule>
    <cfRule type="cellIs" dxfId="1049" priority="656" operator="equal">
      <formula>"DESCRIPCIÓN INSUFICIENTE"</formula>
    </cfRule>
    <cfRule type="cellIs" dxfId="1048" priority="657" operator="equal">
      <formula>"NO ESTÁ ACORDE A ITEM 5.2.1 (T.R.)"</formula>
    </cfRule>
    <cfRule type="cellIs" dxfId="1047" priority="658" operator="equal">
      <formula>"ACORDE A ITEM 5.2.1 (T.R.)"</formula>
    </cfRule>
  </conditionalFormatting>
  <conditionalFormatting sqref="Q173">
    <cfRule type="containsBlanks" dxfId="1046" priority="649">
      <formula>LEN(TRIM(Q173))=0</formula>
    </cfRule>
    <cfRule type="cellIs" dxfId="1045" priority="655" operator="equal">
      <formula>"REQUERIMIENTOS SUBSANADOS"</formula>
    </cfRule>
    <cfRule type="containsText" dxfId="1044" priority="659" operator="containsText" text="NO SUBSANABLE">
      <formula>NOT(ISERROR(SEARCH("NO SUBSANABLE",Q173)))</formula>
    </cfRule>
    <cfRule type="containsText" dxfId="1043" priority="660" operator="containsText" text="PENDIENTES POR SUBSANAR">
      <formula>NOT(ISERROR(SEARCH("PENDIENTES POR SUBSANAR",Q173)))</formula>
    </cfRule>
    <cfRule type="containsText" dxfId="1042" priority="661" operator="containsText" text="SIN OBSERVACIÓN">
      <formula>NOT(ISERROR(SEARCH("SIN OBSERVACIÓN",Q173)))</formula>
    </cfRule>
  </conditionalFormatting>
  <conditionalFormatting sqref="R173">
    <cfRule type="containsBlanks" dxfId="1041" priority="648">
      <formula>LEN(TRIM(R173))=0</formula>
    </cfRule>
    <cfRule type="cellIs" dxfId="1040" priority="650" operator="equal">
      <formula>"NO CUMPLEN CON LO SOLICITADO"</formula>
    </cfRule>
    <cfRule type="cellIs" dxfId="1039" priority="651" operator="equal">
      <formula>"CUMPLEN CON LO SOLICITADO"</formula>
    </cfRule>
    <cfRule type="cellIs" dxfId="1038" priority="652" operator="equal">
      <formula>"PENDIENTES"</formula>
    </cfRule>
    <cfRule type="cellIs" dxfId="1037" priority="653" operator="equal">
      <formula>"NINGUNO"</formula>
    </cfRule>
  </conditionalFormatting>
  <conditionalFormatting sqref="P173">
    <cfRule type="expression" dxfId="1036" priority="639">
      <formula>Q173="NO SUBSANABLE"</formula>
    </cfRule>
    <cfRule type="expression" dxfId="1035" priority="640">
      <formula>Q173="REQUERIMIENTOS SUBSANADOS"</formula>
    </cfRule>
    <cfRule type="expression" dxfId="1034" priority="641">
      <formula>Q173="PENDIENTES POR SUBSANAR"</formula>
    </cfRule>
    <cfRule type="expression" dxfId="1033" priority="642">
      <formula>Q173="SIN OBSERVACIÓN"</formula>
    </cfRule>
    <cfRule type="containsBlanks" dxfId="1032" priority="643">
      <formula>LEN(TRIM(P173))=0</formula>
    </cfRule>
  </conditionalFormatting>
  <conditionalFormatting sqref="J168">
    <cfRule type="cellIs" dxfId="1031" priority="637" operator="equal">
      <formula>"NO CUMPLE"</formula>
    </cfRule>
    <cfRule type="cellIs" dxfId="1030" priority="638" operator="equal">
      <formula>"CUMPLE"</formula>
    </cfRule>
  </conditionalFormatting>
  <conditionalFormatting sqref="J169">
    <cfRule type="cellIs" dxfId="1029" priority="635" operator="equal">
      <formula>"NO CUMPLE"</formula>
    </cfRule>
    <cfRule type="cellIs" dxfId="1028" priority="636" operator="equal">
      <formula>"CUMPLE"</formula>
    </cfRule>
  </conditionalFormatting>
  <conditionalFormatting sqref="J170:J172">
    <cfRule type="cellIs" dxfId="1027" priority="633" operator="equal">
      <formula>"NO CUMPLE"</formula>
    </cfRule>
    <cfRule type="cellIs" dxfId="1026" priority="634" operator="equal">
      <formula>"CUMPLE"</formula>
    </cfRule>
  </conditionalFormatting>
  <conditionalFormatting sqref="J173:J175">
    <cfRule type="cellIs" dxfId="1025" priority="631" operator="equal">
      <formula>"NO CUMPLE"</formula>
    </cfRule>
    <cfRule type="cellIs" dxfId="1024" priority="632" operator="equal">
      <formula>"CUMPLE"</formula>
    </cfRule>
  </conditionalFormatting>
  <conditionalFormatting sqref="J176:J178">
    <cfRule type="cellIs" dxfId="1023" priority="629" operator="equal">
      <formula>"NO CUMPLE"</formula>
    </cfRule>
    <cfRule type="cellIs" dxfId="1022" priority="630" operator="equal">
      <formula>"CUMPLE"</formula>
    </cfRule>
  </conditionalFormatting>
  <conditionalFormatting sqref="P176">
    <cfRule type="expression" dxfId="1021" priority="624">
      <formula>Q176="NO SUBSANABLE"</formula>
    </cfRule>
    <cfRule type="expression" dxfId="1020" priority="625">
      <formula>Q176="REQUERIMIENTOS SUBSANADOS"</formula>
    </cfRule>
    <cfRule type="expression" dxfId="1019" priority="626">
      <formula>Q176="PENDIENTES POR SUBSANAR"</formula>
    </cfRule>
    <cfRule type="expression" dxfId="1018" priority="627">
      <formula>Q176="SIN OBSERVACIÓN"</formula>
    </cfRule>
    <cfRule type="containsBlanks" dxfId="1017" priority="628">
      <formula>LEN(TRIM(P176))=0</formula>
    </cfRule>
  </conditionalFormatting>
  <conditionalFormatting sqref="J179">
    <cfRule type="cellIs" dxfId="1016" priority="622" operator="equal">
      <formula>"NO CUMPLE"</formula>
    </cfRule>
    <cfRule type="cellIs" dxfId="1015" priority="623" operator="equal">
      <formula>"CUMPLE"</formula>
    </cfRule>
  </conditionalFormatting>
  <conditionalFormatting sqref="J180">
    <cfRule type="cellIs" dxfId="1014" priority="620" operator="equal">
      <formula>"NO CUMPLE"</formula>
    </cfRule>
    <cfRule type="cellIs" dxfId="1013" priority="621" operator="equal">
      <formula>"CUMPLE"</formula>
    </cfRule>
  </conditionalFormatting>
  <conditionalFormatting sqref="F148">
    <cfRule type="notContainsBlanks" dxfId="1012" priority="619">
      <formula>LEN(TRIM(F148))&gt;0</formula>
    </cfRule>
  </conditionalFormatting>
  <conditionalFormatting sqref="N145">
    <cfRule type="expression" dxfId="1011" priority="616">
      <formula>N145=" "</formula>
    </cfRule>
    <cfRule type="expression" dxfId="1010" priority="617">
      <formula>N145="NO PRESENTÓ CERTIFICADO"</formula>
    </cfRule>
    <cfRule type="expression" dxfId="1009" priority="618">
      <formula>N145="PRESENTÓ CERTIFICADO"</formula>
    </cfRule>
  </conditionalFormatting>
  <conditionalFormatting sqref="O145">
    <cfRule type="cellIs" dxfId="1008" priority="598" operator="equal">
      <formula>"PENDIENTE POR DESCRIPCIÓN"</formula>
    </cfRule>
    <cfRule type="cellIs" dxfId="1007" priority="599" operator="equal">
      <formula>"DESCRIPCIÓN INSUFICIENTE"</formula>
    </cfRule>
    <cfRule type="cellIs" dxfId="1006" priority="600" operator="equal">
      <formula>"NO ESTÁ ACORDE A ITEM 5.2.2 (T.R.)"</formula>
    </cfRule>
    <cfRule type="cellIs" dxfId="1005" priority="601" operator="equal">
      <formula>"ACORDE A ITEM 5.2.2 (T.R.)"</formula>
    </cfRule>
    <cfRule type="cellIs" dxfId="1004" priority="608" operator="equal">
      <formula>"PENDIENTE POR DESCRIPCIÓN"</formula>
    </cfRule>
    <cfRule type="cellIs" dxfId="1003" priority="610" operator="equal">
      <formula>"DESCRIPCIÓN INSUFICIENTE"</formula>
    </cfRule>
    <cfRule type="cellIs" dxfId="1002" priority="611" operator="equal">
      <formula>"NO ESTÁ ACORDE A ITEM 5.2.1 (T.R.)"</formula>
    </cfRule>
    <cfRule type="cellIs" dxfId="1001" priority="612" operator="equal">
      <formula>"ACORDE A ITEM 5.2.1 (T.R.)"</formula>
    </cfRule>
  </conditionalFormatting>
  <conditionalFormatting sqref="Q145">
    <cfRule type="containsBlanks" dxfId="1000" priority="603">
      <formula>LEN(TRIM(Q145))=0</formula>
    </cfRule>
    <cfRule type="cellIs" dxfId="999" priority="609" operator="equal">
      <formula>"REQUERIMIENTOS SUBSANADOS"</formula>
    </cfRule>
    <cfRule type="containsText" dxfId="998" priority="613" operator="containsText" text="NO SUBSANABLE">
      <formula>NOT(ISERROR(SEARCH("NO SUBSANABLE",Q145)))</formula>
    </cfRule>
    <cfRule type="containsText" dxfId="997" priority="614" operator="containsText" text="PENDIENTES POR SUBSANAR">
      <formula>NOT(ISERROR(SEARCH("PENDIENTES POR SUBSANAR",Q145)))</formula>
    </cfRule>
    <cfRule type="containsText" dxfId="996" priority="615" operator="containsText" text="SIN OBSERVACIÓN">
      <formula>NOT(ISERROR(SEARCH("SIN OBSERVACIÓN",Q145)))</formula>
    </cfRule>
  </conditionalFormatting>
  <conditionalFormatting sqref="R145">
    <cfRule type="containsBlanks" dxfId="995" priority="602">
      <formula>LEN(TRIM(R145))=0</formula>
    </cfRule>
    <cfRule type="cellIs" dxfId="994" priority="604" operator="equal">
      <formula>"NO CUMPLEN CON LO SOLICITADO"</formula>
    </cfRule>
    <cfRule type="cellIs" dxfId="993" priority="605" operator="equal">
      <formula>"CUMPLEN CON LO SOLICITADO"</formula>
    </cfRule>
    <cfRule type="cellIs" dxfId="992" priority="606" operator="equal">
      <formula>"PENDIENTES"</formula>
    </cfRule>
    <cfRule type="cellIs" dxfId="991" priority="607" operator="equal">
      <formula>"NINGUNO"</formula>
    </cfRule>
  </conditionalFormatting>
  <conditionalFormatting sqref="P145">
    <cfRule type="expression" dxfId="990" priority="593">
      <formula>Q145="NO SUBSANABLE"</formula>
    </cfRule>
    <cfRule type="expression" dxfId="989" priority="594">
      <formula>Q145="REQUERIMIENTOS SUBSANADOS"</formula>
    </cfRule>
    <cfRule type="expression" dxfId="988" priority="595">
      <formula>Q145="PENDIENTES POR SUBSANAR"</formula>
    </cfRule>
    <cfRule type="expression" dxfId="987" priority="596">
      <formula>Q145="SIN OBSERVACIÓN"</formula>
    </cfRule>
    <cfRule type="containsBlanks" dxfId="986" priority="597">
      <formula>LEN(TRIM(P145))=0</formula>
    </cfRule>
  </conditionalFormatting>
  <conditionalFormatting sqref="N148">
    <cfRule type="expression" dxfId="985" priority="590">
      <formula>N148=" "</formula>
    </cfRule>
    <cfRule type="expression" dxfId="984" priority="591">
      <formula>N148="NO PRESENTÓ CERTIFICADO"</formula>
    </cfRule>
    <cfRule type="expression" dxfId="983" priority="592">
      <formula>N148="PRESENTÓ CERTIFICADO"</formula>
    </cfRule>
  </conditionalFormatting>
  <conditionalFormatting sqref="O148">
    <cfRule type="cellIs" dxfId="982" priority="572" operator="equal">
      <formula>"PENDIENTE POR DESCRIPCIÓN"</formula>
    </cfRule>
    <cfRule type="cellIs" dxfId="981" priority="573" operator="equal">
      <formula>"DESCRIPCIÓN INSUFICIENTE"</formula>
    </cfRule>
    <cfRule type="cellIs" dxfId="980" priority="574" operator="equal">
      <formula>"NO ESTÁ ACORDE A ITEM 5.2.2 (T.R.)"</formula>
    </cfRule>
    <cfRule type="cellIs" dxfId="979" priority="575" operator="equal">
      <formula>"ACORDE A ITEM 5.2.2 (T.R.)"</formula>
    </cfRule>
    <cfRule type="cellIs" dxfId="978" priority="582" operator="equal">
      <formula>"PENDIENTE POR DESCRIPCIÓN"</formula>
    </cfRule>
    <cfRule type="cellIs" dxfId="977" priority="584" operator="equal">
      <formula>"DESCRIPCIÓN INSUFICIENTE"</formula>
    </cfRule>
    <cfRule type="cellIs" dxfId="976" priority="585" operator="equal">
      <formula>"NO ESTÁ ACORDE A ITEM 5.2.1 (T.R.)"</formula>
    </cfRule>
    <cfRule type="cellIs" dxfId="975" priority="586" operator="equal">
      <formula>"ACORDE A ITEM 5.2.1 (T.R.)"</formula>
    </cfRule>
  </conditionalFormatting>
  <conditionalFormatting sqref="Q148">
    <cfRule type="containsBlanks" dxfId="974" priority="577">
      <formula>LEN(TRIM(Q148))=0</formula>
    </cfRule>
    <cfRule type="cellIs" dxfId="973" priority="583" operator="equal">
      <formula>"REQUERIMIENTOS SUBSANADOS"</formula>
    </cfRule>
    <cfRule type="containsText" dxfId="972" priority="587" operator="containsText" text="NO SUBSANABLE">
      <formula>NOT(ISERROR(SEARCH("NO SUBSANABLE",Q148)))</formula>
    </cfRule>
    <cfRule type="containsText" dxfId="971" priority="588" operator="containsText" text="PENDIENTES POR SUBSANAR">
      <formula>NOT(ISERROR(SEARCH("PENDIENTES POR SUBSANAR",Q148)))</formula>
    </cfRule>
    <cfRule type="containsText" dxfId="970" priority="589" operator="containsText" text="SIN OBSERVACIÓN">
      <formula>NOT(ISERROR(SEARCH("SIN OBSERVACIÓN",Q148)))</formula>
    </cfRule>
  </conditionalFormatting>
  <conditionalFormatting sqref="R148">
    <cfRule type="containsBlanks" dxfId="969" priority="576">
      <formula>LEN(TRIM(R148))=0</formula>
    </cfRule>
    <cfRule type="cellIs" dxfId="968" priority="578" operator="equal">
      <formula>"NO CUMPLEN CON LO SOLICITADO"</formula>
    </cfRule>
    <cfRule type="cellIs" dxfId="967" priority="579" operator="equal">
      <formula>"CUMPLEN CON LO SOLICITADO"</formula>
    </cfRule>
    <cfRule type="cellIs" dxfId="966" priority="580" operator="equal">
      <formula>"PENDIENTES"</formula>
    </cfRule>
    <cfRule type="cellIs" dxfId="965" priority="581" operator="equal">
      <formula>"NINGUNO"</formula>
    </cfRule>
  </conditionalFormatting>
  <conditionalFormatting sqref="P148">
    <cfRule type="expression" dxfId="964" priority="567">
      <formula>Q148="NO SUBSANABLE"</formula>
    </cfRule>
    <cfRule type="expression" dxfId="963" priority="568">
      <formula>Q148="REQUERIMIENTOS SUBSANADOS"</formula>
    </cfRule>
    <cfRule type="expression" dxfId="962" priority="569">
      <formula>Q148="PENDIENTES POR SUBSANAR"</formula>
    </cfRule>
    <cfRule type="expression" dxfId="961" priority="570">
      <formula>Q148="SIN OBSERVACIÓN"</formula>
    </cfRule>
    <cfRule type="containsBlanks" dxfId="960" priority="571">
      <formula>LEN(TRIM(P148))=0</formula>
    </cfRule>
  </conditionalFormatting>
  <conditionalFormatting sqref="H126 H129">
    <cfRule type="notContainsBlanks" dxfId="959" priority="566">
      <formula>LEN(TRIM(H126))&gt;0</formula>
    </cfRule>
  </conditionalFormatting>
  <conditionalFormatting sqref="I126 I129">
    <cfRule type="notContainsBlanks" dxfId="958" priority="565">
      <formula>LEN(TRIM(I126))&gt;0</formula>
    </cfRule>
  </conditionalFormatting>
  <conditionalFormatting sqref="N123">
    <cfRule type="expression" dxfId="957" priority="562">
      <formula>N123=" "</formula>
    </cfRule>
    <cfRule type="expression" dxfId="956" priority="563">
      <formula>N123="NO PRESENTÓ CERTIFICADO"</formula>
    </cfRule>
    <cfRule type="expression" dxfId="955" priority="564">
      <formula>N123="PRESENTÓ CERTIFICADO"</formula>
    </cfRule>
  </conditionalFormatting>
  <conditionalFormatting sqref="O123">
    <cfRule type="cellIs" dxfId="954" priority="554" operator="equal">
      <formula>"PENDIENTE POR DESCRIPCIÓN"</formula>
    </cfRule>
    <cfRule type="cellIs" dxfId="953" priority="555" operator="equal">
      <formula>"DESCRIPCIÓN INSUFICIENTE"</formula>
    </cfRule>
    <cfRule type="cellIs" dxfId="952" priority="556" operator="equal">
      <formula>"NO ESTÁ ACORDE A ITEM 5.2.2 (T.R.)"</formula>
    </cfRule>
    <cfRule type="cellIs" dxfId="951" priority="557" operator="equal">
      <formula>"ACORDE A ITEM 5.2.2 (T.R.)"</formula>
    </cfRule>
    <cfRule type="cellIs" dxfId="950" priority="558" operator="equal">
      <formula>"PENDIENTE POR DESCRIPCIÓN"</formula>
    </cfRule>
    <cfRule type="cellIs" dxfId="949" priority="559" operator="equal">
      <formula>"DESCRIPCIÓN INSUFICIENTE"</formula>
    </cfRule>
    <cfRule type="cellIs" dxfId="948" priority="560" operator="equal">
      <formula>"NO ESTÁ ACORDE A ITEM 5.2.1 (T.R.)"</formula>
    </cfRule>
    <cfRule type="cellIs" dxfId="947" priority="561" operator="equal">
      <formula>"ACORDE A ITEM 5.2.1 (T.R.)"</formula>
    </cfRule>
  </conditionalFormatting>
  <conditionalFormatting sqref="N126">
    <cfRule type="expression" dxfId="946" priority="551">
      <formula>N126=" "</formula>
    </cfRule>
    <cfRule type="expression" dxfId="945" priority="552">
      <formula>N126="NO PRESENTÓ CERTIFICADO"</formula>
    </cfRule>
    <cfRule type="expression" dxfId="944" priority="553">
      <formula>N126="PRESENTÓ CERTIFICADO"</formula>
    </cfRule>
  </conditionalFormatting>
  <conditionalFormatting sqref="O126">
    <cfRule type="cellIs" dxfId="943" priority="533" operator="equal">
      <formula>"PENDIENTE POR DESCRIPCIÓN"</formula>
    </cfRule>
    <cfRule type="cellIs" dxfId="942" priority="534" operator="equal">
      <formula>"DESCRIPCIÓN INSUFICIENTE"</formula>
    </cfRule>
    <cfRule type="cellIs" dxfId="941" priority="535" operator="equal">
      <formula>"NO ESTÁ ACORDE A ITEM 5.2.2 (T.R.)"</formula>
    </cfRule>
    <cfRule type="cellIs" dxfId="940" priority="536" operator="equal">
      <formula>"ACORDE A ITEM 5.2.2 (T.R.)"</formula>
    </cfRule>
    <cfRule type="cellIs" dxfId="939" priority="543" operator="equal">
      <formula>"PENDIENTE POR DESCRIPCIÓN"</formula>
    </cfRule>
    <cfRule type="cellIs" dxfId="938" priority="545" operator="equal">
      <formula>"DESCRIPCIÓN INSUFICIENTE"</formula>
    </cfRule>
    <cfRule type="cellIs" dxfId="937" priority="546" operator="equal">
      <formula>"NO ESTÁ ACORDE A ITEM 5.2.1 (T.R.)"</formula>
    </cfRule>
    <cfRule type="cellIs" dxfId="936" priority="547" operator="equal">
      <formula>"ACORDE A ITEM 5.2.1 (T.R.)"</formula>
    </cfRule>
  </conditionalFormatting>
  <conditionalFormatting sqref="Q126">
    <cfRule type="containsBlanks" dxfId="935" priority="538">
      <formula>LEN(TRIM(Q126))=0</formula>
    </cfRule>
    <cfRule type="cellIs" dxfId="934" priority="544" operator="equal">
      <formula>"REQUERIMIENTOS SUBSANADOS"</formula>
    </cfRule>
    <cfRule type="containsText" dxfId="933" priority="548" operator="containsText" text="NO SUBSANABLE">
      <formula>NOT(ISERROR(SEARCH("NO SUBSANABLE",Q126)))</formula>
    </cfRule>
    <cfRule type="containsText" dxfId="932" priority="549" operator="containsText" text="PENDIENTES POR SUBSANAR">
      <formula>NOT(ISERROR(SEARCH("PENDIENTES POR SUBSANAR",Q126)))</formula>
    </cfRule>
    <cfRule type="containsText" dxfId="931" priority="550" operator="containsText" text="SIN OBSERVACIÓN">
      <formula>NOT(ISERROR(SEARCH("SIN OBSERVACIÓN",Q126)))</formula>
    </cfRule>
  </conditionalFormatting>
  <conditionalFormatting sqref="R126">
    <cfRule type="containsBlanks" dxfId="930" priority="537">
      <formula>LEN(TRIM(R126))=0</formula>
    </cfRule>
    <cfRule type="cellIs" dxfId="929" priority="539" operator="equal">
      <formula>"NO CUMPLEN CON LO SOLICITADO"</formula>
    </cfRule>
    <cfRule type="cellIs" dxfId="928" priority="540" operator="equal">
      <formula>"CUMPLEN CON LO SOLICITADO"</formula>
    </cfRule>
    <cfRule type="cellIs" dxfId="927" priority="541" operator="equal">
      <formula>"PENDIENTES"</formula>
    </cfRule>
    <cfRule type="cellIs" dxfId="926" priority="542" operator="equal">
      <formula>"NINGUNO"</formula>
    </cfRule>
  </conditionalFormatting>
  <conditionalFormatting sqref="P126">
    <cfRule type="expression" dxfId="925" priority="528">
      <formula>Q126="NO SUBSANABLE"</formula>
    </cfRule>
    <cfRule type="expression" dxfId="924" priority="529">
      <formula>Q126="REQUERIMIENTOS SUBSANADOS"</formula>
    </cfRule>
    <cfRule type="expression" dxfId="923" priority="530">
      <formula>Q126="PENDIENTES POR SUBSANAR"</formula>
    </cfRule>
    <cfRule type="expression" dxfId="922" priority="531">
      <formula>Q126="SIN OBSERVACIÓN"</formula>
    </cfRule>
    <cfRule type="containsBlanks" dxfId="921" priority="532">
      <formula>LEN(TRIM(P126))=0</formula>
    </cfRule>
  </conditionalFormatting>
  <conditionalFormatting sqref="N129">
    <cfRule type="expression" dxfId="920" priority="525">
      <formula>N129=" "</formula>
    </cfRule>
    <cfRule type="expression" dxfId="919" priority="526">
      <formula>N129="NO PRESENTÓ CERTIFICADO"</formula>
    </cfRule>
    <cfRule type="expression" dxfId="918" priority="527">
      <formula>N129="PRESENTÓ CERTIFICADO"</formula>
    </cfRule>
  </conditionalFormatting>
  <conditionalFormatting sqref="O129">
    <cfRule type="cellIs" dxfId="917" priority="507" operator="equal">
      <formula>"PENDIENTE POR DESCRIPCIÓN"</formula>
    </cfRule>
    <cfRule type="cellIs" dxfId="916" priority="508" operator="equal">
      <formula>"DESCRIPCIÓN INSUFICIENTE"</formula>
    </cfRule>
    <cfRule type="cellIs" dxfId="915" priority="509" operator="equal">
      <formula>"NO ESTÁ ACORDE A ITEM 5.2.2 (T.R.)"</formula>
    </cfRule>
    <cfRule type="cellIs" dxfId="914" priority="510" operator="equal">
      <formula>"ACORDE A ITEM 5.2.2 (T.R.)"</formula>
    </cfRule>
    <cfRule type="cellIs" dxfId="913" priority="517" operator="equal">
      <formula>"PENDIENTE POR DESCRIPCIÓN"</formula>
    </cfRule>
    <cfRule type="cellIs" dxfId="912" priority="519" operator="equal">
      <formula>"DESCRIPCIÓN INSUFICIENTE"</formula>
    </cfRule>
    <cfRule type="cellIs" dxfId="911" priority="520" operator="equal">
      <formula>"NO ESTÁ ACORDE A ITEM 5.2.1 (T.R.)"</formula>
    </cfRule>
    <cfRule type="cellIs" dxfId="910" priority="521" operator="equal">
      <formula>"ACORDE A ITEM 5.2.1 (T.R.)"</formula>
    </cfRule>
  </conditionalFormatting>
  <conditionalFormatting sqref="Q129">
    <cfRule type="containsBlanks" dxfId="909" priority="512">
      <formula>LEN(TRIM(Q129))=0</formula>
    </cfRule>
    <cfRule type="cellIs" dxfId="908" priority="518" operator="equal">
      <formula>"REQUERIMIENTOS SUBSANADOS"</formula>
    </cfRule>
    <cfRule type="containsText" dxfId="907" priority="522" operator="containsText" text="NO SUBSANABLE">
      <formula>NOT(ISERROR(SEARCH("NO SUBSANABLE",Q129)))</formula>
    </cfRule>
    <cfRule type="containsText" dxfId="906" priority="523" operator="containsText" text="PENDIENTES POR SUBSANAR">
      <formula>NOT(ISERROR(SEARCH("PENDIENTES POR SUBSANAR",Q129)))</formula>
    </cfRule>
    <cfRule type="containsText" dxfId="905" priority="524" operator="containsText" text="SIN OBSERVACIÓN">
      <formula>NOT(ISERROR(SEARCH("SIN OBSERVACIÓN",Q129)))</formula>
    </cfRule>
  </conditionalFormatting>
  <conditionalFormatting sqref="R129">
    <cfRule type="containsBlanks" dxfId="904" priority="511">
      <formula>LEN(TRIM(R129))=0</formula>
    </cfRule>
    <cfRule type="cellIs" dxfId="903" priority="513" operator="equal">
      <formula>"NO CUMPLEN CON LO SOLICITADO"</formula>
    </cfRule>
    <cfRule type="cellIs" dxfId="902" priority="514" operator="equal">
      <formula>"CUMPLEN CON LO SOLICITADO"</formula>
    </cfRule>
    <cfRule type="cellIs" dxfId="901" priority="515" operator="equal">
      <formula>"PENDIENTES"</formula>
    </cfRule>
    <cfRule type="cellIs" dxfId="900" priority="516" operator="equal">
      <formula>"NINGUNO"</formula>
    </cfRule>
  </conditionalFormatting>
  <conditionalFormatting sqref="P129">
    <cfRule type="expression" dxfId="899" priority="502">
      <formula>Q129="NO SUBSANABLE"</formula>
    </cfRule>
    <cfRule type="expression" dxfId="898" priority="503">
      <formula>Q129="REQUERIMIENTOS SUBSANADOS"</formula>
    </cfRule>
    <cfRule type="expression" dxfId="897" priority="504">
      <formula>Q129="PENDIENTES POR SUBSANAR"</formula>
    </cfRule>
    <cfRule type="expression" dxfId="896" priority="505">
      <formula>Q129="SIN OBSERVACIÓN"</formula>
    </cfRule>
    <cfRule type="containsBlanks" dxfId="895" priority="506">
      <formula>LEN(TRIM(P129))=0</formula>
    </cfRule>
  </conditionalFormatting>
  <conditionalFormatting sqref="N132">
    <cfRule type="expression" dxfId="894" priority="499">
      <formula>N132=" "</formula>
    </cfRule>
    <cfRule type="expression" dxfId="893" priority="500">
      <formula>N132="NO PRESENTÓ CERTIFICADO"</formula>
    </cfRule>
    <cfRule type="expression" dxfId="892" priority="501">
      <formula>N132="PRESENTÓ CERTIFICADO"</formula>
    </cfRule>
  </conditionalFormatting>
  <conditionalFormatting sqref="O132">
    <cfRule type="cellIs" dxfId="891" priority="481" operator="equal">
      <formula>"PENDIENTE POR DESCRIPCIÓN"</formula>
    </cfRule>
    <cfRule type="cellIs" dxfId="890" priority="482" operator="equal">
      <formula>"DESCRIPCIÓN INSUFICIENTE"</formula>
    </cfRule>
    <cfRule type="cellIs" dxfId="889" priority="483" operator="equal">
      <formula>"NO ESTÁ ACORDE A ITEM 5.2.2 (T.R.)"</formula>
    </cfRule>
    <cfRule type="cellIs" dxfId="888" priority="484" operator="equal">
      <formula>"ACORDE A ITEM 5.2.2 (T.R.)"</formula>
    </cfRule>
    <cfRule type="cellIs" dxfId="887" priority="491" operator="equal">
      <formula>"PENDIENTE POR DESCRIPCIÓN"</formula>
    </cfRule>
    <cfRule type="cellIs" dxfId="886" priority="493" operator="equal">
      <formula>"DESCRIPCIÓN INSUFICIENTE"</formula>
    </cfRule>
    <cfRule type="cellIs" dxfId="885" priority="494" operator="equal">
      <formula>"NO ESTÁ ACORDE A ITEM 5.2.1 (T.R.)"</formula>
    </cfRule>
    <cfRule type="cellIs" dxfId="884" priority="495" operator="equal">
      <formula>"ACORDE A ITEM 5.2.1 (T.R.)"</formula>
    </cfRule>
  </conditionalFormatting>
  <conditionalFormatting sqref="Q132">
    <cfRule type="containsBlanks" dxfId="883" priority="486">
      <formula>LEN(TRIM(Q132))=0</formula>
    </cfRule>
    <cfRule type="cellIs" dxfId="882" priority="492" operator="equal">
      <formula>"REQUERIMIENTOS SUBSANADOS"</formula>
    </cfRule>
    <cfRule type="containsText" dxfId="881" priority="496" operator="containsText" text="NO SUBSANABLE">
      <formula>NOT(ISERROR(SEARCH("NO SUBSANABLE",Q132)))</formula>
    </cfRule>
    <cfRule type="containsText" dxfId="880" priority="497" operator="containsText" text="PENDIENTES POR SUBSANAR">
      <formula>NOT(ISERROR(SEARCH("PENDIENTES POR SUBSANAR",Q132)))</formula>
    </cfRule>
    <cfRule type="containsText" dxfId="879" priority="498" operator="containsText" text="SIN OBSERVACIÓN">
      <formula>NOT(ISERROR(SEARCH("SIN OBSERVACIÓN",Q132)))</formula>
    </cfRule>
  </conditionalFormatting>
  <conditionalFormatting sqref="R132">
    <cfRule type="containsBlanks" dxfId="878" priority="485">
      <formula>LEN(TRIM(R132))=0</formula>
    </cfRule>
    <cfRule type="cellIs" dxfId="877" priority="487" operator="equal">
      <formula>"NO CUMPLEN CON LO SOLICITADO"</formula>
    </cfRule>
    <cfRule type="cellIs" dxfId="876" priority="488" operator="equal">
      <formula>"CUMPLEN CON LO SOLICITADO"</formula>
    </cfRule>
    <cfRule type="cellIs" dxfId="875" priority="489" operator="equal">
      <formula>"PENDIENTES"</formula>
    </cfRule>
    <cfRule type="cellIs" dxfId="874" priority="490" operator="equal">
      <formula>"NINGUNO"</formula>
    </cfRule>
  </conditionalFormatting>
  <conditionalFormatting sqref="P132">
    <cfRule type="expression" dxfId="873" priority="476">
      <formula>Q132="NO SUBSANABLE"</formula>
    </cfRule>
    <cfRule type="expression" dxfId="872" priority="477">
      <formula>Q132="REQUERIMIENTOS SUBSANADOS"</formula>
    </cfRule>
    <cfRule type="expression" dxfId="871" priority="478">
      <formula>Q132="PENDIENTES POR SUBSANAR"</formula>
    </cfRule>
    <cfRule type="expression" dxfId="870" priority="479">
      <formula>Q132="SIN OBSERVACIÓN"</formula>
    </cfRule>
    <cfRule type="containsBlanks" dxfId="869" priority="480">
      <formula>LEN(TRIM(P132))=0</formula>
    </cfRule>
  </conditionalFormatting>
  <conditionalFormatting sqref="U167:U169">
    <cfRule type="cellIs" dxfId="868" priority="474" operator="equal">
      <formula>0</formula>
    </cfRule>
    <cfRule type="cellIs" dxfId="867" priority="475" operator="equal">
      <formula>1</formula>
    </cfRule>
  </conditionalFormatting>
  <conditionalFormatting sqref="U170:U181">
    <cfRule type="cellIs" dxfId="866" priority="472" operator="equal">
      <formula>0</formula>
    </cfRule>
    <cfRule type="cellIs" dxfId="865" priority="473" operator="equal">
      <formula>1</formula>
    </cfRule>
  </conditionalFormatting>
  <conditionalFormatting sqref="U145:U147">
    <cfRule type="cellIs" dxfId="864" priority="470" operator="equal">
      <formula>0</formula>
    </cfRule>
    <cfRule type="cellIs" dxfId="863" priority="471" operator="equal">
      <formula>1</formula>
    </cfRule>
  </conditionalFormatting>
  <conditionalFormatting sqref="U148:U150">
    <cfRule type="cellIs" dxfId="862" priority="468" operator="equal">
      <formula>0</formula>
    </cfRule>
    <cfRule type="cellIs" dxfId="861" priority="469" operator="equal">
      <formula>1</formula>
    </cfRule>
  </conditionalFormatting>
  <conditionalFormatting sqref="U123:U137">
    <cfRule type="cellIs" dxfId="860" priority="466" operator="equal">
      <formula>0</formula>
    </cfRule>
    <cfRule type="cellIs" dxfId="859" priority="467" operator="equal">
      <formula>1</formula>
    </cfRule>
  </conditionalFormatting>
  <conditionalFormatting sqref="H104 H107">
    <cfRule type="notContainsBlanks" dxfId="858" priority="465">
      <formula>LEN(TRIM(H104))&gt;0</formula>
    </cfRule>
  </conditionalFormatting>
  <conditionalFormatting sqref="I104 I107">
    <cfRule type="notContainsBlanks" dxfId="857" priority="464">
      <formula>LEN(TRIM(I104))&gt;0</formula>
    </cfRule>
  </conditionalFormatting>
  <conditionalFormatting sqref="N101">
    <cfRule type="expression" dxfId="856" priority="461">
      <formula>N101=" "</formula>
    </cfRule>
    <cfRule type="expression" dxfId="855" priority="462">
      <formula>N101="NO PRESENTÓ CERTIFICADO"</formula>
    </cfRule>
    <cfRule type="expression" dxfId="854" priority="463">
      <formula>N101="PRESENTÓ CERTIFICADO"</formula>
    </cfRule>
  </conditionalFormatting>
  <conditionalFormatting sqref="O101">
    <cfRule type="cellIs" dxfId="853" priority="443" operator="equal">
      <formula>"PENDIENTE POR DESCRIPCIÓN"</formula>
    </cfRule>
    <cfRule type="cellIs" dxfId="852" priority="444" operator="equal">
      <formula>"DESCRIPCIÓN INSUFICIENTE"</formula>
    </cfRule>
    <cfRule type="cellIs" dxfId="851" priority="445" operator="equal">
      <formula>"NO ESTÁ ACORDE A ITEM 5.2.2 (T.R.)"</formula>
    </cfRule>
    <cfRule type="cellIs" dxfId="850" priority="446" operator="equal">
      <formula>"ACORDE A ITEM 5.2.2 (T.R.)"</formula>
    </cfRule>
    <cfRule type="cellIs" dxfId="849" priority="453" operator="equal">
      <formula>"PENDIENTE POR DESCRIPCIÓN"</formula>
    </cfRule>
    <cfRule type="cellIs" dxfId="848" priority="455" operator="equal">
      <formula>"DESCRIPCIÓN INSUFICIENTE"</formula>
    </cfRule>
    <cfRule type="cellIs" dxfId="847" priority="456" operator="equal">
      <formula>"NO ESTÁ ACORDE A ITEM 5.2.1 (T.R.)"</formula>
    </cfRule>
    <cfRule type="cellIs" dxfId="846" priority="457" operator="equal">
      <formula>"ACORDE A ITEM 5.2.1 (T.R.)"</formula>
    </cfRule>
  </conditionalFormatting>
  <conditionalFormatting sqref="Q101">
    <cfRule type="containsBlanks" dxfId="845" priority="448">
      <formula>LEN(TRIM(Q101))=0</formula>
    </cfRule>
    <cfRule type="cellIs" dxfId="844" priority="454" operator="equal">
      <formula>"REQUERIMIENTOS SUBSANADOS"</formula>
    </cfRule>
    <cfRule type="containsText" dxfId="843" priority="458" operator="containsText" text="NO SUBSANABLE">
      <formula>NOT(ISERROR(SEARCH("NO SUBSANABLE",Q101)))</formula>
    </cfRule>
    <cfRule type="containsText" dxfId="842" priority="459" operator="containsText" text="PENDIENTES POR SUBSANAR">
      <formula>NOT(ISERROR(SEARCH("PENDIENTES POR SUBSANAR",Q101)))</formula>
    </cfRule>
    <cfRule type="containsText" dxfId="841" priority="460" operator="containsText" text="SIN OBSERVACIÓN">
      <formula>NOT(ISERROR(SEARCH("SIN OBSERVACIÓN",Q101)))</formula>
    </cfRule>
  </conditionalFormatting>
  <conditionalFormatting sqref="R101">
    <cfRule type="containsBlanks" dxfId="840" priority="447">
      <formula>LEN(TRIM(R101))=0</formula>
    </cfRule>
    <cfRule type="cellIs" dxfId="839" priority="449" operator="equal">
      <formula>"NO CUMPLEN CON LO SOLICITADO"</formula>
    </cfRule>
    <cfRule type="cellIs" dxfId="838" priority="450" operator="equal">
      <formula>"CUMPLEN CON LO SOLICITADO"</formula>
    </cfRule>
    <cfRule type="cellIs" dxfId="837" priority="451" operator="equal">
      <formula>"PENDIENTES"</formula>
    </cfRule>
    <cfRule type="cellIs" dxfId="836" priority="452" operator="equal">
      <formula>"NINGUNO"</formula>
    </cfRule>
  </conditionalFormatting>
  <conditionalFormatting sqref="P101">
    <cfRule type="expression" dxfId="835" priority="438">
      <formula>Q101="NO SUBSANABLE"</formula>
    </cfRule>
    <cfRule type="expression" dxfId="834" priority="439">
      <formula>Q101="REQUERIMIENTOS SUBSANADOS"</formula>
    </cfRule>
    <cfRule type="expression" dxfId="833" priority="440">
      <formula>Q101="PENDIENTES POR SUBSANAR"</formula>
    </cfRule>
    <cfRule type="expression" dxfId="832" priority="441">
      <formula>Q101="SIN OBSERVACIÓN"</formula>
    </cfRule>
    <cfRule type="containsBlanks" dxfId="831" priority="442">
      <formula>LEN(TRIM(P101))=0</formula>
    </cfRule>
  </conditionalFormatting>
  <conditionalFormatting sqref="N104">
    <cfRule type="expression" dxfId="830" priority="435">
      <formula>N104=" "</formula>
    </cfRule>
    <cfRule type="expression" dxfId="829" priority="436">
      <formula>N104="NO PRESENTÓ CERTIFICADO"</formula>
    </cfRule>
    <cfRule type="expression" dxfId="828" priority="437">
      <formula>N104="PRESENTÓ CERTIFICADO"</formula>
    </cfRule>
  </conditionalFormatting>
  <conditionalFormatting sqref="O104">
    <cfRule type="cellIs" dxfId="827" priority="417" operator="equal">
      <formula>"PENDIENTE POR DESCRIPCIÓN"</formula>
    </cfRule>
    <cfRule type="cellIs" dxfId="826" priority="418" operator="equal">
      <formula>"DESCRIPCIÓN INSUFICIENTE"</formula>
    </cfRule>
    <cfRule type="cellIs" dxfId="825" priority="419" operator="equal">
      <formula>"NO ESTÁ ACORDE A ITEM 5.2.2 (T.R.)"</formula>
    </cfRule>
    <cfRule type="cellIs" dxfId="824" priority="420" operator="equal">
      <formula>"ACORDE A ITEM 5.2.2 (T.R.)"</formula>
    </cfRule>
    <cfRule type="cellIs" dxfId="823" priority="427" operator="equal">
      <formula>"PENDIENTE POR DESCRIPCIÓN"</formula>
    </cfRule>
    <cfRule type="cellIs" dxfId="822" priority="429" operator="equal">
      <formula>"DESCRIPCIÓN INSUFICIENTE"</formula>
    </cfRule>
    <cfRule type="cellIs" dxfId="821" priority="430" operator="equal">
      <formula>"NO ESTÁ ACORDE A ITEM 5.2.1 (T.R.)"</formula>
    </cfRule>
    <cfRule type="cellIs" dxfId="820" priority="431" operator="equal">
      <formula>"ACORDE A ITEM 5.2.1 (T.R.)"</formula>
    </cfRule>
  </conditionalFormatting>
  <conditionalFormatting sqref="Q104">
    <cfRule type="containsBlanks" dxfId="819" priority="422">
      <formula>LEN(TRIM(Q104))=0</formula>
    </cfRule>
    <cfRule type="cellIs" dxfId="818" priority="428" operator="equal">
      <formula>"REQUERIMIENTOS SUBSANADOS"</formula>
    </cfRule>
    <cfRule type="containsText" dxfId="817" priority="432" operator="containsText" text="NO SUBSANABLE">
      <formula>NOT(ISERROR(SEARCH("NO SUBSANABLE",Q104)))</formula>
    </cfRule>
    <cfRule type="containsText" dxfId="816" priority="433" operator="containsText" text="PENDIENTES POR SUBSANAR">
      <formula>NOT(ISERROR(SEARCH("PENDIENTES POR SUBSANAR",Q104)))</formula>
    </cfRule>
    <cfRule type="containsText" dxfId="815" priority="434" operator="containsText" text="SIN OBSERVACIÓN">
      <formula>NOT(ISERROR(SEARCH("SIN OBSERVACIÓN",Q104)))</formula>
    </cfRule>
  </conditionalFormatting>
  <conditionalFormatting sqref="R104">
    <cfRule type="containsBlanks" dxfId="814" priority="421">
      <formula>LEN(TRIM(R104))=0</formula>
    </cfRule>
    <cfRule type="cellIs" dxfId="813" priority="423" operator="equal">
      <formula>"NO CUMPLEN CON LO SOLICITADO"</formula>
    </cfRule>
    <cfRule type="cellIs" dxfId="812" priority="424" operator="equal">
      <formula>"CUMPLEN CON LO SOLICITADO"</formula>
    </cfRule>
    <cfRule type="cellIs" dxfId="811" priority="425" operator="equal">
      <formula>"PENDIENTES"</formula>
    </cfRule>
    <cfRule type="cellIs" dxfId="810" priority="426" operator="equal">
      <formula>"NINGUNO"</formula>
    </cfRule>
  </conditionalFormatting>
  <conditionalFormatting sqref="P104">
    <cfRule type="expression" dxfId="809" priority="412">
      <formula>Q104="NO SUBSANABLE"</formula>
    </cfRule>
    <cfRule type="expression" dxfId="808" priority="413">
      <formula>Q104="REQUERIMIENTOS SUBSANADOS"</formula>
    </cfRule>
    <cfRule type="expression" dxfId="807" priority="414">
      <formula>Q104="PENDIENTES POR SUBSANAR"</formula>
    </cfRule>
    <cfRule type="expression" dxfId="806" priority="415">
      <formula>Q104="SIN OBSERVACIÓN"</formula>
    </cfRule>
    <cfRule type="containsBlanks" dxfId="805" priority="416">
      <formula>LEN(TRIM(P104))=0</formula>
    </cfRule>
  </conditionalFormatting>
  <conditionalFormatting sqref="N107">
    <cfRule type="expression" dxfId="804" priority="409">
      <formula>N107=" "</formula>
    </cfRule>
    <cfRule type="expression" dxfId="803" priority="410">
      <formula>N107="NO PRESENTÓ CERTIFICADO"</formula>
    </cfRule>
    <cfRule type="expression" dxfId="802" priority="411">
      <formula>N107="PRESENTÓ CERTIFICADO"</formula>
    </cfRule>
  </conditionalFormatting>
  <conditionalFormatting sqref="O107">
    <cfRule type="cellIs" dxfId="801" priority="401" operator="equal">
      <formula>"PENDIENTE POR DESCRIPCIÓN"</formula>
    </cfRule>
    <cfRule type="cellIs" dxfId="800" priority="402" operator="equal">
      <formula>"DESCRIPCIÓN INSUFICIENTE"</formula>
    </cfRule>
    <cfRule type="cellIs" dxfId="799" priority="403" operator="equal">
      <formula>"NO ESTÁ ACORDE A ITEM 5.2.2 (T.R.)"</formula>
    </cfRule>
    <cfRule type="cellIs" dxfId="798" priority="404" operator="equal">
      <formula>"ACORDE A ITEM 5.2.2 (T.R.)"</formula>
    </cfRule>
    <cfRule type="cellIs" dxfId="797" priority="405" operator="equal">
      <formula>"PENDIENTE POR DESCRIPCIÓN"</formula>
    </cfRule>
    <cfRule type="cellIs" dxfId="796" priority="406" operator="equal">
      <formula>"DESCRIPCIÓN INSUFICIENTE"</formula>
    </cfRule>
    <cfRule type="cellIs" dxfId="795" priority="407" operator="equal">
      <formula>"NO ESTÁ ACORDE A ITEM 5.2.1 (T.R.)"</formula>
    </cfRule>
    <cfRule type="cellIs" dxfId="794" priority="408" operator="equal">
      <formula>"ACORDE A ITEM 5.2.1 (T.R.)"</formula>
    </cfRule>
  </conditionalFormatting>
  <conditionalFormatting sqref="Q107">
    <cfRule type="containsBlanks" dxfId="793" priority="392">
      <formula>LEN(TRIM(Q107))=0</formula>
    </cfRule>
    <cfRule type="cellIs" dxfId="792" priority="397" operator="equal">
      <formula>"REQUERIMIENTOS SUBSANADOS"</formula>
    </cfRule>
    <cfRule type="containsText" dxfId="791" priority="398" operator="containsText" text="NO SUBSANABLE">
      <formula>NOT(ISERROR(SEARCH("NO SUBSANABLE",Q107)))</formula>
    </cfRule>
    <cfRule type="containsText" dxfId="790" priority="399" operator="containsText" text="PENDIENTES POR SUBSANAR">
      <formula>NOT(ISERROR(SEARCH("PENDIENTES POR SUBSANAR",Q107)))</formula>
    </cfRule>
    <cfRule type="containsText" dxfId="789" priority="400" operator="containsText" text="SIN OBSERVACIÓN">
      <formula>NOT(ISERROR(SEARCH("SIN OBSERVACIÓN",Q107)))</formula>
    </cfRule>
  </conditionalFormatting>
  <conditionalFormatting sqref="R107">
    <cfRule type="containsBlanks" dxfId="788" priority="391">
      <formula>LEN(TRIM(R107))=0</formula>
    </cfRule>
    <cfRule type="cellIs" dxfId="787" priority="393" operator="equal">
      <formula>"NO CUMPLEN CON LO SOLICITADO"</formula>
    </cfRule>
    <cfRule type="cellIs" dxfId="786" priority="394" operator="equal">
      <formula>"CUMPLEN CON LO SOLICITADO"</formula>
    </cfRule>
    <cfRule type="cellIs" dxfId="785" priority="395" operator="equal">
      <formula>"PENDIENTES"</formula>
    </cfRule>
    <cfRule type="cellIs" dxfId="784" priority="396" operator="equal">
      <formula>"NINGUNO"</formula>
    </cfRule>
  </conditionalFormatting>
  <conditionalFormatting sqref="N110">
    <cfRule type="expression" dxfId="783" priority="388">
      <formula>N110=" "</formula>
    </cfRule>
    <cfRule type="expression" dxfId="782" priority="389">
      <formula>N110="NO PRESENTÓ CERTIFICADO"</formula>
    </cfRule>
    <cfRule type="expression" dxfId="781" priority="390">
      <formula>N110="PRESENTÓ CERTIFICADO"</formula>
    </cfRule>
  </conditionalFormatting>
  <conditionalFormatting sqref="O110">
    <cfRule type="cellIs" dxfId="780" priority="370" operator="equal">
      <formula>"PENDIENTE POR DESCRIPCIÓN"</formula>
    </cfRule>
    <cfRule type="cellIs" dxfId="779" priority="371" operator="equal">
      <formula>"DESCRIPCIÓN INSUFICIENTE"</formula>
    </cfRule>
    <cfRule type="cellIs" dxfId="778" priority="372" operator="equal">
      <formula>"NO ESTÁ ACORDE A ITEM 5.2.2 (T.R.)"</formula>
    </cfRule>
    <cfRule type="cellIs" dxfId="777" priority="373" operator="equal">
      <formula>"ACORDE A ITEM 5.2.2 (T.R.)"</formula>
    </cfRule>
    <cfRule type="cellIs" dxfId="776" priority="380" operator="equal">
      <formula>"PENDIENTE POR DESCRIPCIÓN"</formula>
    </cfRule>
    <cfRule type="cellIs" dxfId="775" priority="382" operator="equal">
      <formula>"DESCRIPCIÓN INSUFICIENTE"</formula>
    </cfRule>
    <cfRule type="cellIs" dxfId="774" priority="383" operator="equal">
      <formula>"NO ESTÁ ACORDE A ITEM 5.2.1 (T.R.)"</formula>
    </cfRule>
    <cfRule type="cellIs" dxfId="773" priority="384" operator="equal">
      <formula>"ACORDE A ITEM 5.2.1 (T.R.)"</formula>
    </cfRule>
  </conditionalFormatting>
  <conditionalFormatting sqref="Q110">
    <cfRule type="containsBlanks" dxfId="772" priority="375">
      <formula>LEN(TRIM(Q110))=0</formula>
    </cfRule>
    <cfRule type="cellIs" dxfId="771" priority="381" operator="equal">
      <formula>"REQUERIMIENTOS SUBSANADOS"</formula>
    </cfRule>
    <cfRule type="containsText" dxfId="770" priority="385" operator="containsText" text="NO SUBSANABLE">
      <formula>NOT(ISERROR(SEARCH("NO SUBSANABLE",Q110)))</formula>
    </cfRule>
    <cfRule type="containsText" dxfId="769" priority="386" operator="containsText" text="PENDIENTES POR SUBSANAR">
      <formula>NOT(ISERROR(SEARCH("PENDIENTES POR SUBSANAR",Q110)))</formula>
    </cfRule>
    <cfRule type="containsText" dxfId="768" priority="387" operator="containsText" text="SIN OBSERVACIÓN">
      <formula>NOT(ISERROR(SEARCH("SIN OBSERVACIÓN",Q110)))</formula>
    </cfRule>
  </conditionalFormatting>
  <conditionalFormatting sqref="R110">
    <cfRule type="containsBlanks" dxfId="767" priority="374">
      <formula>LEN(TRIM(R110))=0</formula>
    </cfRule>
    <cfRule type="cellIs" dxfId="766" priority="376" operator="equal">
      <formula>"NO CUMPLEN CON LO SOLICITADO"</formula>
    </cfRule>
    <cfRule type="cellIs" dxfId="765" priority="377" operator="equal">
      <formula>"CUMPLEN CON LO SOLICITADO"</formula>
    </cfRule>
    <cfRule type="cellIs" dxfId="764" priority="378" operator="equal">
      <formula>"PENDIENTES"</formula>
    </cfRule>
    <cfRule type="cellIs" dxfId="763" priority="379" operator="equal">
      <formula>"NINGUNO"</formula>
    </cfRule>
  </conditionalFormatting>
  <conditionalFormatting sqref="P110">
    <cfRule type="expression" dxfId="762" priority="365">
      <formula>Q110="NO SUBSANABLE"</formula>
    </cfRule>
    <cfRule type="expression" dxfId="761" priority="366">
      <formula>Q110="REQUERIMIENTOS SUBSANADOS"</formula>
    </cfRule>
    <cfRule type="expression" dxfId="760" priority="367">
      <formula>Q110="PENDIENTES POR SUBSANAR"</formula>
    </cfRule>
    <cfRule type="expression" dxfId="759" priority="368">
      <formula>Q110="SIN OBSERVACIÓN"</formula>
    </cfRule>
    <cfRule type="containsBlanks" dxfId="758" priority="369">
      <formula>LEN(TRIM(P110))=0</formula>
    </cfRule>
  </conditionalFormatting>
  <conditionalFormatting sqref="N113">
    <cfRule type="expression" dxfId="757" priority="362">
      <formula>N113=" "</formula>
    </cfRule>
    <cfRule type="expression" dxfId="756" priority="363">
      <formula>N113="NO PRESENTÓ CERTIFICADO"</formula>
    </cfRule>
    <cfRule type="expression" dxfId="755" priority="364">
      <formula>N113="PRESENTÓ CERTIFICADO"</formula>
    </cfRule>
  </conditionalFormatting>
  <conditionalFormatting sqref="O113">
    <cfRule type="cellIs" dxfId="754" priority="344" operator="equal">
      <formula>"PENDIENTE POR DESCRIPCIÓN"</formula>
    </cfRule>
    <cfRule type="cellIs" dxfId="753" priority="345" operator="equal">
      <formula>"DESCRIPCIÓN INSUFICIENTE"</formula>
    </cfRule>
    <cfRule type="cellIs" dxfId="752" priority="346" operator="equal">
      <formula>"NO ESTÁ ACORDE A ITEM 5.2.2 (T.R.)"</formula>
    </cfRule>
    <cfRule type="cellIs" dxfId="751" priority="347" operator="equal">
      <formula>"ACORDE A ITEM 5.2.2 (T.R.)"</formula>
    </cfRule>
    <cfRule type="cellIs" dxfId="750" priority="354" operator="equal">
      <formula>"PENDIENTE POR DESCRIPCIÓN"</formula>
    </cfRule>
    <cfRule type="cellIs" dxfId="749" priority="356" operator="equal">
      <formula>"DESCRIPCIÓN INSUFICIENTE"</formula>
    </cfRule>
    <cfRule type="cellIs" dxfId="748" priority="357" operator="equal">
      <formula>"NO ESTÁ ACORDE A ITEM 5.2.1 (T.R.)"</formula>
    </cfRule>
    <cfRule type="cellIs" dxfId="747" priority="358" operator="equal">
      <formula>"ACORDE A ITEM 5.2.1 (T.R.)"</formula>
    </cfRule>
  </conditionalFormatting>
  <conditionalFormatting sqref="Q113">
    <cfRule type="containsBlanks" dxfId="746" priority="349">
      <formula>LEN(TRIM(Q113))=0</formula>
    </cfRule>
    <cfRule type="cellIs" dxfId="745" priority="355" operator="equal">
      <formula>"REQUERIMIENTOS SUBSANADOS"</formula>
    </cfRule>
    <cfRule type="containsText" dxfId="744" priority="359" operator="containsText" text="NO SUBSANABLE">
      <formula>NOT(ISERROR(SEARCH("NO SUBSANABLE",Q113)))</formula>
    </cfRule>
    <cfRule type="containsText" dxfId="743" priority="360" operator="containsText" text="PENDIENTES POR SUBSANAR">
      <formula>NOT(ISERROR(SEARCH("PENDIENTES POR SUBSANAR",Q113)))</formula>
    </cfRule>
    <cfRule type="containsText" dxfId="742" priority="361" operator="containsText" text="SIN OBSERVACIÓN">
      <formula>NOT(ISERROR(SEARCH("SIN OBSERVACIÓN",Q113)))</formula>
    </cfRule>
  </conditionalFormatting>
  <conditionalFormatting sqref="R113">
    <cfRule type="containsBlanks" dxfId="741" priority="348">
      <formula>LEN(TRIM(R113))=0</formula>
    </cfRule>
    <cfRule type="cellIs" dxfId="740" priority="350" operator="equal">
      <formula>"NO CUMPLEN CON LO SOLICITADO"</formula>
    </cfRule>
    <cfRule type="cellIs" dxfId="739" priority="351" operator="equal">
      <formula>"CUMPLEN CON LO SOLICITADO"</formula>
    </cfRule>
    <cfRule type="cellIs" dxfId="738" priority="352" operator="equal">
      <formula>"PENDIENTES"</formula>
    </cfRule>
    <cfRule type="cellIs" dxfId="737" priority="353" operator="equal">
      <formula>"NINGUNO"</formula>
    </cfRule>
  </conditionalFormatting>
  <conditionalFormatting sqref="P113">
    <cfRule type="expression" dxfId="736" priority="339">
      <formula>Q113="NO SUBSANABLE"</formula>
    </cfRule>
    <cfRule type="expression" dxfId="735" priority="340">
      <formula>Q113="REQUERIMIENTOS SUBSANADOS"</formula>
    </cfRule>
    <cfRule type="expression" dxfId="734" priority="341">
      <formula>Q113="PENDIENTES POR SUBSANAR"</formula>
    </cfRule>
    <cfRule type="expression" dxfId="733" priority="342">
      <formula>Q113="SIN OBSERVACIÓN"</formula>
    </cfRule>
    <cfRule type="containsBlanks" dxfId="732" priority="343">
      <formula>LEN(TRIM(P113))=0</formula>
    </cfRule>
  </conditionalFormatting>
  <conditionalFormatting sqref="J113">
    <cfRule type="cellIs" dxfId="731" priority="337" operator="equal">
      <formula>"NO CUMPLE"</formula>
    </cfRule>
    <cfRule type="cellIs" dxfId="730" priority="338" operator="equal">
      <formula>"CUMPLE"</formula>
    </cfRule>
  </conditionalFormatting>
  <conditionalFormatting sqref="J114">
    <cfRule type="cellIs" dxfId="729" priority="335" operator="equal">
      <formula>"NO CUMPLE"</formula>
    </cfRule>
    <cfRule type="cellIs" dxfId="728" priority="336" operator="equal">
      <formula>"CUMPLE"</formula>
    </cfRule>
  </conditionalFormatting>
  <conditionalFormatting sqref="J115">
    <cfRule type="cellIs" dxfId="727" priority="333" operator="equal">
      <formula>"NO CUMPLE"</formula>
    </cfRule>
    <cfRule type="cellIs" dxfId="726" priority="334" operator="equal">
      <formula>"CUMPLE"</formula>
    </cfRule>
  </conditionalFormatting>
  <conditionalFormatting sqref="H13">
    <cfRule type="notContainsBlanks" dxfId="725" priority="332">
      <formula>LEN(TRIM(H13))&gt;0</formula>
    </cfRule>
  </conditionalFormatting>
  <conditionalFormatting sqref="G13">
    <cfRule type="notContainsBlanks" dxfId="724" priority="331">
      <formula>LEN(TRIM(G13))&gt;0</formula>
    </cfRule>
  </conditionalFormatting>
  <conditionalFormatting sqref="F13">
    <cfRule type="notContainsBlanks" dxfId="723" priority="330">
      <formula>LEN(TRIM(F13))&gt;0</formula>
    </cfRule>
  </conditionalFormatting>
  <conditionalFormatting sqref="E13">
    <cfRule type="notContainsBlanks" dxfId="722" priority="329">
      <formula>LEN(TRIM(E13))&gt;0</formula>
    </cfRule>
  </conditionalFormatting>
  <conditionalFormatting sqref="D13">
    <cfRule type="notContainsBlanks" dxfId="721" priority="328">
      <formula>LEN(TRIM(D13))&gt;0</formula>
    </cfRule>
  </conditionalFormatting>
  <conditionalFormatting sqref="C13">
    <cfRule type="notContainsBlanks" dxfId="720" priority="327">
      <formula>LEN(TRIM(C13))&gt;0</formula>
    </cfRule>
  </conditionalFormatting>
  <conditionalFormatting sqref="I13">
    <cfRule type="notContainsBlanks" dxfId="719" priority="326">
      <formula>LEN(TRIM(I13))&gt;0</formula>
    </cfRule>
  </conditionalFormatting>
  <conditionalFormatting sqref="J13:J15">
    <cfRule type="cellIs" dxfId="718" priority="324" operator="equal">
      <formula>"NO CUMPLE"</formula>
    </cfRule>
    <cfRule type="cellIs" dxfId="717" priority="325" operator="equal">
      <formula>"CUMPLE"</formula>
    </cfRule>
  </conditionalFormatting>
  <conditionalFormatting sqref="N13">
    <cfRule type="expression" dxfId="716" priority="321">
      <formula>N13=" "</formula>
    </cfRule>
    <cfRule type="expression" dxfId="715" priority="322">
      <formula>N13="NO PRESENTÓ CERTIFICADO"</formula>
    </cfRule>
    <cfRule type="expression" dxfId="714" priority="323">
      <formula>N13="PRESENTÓ CERTIFICADO"</formula>
    </cfRule>
  </conditionalFormatting>
  <conditionalFormatting sqref="P13">
    <cfRule type="expression" dxfId="713" priority="308">
      <formula>Q13="NO SUBSANABLE"</formula>
    </cfRule>
    <cfRule type="expression" dxfId="712" priority="310">
      <formula>Q13="REQUERIMIENTOS SUBSANADOS"</formula>
    </cfRule>
    <cfRule type="expression" dxfId="711" priority="311">
      <formula>Q13="PENDIENTES POR SUBSANAR"</formula>
    </cfRule>
    <cfRule type="expression" dxfId="710" priority="316">
      <formula>Q13="SIN OBSERVACIÓN"</formula>
    </cfRule>
    <cfRule type="containsBlanks" dxfId="709" priority="317">
      <formula>LEN(TRIM(P13))=0</formula>
    </cfRule>
  </conditionalFormatting>
  <conditionalFormatting sqref="O13">
    <cfRule type="cellIs" dxfId="708" priority="298" operator="equal">
      <formula>"PENDIENTE POR DESCRIPCIÓN"</formula>
    </cfRule>
    <cfRule type="cellIs" dxfId="707" priority="299" operator="equal">
      <formula>"DESCRIPCIÓN INSUFICIENTE"</formula>
    </cfRule>
    <cfRule type="cellIs" dxfId="706" priority="300" operator="equal">
      <formula>"NO ESTÁ ACORDE A ITEM 5.2.2 (T.R.)"</formula>
    </cfRule>
    <cfRule type="cellIs" dxfId="705" priority="301" operator="equal">
      <formula>"ACORDE A ITEM 5.2.2 (T.R.)"</formula>
    </cfRule>
    <cfRule type="cellIs" dxfId="704" priority="309" operator="equal">
      <formula>"PENDIENTE POR DESCRIPCIÓN"</formula>
    </cfRule>
    <cfRule type="cellIs" dxfId="703" priority="313" operator="equal">
      <formula>"DESCRIPCIÓN INSUFICIENTE"</formula>
    </cfRule>
    <cfRule type="cellIs" dxfId="702" priority="314" operator="equal">
      <formula>"NO ESTÁ ACORDE A ITEM 5.2.1 (T.R.)"</formula>
    </cfRule>
    <cfRule type="cellIs" dxfId="701" priority="315" operator="equal">
      <formula>"ACORDE A ITEM 5.2.1 (T.R.)"</formula>
    </cfRule>
  </conditionalFormatting>
  <conditionalFormatting sqref="Q13">
    <cfRule type="containsBlanks" dxfId="700" priority="303">
      <formula>LEN(TRIM(Q13))=0</formula>
    </cfRule>
    <cfRule type="cellIs" dxfId="699" priority="312" operator="equal">
      <formula>"REQUERIMIENTOS SUBSANADOS"</formula>
    </cfRule>
    <cfRule type="containsText" dxfId="698" priority="318" operator="containsText" text="NO SUBSANABLE">
      <formula>NOT(ISERROR(SEARCH("NO SUBSANABLE",Q13)))</formula>
    </cfRule>
    <cfRule type="containsText" dxfId="697" priority="319" operator="containsText" text="PENDIENTES POR SUBSANAR">
      <formula>NOT(ISERROR(SEARCH("PENDIENTES POR SUBSANAR",Q13)))</formula>
    </cfRule>
    <cfRule type="containsText" dxfId="696" priority="320" operator="containsText" text="SIN OBSERVACIÓN">
      <formula>NOT(ISERROR(SEARCH("SIN OBSERVACIÓN",Q13)))</formula>
    </cfRule>
  </conditionalFormatting>
  <conditionalFormatting sqref="R13">
    <cfRule type="containsBlanks" dxfId="695" priority="302">
      <formula>LEN(TRIM(R13))=0</formula>
    </cfRule>
    <cfRule type="cellIs" dxfId="694" priority="304" operator="equal">
      <formula>"NO CUMPLEN CON LO SOLICITADO"</formula>
    </cfRule>
    <cfRule type="cellIs" dxfId="693" priority="305" operator="equal">
      <formula>"CUMPLEN CON LO SOLICITADO"</formula>
    </cfRule>
    <cfRule type="cellIs" dxfId="692" priority="306" operator="equal">
      <formula>"PENDIENTES"</formula>
    </cfRule>
    <cfRule type="cellIs" dxfId="691" priority="307" operator="equal">
      <formula>"NINGUNO"</formula>
    </cfRule>
  </conditionalFormatting>
  <conditionalFormatting sqref="U101:U115">
    <cfRule type="cellIs" dxfId="690" priority="296" operator="equal">
      <formula>0</formula>
    </cfRule>
    <cfRule type="cellIs" dxfId="689" priority="297" operator="equal">
      <formula>1</formula>
    </cfRule>
  </conditionalFormatting>
  <conditionalFormatting sqref="U79:U93">
    <cfRule type="cellIs" dxfId="688" priority="294" operator="equal">
      <formula>0</formula>
    </cfRule>
    <cfRule type="cellIs" dxfId="687" priority="295" operator="equal">
      <formula>1</formula>
    </cfRule>
  </conditionalFormatting>
  <conditionalFormatting sqref="U57:U71">
    <cfRule type="cellIs" dxfId="686" priority="292" operator="equal">
      <formula>0</formula>
    </cfRule>
    <cfRule type="cellIs" dxfId="685" priority="293" operator="equal">
      <formula>1</formula>
    </cfRule>
  </conditionalFormatting>
  <conditionalFormatting sqref="U35:U49">
    <cfRule type="cellIs" dxfId="684" priority="290" operator="equal">
      <formula>0</formula>
    </cfRule>
    <cfRule type="cellIs" dxfId="683" priority="291" operator="equal">
      <formula>1</formula>
    </cfRule>
  </conditionalFormatting>
  <conditionalFormatting sqref="U13:U15">
    <cfRule type="cellIs" dxfId="682" priority="288" operator="equal">
      <formula>0</formula>
    </cfRule>
    <cfRule type="cellIs" dxfId="681" priority="289" operator="equal">
      <formula>1</formula>
    </cfRule>
  </conditionalFormatting>
  <conditionalFormatting sqref="H35 H38">
    <cfRule type="notContainsBlanks" dxfId="680" priority="287">
      <formula>LEN(TRIM(H35))&gt;0</formula>
    </cfRule>
  </conditionalFormatting>
  <conditionalFormatting sqref="G35">
    <cfRule type="notContainsBlanks" dxfId="679" priority="286">
      <formula>LEN(TRIM(G35))&gt;0</formula>
    </cfRule>
  </conditionalFormatting>
  <conditionalFormatting sqref="F35">
    <cfRule type="notContainsBlanks" dxfId="678" priority="285">
      <formula>LEN(TRIM(F35))&gt;0</formula>
    </cfRule>
  </conditionalFormatting>
  <conditionalFormatting sqref="E35">
    <cfRule type="notContainsBlanks" dxfId="677" priority="284">
      <formula>LEN(TRIM(E35))&gt;0</formula>
    </cfRule>
  </conditionalFormatting>
  <conditionalFormatting sqref="D35">
    <cfRule type="notContainsBlanks" dxfId="676" priority="283">
      <formula>LEN(TRIM(D35))&gt;0</formula>
    </cfRule>
  </conditionalFormatting>
  <conditionalFormatting sqref="C35">
    <cfRule type="notContainsBlanks" dxfId="675" priority="282">
      <formula>LEN(TRIM(C35))&gt;0</formula>
    </cfRule>
  </conditionalFormatting>
  <conditionalFormatting sqref="I35">
    <cfRule type="notContainsBlanks" dxfId="674" priority="281">
      <formula>LEN(TRIM(I35))&gt;0</formula>
    </cfRule>
  </conditionalFormatting>
  <conditionalFormatting sqref="G38">
    <cfRule type="notContainsBlanks" dxfId="673" priority="280">
      <formula>LEN(TRIM(G38))&gt;0</formula>
    </cfRule>
  </conditionalFormatting>
  <conditionalFormatting sqref="F38">
    <cfRule type="notContainsBlanks" dxfId="672" priority="279">
      <formula>LEN(TRIM(F38))&gt;0</formula>
    </cfRule>
  </conditionalFormatting>
  <conditionalFormatting sqref="E38">
    <cfRule type="notContainsBlanks" dxfId="671" priority="278">
      <formula>LEN(TRIM(E38))&gt;0</formula>
    </cfRule>
  </conditionalFormatting>
  <conditionalFormatting sqref="D38">
    <cfRule type="notContainsBlanks" dxfId="670" priority="277">
      <formula>LEN(TRIM(D38))&gt;0</formula>
    </cfRule>
  </conditionalFormatting>
  <conditionalFormatting sqref="C38">
    <cfRule type="notContainsBlanks" dxfId="669" priority="276">
      <formula>LEN(TRIM(C38))&gt;0</formula>
    </cfRule>
  </conditionalFormatting>
  <conditionalFormatting sqref="I38">
    <cfRule type="notContainsBlanks" dxfId="668" priority="275">
      <formula>LEN(TRIM(I38))&gt;0</formula>
    </cfRule>
  </conditionalFormatting>
  <conditionalFormatting sqref="J35:J40">
    <cfRule type="cellIs" dxfId="667" priority="273" operator="equal">
      <formula>"NO CUMPLE"</formula>
    </cfRule>
    <cfRule type="cellIs" dxfId="666" priority="274" operator="equal">
      <formula>"CUMPLE"</formula>
    </cfRule>
  </conditionalFormatting>
  <conditionalFormatting sqref="N35">
    <cfRule type="expression" dxfId="665" priority="270">
      <formula>N35=" "</formula>
    </cfRule>
    <cfRule type="expression" dxfId="664" priority="271">
      <formula>N35="NO PRESENTÓ CERTIFICADO"</formula>
    </cfRule>
    <cfRule type="expression" dxfId="663" priority="272">
      <formula>N35="PRESENTÓ CERTIFICADO"</formula>
    </cfRule>
  </conditionalFormatting>
  <conditionalFormatting sqref="Q35">
    <cfRule type="containsBlanks" dxfId="662" priority="261">
      <formula>LEN(TRIM(Q35))=0</formula>
    </cfRule>
    <cfRule type="cellIs" dxfId="661" priority="266" operator="equal">
      <formula>"REQUERIMIENTOS SUBSANADOS"</formula>
    </cfRule>
    <cfRule type="containsText" dxfId="660" priority="267" operator="containsText" text="NO SUBSANABLE">
      <formula>NOT(ISERROR(SEARCH("NO SUBSANABLE",Q35)))</formula>
    </cfRule>
    <cfRule type="containsText" dxfId="659" priority="268" operator="containsText" text="PENDIENTES POR SUBSANAR">
      <formula>NOT(ISERROR(SEARCH("PENDIENTES POR SUBSANAR",Q35)))</formula>
    </cfRule>
    <cfRule type="containsText" dxfId="658" priority="269" operator="containsText" text="SIN OBSERVACIÓN">
      <formula>NOT(ISERROR(SEARCH("SIN OBSERVACIÓN",Q35)))</formula>
    </cfRule>
  </conditionalFormatting>
  <conditionalFormatting sqref="R35">
    <cfRule type="containsBlanks" dxfId="657" priority="260">
      <formula>LEN(TRIM(R35))=0</formula>
    </cfRule>
    <cfRule type="cellIs" dxfId="656" priority="262" operator="equal">
      <formula>"NO CUMPLEN CON LO SOLICITADO"</formula>
    </cfRule>
    <cfRule type="cellIs" dxfId="655" priority="263" operator="equal">
      <formula>"CUMPLEN CON LO SOLICITADO"</formula>
    </cfRule>
    <cfRule type="cellIs" dxfId="654" priority="264" operator="equal">
      <formula>"PENDIENTES"</formula>
    </cfRule>
    <cfRule type="cellIs" dxfId="653" priority="265" operator="equal">
      <formula>"NINGUNO"</formula>
    </cfRule>
  </conditionalFormatting>
  <conditionalFormatting sqref="P35">
    <cfRule type="expression" dxfId="652" priority="255">
      <formula>Q35="NO SUBSANABLE"</formula>
    </cfRule>
    <cfRule type="expression" dxfId="651" priority="256">
      <formula>Q35="REQUERIMIENTOS SUBSANADOS"</formula>
    </cfRule>
    <cfRule type="expression" dxfId="650" priority="257">
      <formula>Q35="PENDIENTES POR SUBSANAR"</formula>
    </cfRule>
    <cfRule type="expression" dxfId="649" priority="258">
      <formula>Q35="SIN OBSERVACIÓN"</formula>
    </cfRule>
    <cfRule type="containsBlanks" dxfId="648" priority="259">
      <formula>LEN(TRIM(P35))=0</formula>
    </cfRule>
  </conditionalFormatting>
  <conditionalFormatting sqref="N38">
    <cfRule type="expression" dxfId="647" priority="252">
      <formula>N38=" "</formula>
    </cfRule>
    <cfRule type="expression" dxfId="646" priority="253">
      <formula>N38="NO PRESENTÓ CERTIFICADO"</formula>
    </cfRule>
    <cfRule type="expression" dxfId="645" priority="254">
      <formula>N38="PRESENTÓ CERTIFICADO"</formula>
    </cfRule>
  </conditionalFormatting>
  <conditionalFormatting sqref="Q38">
    <cfRule type="containsBlanks" dxfId="644" priority="243">
      <formula>LEN(TRIM(Q38))=0</formula>
    </cfRule>
    <cfRule type="cellIs" dxfId="643" priority="248" operator="equal">
      <formula>"REQUERIMIENTOS SUBSANADOS"</formula>
    </cfRule>
    <cfRule type="containsText" dxfId="642" priority="249" operator="containsText" text="NO SUBSANABLE">
      <formula>NOT(ISERROR(SEARCH("NO SUBSANABLE",Q38)))</formula>
    </cfRule>
    <cfRule type="containsText" dxfId="641" priority="250" operator="containsText" text="PENDIENTES POR SUBSANAR">
      <formula>NOT(ISERROR(SEARCH("PENDIENTES POR SUBSANAR",Q38)))</formula>
    </cfRule>
    <cfRule type="containsText" dxfId="640" priority="251" operator="containsText" text="SIN OBSERVACIÓN">
      <formula>NOT(ISERROR(SEARCH("SIN OBSERVACIÓN",Q38)))</formula>
    </cfRule>
  </conditionalFormatting>
  <conditionalFormatting sqref="R38">
    <cfRule type="containsBlanks" dxfId="639" priority="242">
      <formula>LEN(TRIM(R38))=0</formula>
    </cfRule>
    <cfRule type="cellIs" dxfId="638" priority="244" operator="equal">
      <formula>"NO CUMPLEN CON LO SOLICITADO"</formula>
    </cfRule>
    <cfRule type="cellIs" dxfId="637" priority="245" operator="equal">
      <formula>"CUMPLEN CON LO SOLICITADO"</formula>
    </cfRule>
    <cfRule type="cellIs" dxfId="636" priority="246" operator="equal">
      <formula>"PENDIENTES"</formula>
    </cfRule>
    <cfRule type="cellIs" dxfId="635" priority="247" operator="equal">
      <formula>"NINGUNO"</formula>
    </cfRule>
  </conditionalFormatting>
  <conditionalFormatting sqref="P38">
    <cfRule type="expression" dxfId="634" priority="237">
      <formula>Q38="NO SUBSANABLE"</formula>
    </cfRule>
    <cfRule type="expression" dxfId="633" priority="238">
      <formula>Q38="REQUERIMIENTOS SUBSANADOS"</formula>
    </cfRule>
    <cfRule type="expression" dxfId="632" priority="239">
      <formula>Q38="PENDIENTES POR SUBSANAR"</formula>
    </cfRule>
    <cfRule type="expression" dxfId="631" priority="240">
      <formula>Q38="SIN OBSERVACIÓN"</formula>
    </cfRule>
    <cfRule type="containsBlanks" dxfId="630" priority="241">
      <formula>LEN(TRIM(P38))=0</formula>
    </cfRule>
  </conditionalFormatting>
  <conditionalFormatting sqref="H57 H60 H63 H66 H69">
    <cfRule type="notContainsBlanks" dxfId="629" priority="236">
      <formula>LEN(TRIM(H57))&gt;0</formula>
    </cfRule>
  </conditionalFormatting>
  <conditionalFormatting sqref="G57">
    <cfRule type="notContainsBlanks" dxfId="628" priority="235">
      <formula>LEN(TRIM(G57))&gt;0</formula>
    </cfRule>
  </conditionalFormatting>
  <conditionalFormatting sqref="F57">
    <cfRule type="notContainsBlanks" dxfId="627" priority="234">
      <formula>LEN(TRIM(F57))&gt;0</formula>
    </cfRule>
  </conditionalFormatting>
  <conditionalFormatting sqref="E57">
    <cfRule type="notContainsBlanks" dxfId="626" priority="233">
      <formula>LEN(TRIM(E57))&gt;0</formula>
    </cfRule>
  </conditionalFormatting>
  <conditionalFormatting sqref="D57">
    <cfRule type="notContainsBlanks" dxfId="625" priority="232">
      <formula>LEN(TRIM(D57))&gt;0</formula>
    </cfRule>
  </conditionalFormatting>
  <conditionalFormatting sqref="C57">
    <cfRule type="notContainsBlanks" dxfId="624" priority="231">
      <formula>LEN(TRIM(C57))&gt;0</formula>
    </cfRule>
  </conditionalFormatting>
  <conditionalFormatting sqref="G63">
    <cfRule type="notContainsBlanks" dxfId="623" priority="230">
      <formula>LEN(TRIM(G63))&gt;0</formula>
    </cfRule>
  </conditionalFormatting>
  <conditionalFormatting sqref="F63">
    <cfRule type="notContainsBlanks" dxfId="622" priority="229">
      <formula>LEN(TRIM(F63))&gt;0</formula>
    </cfRule>
  </conditionalFormatting>
  <conditionalFormatting sqref="E63">
    <cfRule type="notContainsBlanks" dxfId="621" priority="228">
      <formula>LEN(TRIM(E63))&gt;0</formula>
    </cfRule>
  </conditionalFormatting>
  <conditionalFormatting sqref="D63">
    <cfRule type="notContainsBlanks" dxfId="620" priority="227">
      <formula>LEN(TRIM(D63))&gt;0</formula>
    </cfRule>
  </conditionalFormatting>
  <conditionalFormatting sqref="C63">
    <cfRule type="notContainsBlanks" dxfId="619" priority="226">
      <formula>LEN(TRIM(C63))&gt;0</formula>
    </cfRule>
  </conditionalFormatting>
  <conditionalFormatting sqref="I63">
    <cfRule type="notContainsBlanks" dxfId="618" priority="225">
      <formula>LEN(TRIM(I63))&gt;0</formula>
    </cfRule>
  </conditionalFormatting>
  <conditionalFormatting sqref="G69">
    <cfRule type="notContainsBlanks" dxfId="617" priority="224">
      <formula>LEN(TRIM(G69))&gt;0</formula>
    </cfRule>
  </conditionalFormatting>
  <conditionalFormatting sqref="F69">
    <cfRule type="notContainsBlanks" dxfId="616" priority="223">
      <formula>LEN(TRIM(F69))&gt;0</formula>
    </cfRule>
  </conditionalFormatting>
  <conditionalFormatting sqref="E69">
    <cfRule type="notContainsBlanks" dxfId="615" priority="222">
      <formula>LEN(TRIM(E69))&gt;0</formula>
    </cfRule>
  </conditionalFormatting>
  <conditionalFormatting sqref="D69">
    <cfRule type="notContainsBlanks" dxfId="614" priority="221">
      <formula>LEN(TRIM(D69))&gt;0</formula>
    </cfRule>
  </conditionalFormatting>
  <conditionalFormatting sqref="C69">
    <cfRule type="notContainsBlanks" dxfId="613" priority="220">
      <formula>LEN(TRIM(C69))&gt;0</formula>
    </cfRule>
  </conditionalFormatting>
  <conditionalFormatting sqref="I69">
    <cfRule type="notContainsBlanks" dxfId="612" priority="219">
      <formula>LEN(TRIM(I69))&gt;0</formula>
    </cfRule>
  </conditionalFormatting>
  <conditionalFormatting sqref="G60">
    <cfRule type="notContainsBlanks" dxfId="611" priority="218">
      <formula>LEN(TRIM(G60))&gt;0</formula>
    </cfRule>
  </conditionalFormatting>
  <conditionalFormatting sqref="F60">
    <cfRule type="notContainsBlanks" dxfId="610" priority="217">
      <formula>LEN(TRIM(F60))&gt;0</formula>
    </cfRule>
  </conditionalFormatting>
  <conditionalFormatting sqref="E60">
    <cfRule type="notContainsBlanks" dxfId="609" priority="216">
      <formula>LEN(TRIM(E60))&gt;0</formula>
    </cfRule>
  </conditionalFormatting>
  <conditionalFormatting sqref="D60">
    <cfRule type="notContainsBlanks" dxfId="608" priority="215">
      <formula>LEN(TRIM(D60))&gt;0</formula>
    </cfRule>
  </conditionalFormatting>
  <conditionalFormatting sqref="C60">
    <cfRule type="notContainsBlanks" dxfId="607" priority="214">
      <formula>LEN(TRIM(C60))&gt;0</formula>
    </cfRule>
  </conditionalFormatting>
  <conditionalFormatting sqref="G66">
    <cfRule type="notContainsBlanks" dxfId="606" priority="213">
      <formula>LEN(TRIM(G66))&gt;0</formula>
    </cfRule>
  </conditionalFormatting>
  <conditionalFormatting sqref="F66">
    <cfRule type="notContainsBlanks" dxfId="605" priority="212">
      <formula>LEN(TRIM(F66))&gt;0</formula>
    </cfRule>
  </conditionalFormatting>
  <conditionalFormatting sqref="E66">
    <cfRule type="notContainsBlanks" dxfId="604" priority="211">
      <formula>LEN(TRIM(E66))&gt;0</formula>
    </cfRule>
  </conditionalFormatting>
  <conditionalFormatting sqref="D66">
    <cfRule type="notContainsBlanks" dxfId="603" priority="210">
      <formula>LEN(TRIM(D66))&gt;0</formula>
    </cfRule>
  </conditionalFormatting>
  <conditionalFormatting sqref="C66">
    <cfRule type="notContainsBlanks" dxfId="602" priority="209">
      <formula>LEN(TRIM(C66))&gt;0</formula>
    </cfRule>
  </conditionalFormatting>
  <conditionalFormatting sqref="I60">
    <cfRule type="notContainsBlanks" dxfId="601" priority="208">
      <formula>LEN(TRIM(I60))&gt;0</formula>
    </cfRule>
  </conditionalFormatting>
  <conditionalFormatting sqref="I66">
    <cfRule type="notContainsBlanks" dxfId="600" priority="207">
      <formula>LEN(TRIM(I66))&gt;0</formula>
    </cfRule>
  </conditionalFormatting>
  <conditionalFormatting sqref="I57">
    <cfRule type="notContainsBlanks" dxfId="599" priority="206">
      <formula>LEN(TRIM(I57))&gt;0</formula>
    </cfRule>
  </conditionalFormatting>
  <conditionalFormatting sqref="J57:J68">
    <cfRule type="cellIs" dxfId="598" priority="204" operator="equal">
      <formula>"NO CUMPLE"</formula>
    </cfRule>
    <cfRule type="cellIs" dxfId="597" priority="205" operator="equal">
      <formula>"CUMPLE"</formula>
    </cfRule>
  </conditionalFormatting>
  <conditionalFormatting sqref="J69">
    <cfRule type="cellIs" dxfId="596" priority="202" operator="equal">
      <formula>"NO CUMPLE"</formula>
    </cfRule>
    <cfRule type="cellIs" dxfId="595" priority="203" operator="equal">
      <formula>"CUMPLE"</formula>
    </cfRule>
  </conditionalFormatting>
  <conditionalFormatting sqref="J70:J71">
    <cfRule type="cellIs" dxfId="594" priority="200" operator="equal">
      <formula>"NO CUMPLE"</formula>
    </cfRule>
    <cfRule type="cellIs" dxfId="593" priority="201" operator="equal">
      <formula>"CUMPLE"</formula>
    </cfRule>
  </conditionalFormatting>
  <conditionalFormatting sqref="N66 N69">
    <cfRule type="expression" dxfId="592" priority="197">
      <formula>N66=" "</formula>
    </cfRule>
    <cfRule type="expression" dxfId="591" priority="198">
      <formula>N66="NO PRESENTÓ CERTIFICADO"</formula>
    </cfRule>
    <cfRule type="expression" dxfId="590" priority="199">
      <formula>N66="PRESENTÓ CERTIFICADO"</formula>
    </cfRule>
  </conditionalFormatting>
  <conditionalFormatting sqref="Q66">
    <cfRule type="containsBlanks" dxfId="589" priority="188">
      <formula>LEN(TRIM(Q66))=0</formula>
    </cfRule>
    <cfRule type="cellIs" dxfId="588" priority="193" operator="equal">
      <formula>"REQUERIMIENTOS SUBSANADOS"</formula>
    </cfRule>
    <cfRule type="containsText" dxfId="587" priority="194" operator="containsText" text="NO SUBSANABLE">
      <formula>NOT(ISERROR(SEARCH("NO SUBSANABLE",Q66)))</formula>
    </cfRule>
    <cfRule type="containsText" dxfId="586" priority="195" operator="containsText" text="PENDIENTES POR SUBSANAR">
      <formula>NOT(ISERROR(SEARCH("PENDIENTES POR SUBSANAR",Q66)))</formula>
    </cfRule>
    <cfRule type="containsText" dxfId="585" priority="196" operator="containsText" text="SIN OBSERVACIÓN">
      <formula>NOT(ISERROR(SEARCH("SIN OBSERVACIÓN",Q66)))</formula>
    </cfRule>
  </conditionalFormatting>
  <conditionalFormatting sqref="R66">
    <cfRule type="containsBlanks" dxfId="584" priority="187">
      <formula>LEN(TRIM(R66))=0</formula>
    </cfRule>
    <cfRule type="cellIs" dxfId="583" priority="189" operator="equal">
      <formula>"NO CUMPLEN CON LO SOLICITADO"</formula>
    </cfRule>
    <cfRule type="cellIs" dxfId="582" priority="190" operator="equal">
      <formula>"CUMPLEN CON LO SOLICITADO"</formula>
    </cfRule>
    <cfRule type="cellIs" dxfId="581" priority="191" operator="equal">
      <formula>"PENDIENTES"</formula>
    </cfRule>
    <cfRule type="cellIs" dxfId="580" priority="192" operator="equal">
      <formula>"NINGUNO"</formula>
    </cfRule>
  </conditionalFormatting>
  <conditionalFormatting sqref="P66">
    <cfRule type="expression" dxfId="579" priority="182">
      <formula>Q66="NO SUBSANABLE"</formula>
    </cfRule>
    <cfRule type="expression" dxfId="578" priority="183">
      <formula>Q66="REQUERIMIENTOS SUBSANADOS"</formula>
    </cfRule>
    <cfRule type="expression" dxfId="577" priority="184">
      <formula>Q66="PENDIENTES POR SUBSANAR"</formula>
    </cfRule>
    <cfRule type="expression" dxfId="576" priority="185">
      <formula>Q66="SIN OBSERVACIÓN"</formula>
    </cfRule>
    <cfRule type="containsBlanks" dxfId="575" priority="186">
      <formula>LEN(TRIM(P66))=0</formula>
    </cfRule>
  </conditionalFormatting>
  <conditionalFormatting sqref="N57">
    <cfRule type="expression" dxfId="574" priority="179">
      <formula>N57=" "</formula>
    </cfRule>
    <cfRule type="expression" dxfId="573" priority="180">
      <formula>N57="NO PRESENTÓ CERTIFICADO"</formula>
    </cfRule>
    <cfRule type="expression" dxfId="572" priority="181">
      <formula>N57="PRESENTÓ CERTIFICADO"</formula>
    </cfRule>
  </conditionalFormatting>
  <conditionalFormatting sqref="Q57">
    <cfRule type="containsBlanks" dxfId="571" priority="170">
      <formula>LEN(TRIM(Q57))=0</formula>
    </cfRule>
    <cfRule type="cellIs" dxfId="570" priority="175" operator="equal">
      <formula>"REQUERIMIENTOS SUBSANADOS"</formula>
    </cfRule>
    <cfRule type="containsText" dxfId="569" priority="176" operator="containsText" text="NO SUBSANABLE">
      <formula>NOT(ISERROR(SEARCH("NO SUBSANABLE",Q57)))</formula>
    </cfRule>
    <cfRule type="containsText" dxfId="568" priority="177" operator="containsText" text="PENDIENTES POR SUBSANAR">
      <formula>NOT(ISERROR(SEARCH("PENDIENTES POR SUBSANAR",Q57)))</formula>
    </cfRule>
    <cfRule type="containsText" dxfId="567" priority="178" operator="containsText" text="SIN OBSERVACIÓN">
      <formula>NOT(ISERROR(SEARCH("SIN OBSERVACIÓN",Q57)))</formula>
    </cfRule>
  </conditionalFormatting>
  <conditionalFormatting sqref="R57">
    <cfRule type="containsBlanks" dxfId="566" priority="169">
      <formula>LEN(TRIM(R57))=0</formula>
    </cfRule>
    <cfRule type="cellIs" dxfId="565" priority="171" operator="equal">
      <formula>"NO CUMPLEN CON LO SOLICITADO"</formula>
    </cfRule>
    <cfRule type="cellIs" dxfId="564" priority="172" operator="equal">
      <formula>"CUMPLEN CON LO SOLICITADO"</formula>
    </cfRule>
    <cfRule type="cellIs" dxfId="563" priority="173" operator="equal">
      <formula>"PENDIENTES"</formula>
    </cfRule>
    <cfRule type="cellIs" dxfId="562" priority="174" operator="equal">
      <formula>"NINGUNO"</formula>
    </cfRule>
  </conditionalFormatting>
  <conditionalFormatting sqref="N60">
    <cfRule type="expression" dxfId="561" priority="161">
      <formula>N60=" "</formula>
    </cfRule>
    <cfRule type="expression" dxfId="560" priority="162">
      <formula>N60="NO PRESENTÓ CERTIFICADO"</formula>
    </cfRule>
    <cfRule type="expression" dxfId="559" priority="163">
      <formula>N60="PRESENTÓ CERTIFICADO"</formula>
    </cfRule>
  </conditionalFormatting>
  <conditionalFormatting sqref="Q60">
    <cfRule type="containsBlanks" dxfId="558" priority="152">
      <formula>LEN(TRIM(Q60))=0</formula>
    </cfRule>
    <cfRule type="cellIs" dxfId="557" priority="157" operator="equal">
      <formula>"REQUERIMIENTOS SUBSANADOS"</formula>
    </cfRule>
    <cfRule type="containsText" dxfId="556" priority="158" operator="containsText" text="NO SUBSANABLE">
      <formula>NOT(ISERROR(SEARCH("NO SUBSANABLE",Q60)))</formula>
    </cfRule>
    <cfRule type="containsText" dxfId="555" priority="159" operator="containsText" text="PENDIENTES POR SUBSANAR">
      <formula>NOT(ISERROR(SEARCH("PENDIENTES POR SUBSANAR",Q60)))</formula>
    </cfRule>
    <cfRule type="containsText" dxfId="554" priority="160" operator="containsText" text="SIN OBSERVACIÓN">
      <formula>NOT(ISERROR(SEARCH("SIN OBSERVACIÓN",Q60)))</formula>
    </cfRule>
  </conditionalFormatting>
  <conditionalFormatting sqref="R60">
    <cfRule type="containsBlanks" dxfId="553" priority="151">
      <formula>LEN(TRIM(R60))=0</formula>
    </cfRule>
    <cfRule type="cellIs" dxfId="552" priority="153" operator="equal">
      <formula>"NO CUMPLEN CON LO SOLICITADO"</formula>
    </cfRule>
    <cfRule type="cellIs" dxfId="551" priority="154" operator="equal">
      <formula>"CUMPLEN CON LO SOLICITADO"</formula>
    </cfRule>
    <cfRule type="cellIs" dxfId="550" priority="155" operator="equal">
      <formula>"PENDIENTES"</formula>
    </cfRule>
    <cfRule type="cellIs" dxfId="549" priority="156" operator="equal">
      <formula>"NINGUNO"</formula>
    </cfRule>
  </conditionalFormatting>
  <conditionalFormatting sqref="N63">
    <cfRule type="expression" dxfId="548" priority="143">
      <formula>N63=" "</formula>
    </cfRule>
    <cfRule type="expression" dxfId="547" priority="144">
      <formula>N63="NO PRESENTÓ CERTIFICADO"</formula>
    </cfRule>
    <cfRule type="expression" dxfId="546" priority="145">
      <formula>N63="PRESENTÓ CERTIFICADO"</formula>
    </cfRule>
  </conditionalFormatting>
  <conditionalFormatting sqref="Q63">
    <cfRule type="containsBlanks" dxfId="545" priority="134">
      <formula>LEN(TRIM(Q63))=0</formula>
    </cfRule>
    <cfRule type="cellIs" dxfId="544" priority="139" operator="equal">
      <formula>"REQUERIMIENTOS SUBSANADOS"</formula>
    </cfRule>
    <cfRule type="containsText" dxfId="543" priority="140" operator="containsText" text="NO SUBSANABLE">
      <formula>NOT(ISERROR(SEARCH("NO SUBSANABLE",Q63)))</formula>
    </cfRule>
    <cfRule type="containsText" dxfId="542" priority="141" operator="containsText" text="PENDIENTES POR SUBSANAR">
      <formula>NOT(ISERROR(SEARCH("PENDIENTES POR SUBSANAR",Q63)))</formula>
    </cfRule>
    <cfRule type="containsText" dxfId="541" priority="142" operator="containsText" text="SIN OBSERVACIÓN">
      <formula>NOT(ISERROR(SEARCH("SIN OBSERVACIÓN",Q63)))</formula>
    </cfRule>
  </conditionalFormatting>
  <conditionalFormatting sqref="R63">
    <cfRule type="containsBlanks" dxfId="540" priority="133">
      <formula>LEN(TRIM(R63))=0</formula>
    </cfRule>
    <cfRule type="cellIs" dxfId="539" priority="135" operator="equal">
      <formula>"NO CUMPLEN CON LO SOLICITADO"</formula>
    </cfRule>
    <cfRule type="cellIs" dxfId="538" priority="136" operator="equal">
      <formula>"CUMPLEN CON LO SOLICITADO"</formula>
    </cfRule>
    <cfRule type="cellIs" dxfId="537" priority="137" operator="equal">
      <formula>"PENDIENTES"</formula>
    </cfRule>
    <cfRule type="cellIs" dxfId="536" priority="138" operator="equal">
      <formula>"NINGUNO"</formula>
    </cfRule>
  </conditionalFormatting>
  <conditionalFormatting sqref="Q69">
    <cfRule type="containsBlanks" dxfId="535" priority="119">
      <formula>LEN(TRIM(Q69))=0</formula>
    </cfRule>
    <cfRule type="cellIs" dxfId="534" priority="124" operator="equal">
      <formula>"REQUERIMIENTOS SUBSANADOS"</formula>
    </cfRule>
    <cfRule type="containsText" dxfId="533" priority="125" operator="containsText" text="NO SUBSANABLE">
      <formula>NOT(ISERROR(SEARCH("NO SUBSANABLE",Q69)))</formula>
    </cfRule>
    <cfRule type="containsText" dxfId="532" priority="126" operator="containsText" text="PENDIENTES POR SUBSANAR">
      <formula>NOT(ISERROR(SEARCH("PENDIENTES POR SUBSANAR",Q69)))</formula>
    </cfRule>
    <cfRule type="containsText" dxfId="531" priority="127" operator="containsText" text="SIN OBSERVACIÓN">
      <formula>NOT(ISERROR(SEARCH("SIN OBSERVACIÓN",Q69)))</formula>
    </cfRule>
  </conditionalFormatting>
  <conditionalFormatting sqref="R69">
    <cfRule type="containsBlanks" dxfId="530" priority="118">
      <formula>LEN(TRIM(R69))=0</formula>
    </cfRule>
    <cfRule type="cellIs" dxfId="529" priority="120" operator="equal">
      <formula>"NO CUMPLEN CON LO SOLICITADO"</formula>
    </cfRule>
    <cfRule type="cellIs" dxfId="528" priority="121" operator="equal">
      <formula>"CUMPLEN CON LO SOLICITADO"</formula>
    </cfRule>
    <cfRule type="cellIs" dxfId="527" priority="122" operator="equal">
      <formula>"PENDIENTES"</formula>
    </cfRule>
    <cfRule type="cellIs" dxfId="526" priority="123" operator="equal">
      <formula>"NINGUNO"</formula>
    </cfRule>
  </conditionalFormatting>
  <conditionalFormatting sqref="P69">
    <cfRule type="expression" dxfId="525" priority="113">
      <formula>Q69="NO SUBSANABLE"</formula>
    </cfRule>
    <cfRule type="expression" dxfId="524" priority="114">
      <formula>Q69="REQUERIMIENTOS SUBSANADOS"</formula>
    </cfRule>
    <cfRule type="expression" dxfId="523" priority="115">
      <formula>Q69="PENDIENTES POR SUBSANAR"</formula>
    </cfRule>
    <cfRule type="expression" dxfId="522" priority="116">
      <formula>Q69="SIN OBSERVACIÓN"</formula>
    </cfRule>
    <cfRule type="containsBlanks" dxfId="521" priority="117">
      <formula>LEN(TRIM(P69))=0</formula>
    </cfRule>
  </conditionalFormatting>
  <conditionalFormatting sqref="J79:J87">
    <cfRule type="cellIs" dxfId="520" priority="111" operator="equal">
      <formula>"NO CUMPLE"</formula>
    </cfRule>
    <cfRule type="cellIs" dxfId="519" priority="112" operator="equal">
      <formula>"CUMPLE"</formula>
    </cfRule>
  </conditionalFormatting>
  <conditionalFormatting sqref="N79 N82">
    <cfRule type="expression" dxfId="518" priority="108">
      <formula>N79=" "</formula>
    </cfRule>
    <cfRule type="expression" dxfId="517" priority="109">
      <formula>N79="NO PRESENTÓ CERTIFICADO"</formula>
    </cfRule>
    <cfRule type="expression" dxfId="516" priority="110">
      <formula>N79="PRESENTÓ CERTIFICADO"</formula>
    </cfRule>
  </conditionalFormatting>
  <conditionalFormatting sqref="Q79 Q82">
    <cfRule type="containsBlanks" dxfId="515" priority="99">
      <formula>LEN(TRIM(Q79))=0</formula>
    </cfRule>
    <cfRule type="cellIs" dxfId="514" priority="104" operator="equal">
      <formula>"REQUERIMIENTOS SUBSANADOS"</formula>
    </cfRule>
    <cfRule type="containsText" dxfId="513" priority="105" operator="containsText" text="NO SUBSANABLE">
      <formula>NOT(ISERROR(SEARCH("NO SUBSANABLE",Q79)))</formula>
    </cfRule>
    <cfRule type="containsText" dxfId="512" priority="106" operator="containsText" text="PENDIENTES POR SUBSANAR">
      <formula>NOT(ISERROR(SEARCH("PENDIENTES POR SUBSANAR",Q79)))</formula>
    </cfRule>
    <cfRule type="containsText" dxfId="511" priority="107" operator="containsText" text="SIN OBSERVACIÓN">
      <formula>NOT(ISERROR(SEARCH("SIN OBSERVACIÓN",Q79)))</formula>
    </cfRule>
  </conditionalFormatting>
  <conditionalFormatting sqref="R79 R82">
    <cfRule type="containsBlanks" dxfId="510" priority="98">
      <formula>LEN(TRIM(R79))=0</formula>
    </cfRule>
    <cfRule type="cellIs" dxfId="509" priority="100" operator="equal">
      <formula>"NO CUMPLEN CON LO SOLICITADO"</formula>
    </cfRule>
    <cfRule type="cellIs" dxfId="508" priority="101" operator="equal">
      <formula>"CUMPLEN CON LO SOLICITADO"</formula>
    </cfRule>
    <cfRule type="cellIs" dxfId="507" priority="102" operator="equal">
      <formula>"PENDIENTES"</formula>
    </cfRule>
    <cfRule type="cellIs" dxfId="506" priority="103" operator="equal">
      <formula>"NINGUNO"</formula>
    </cfRule>
  </conditionalFormatting>
  <conditionalFormatting sqref="P79">
    <cfRule type="expression" dxfId="505" priority="93">
      <formula>Q79="NO SUBSANABLE"</formula>
    </cfRule>
    <cfRule type="expression" dxfId="504" priority="94">
      <formula>Q79="REQUERIMIENTOS SUBSANADOS"</formula>
    </cfRule>
    <cfRule type="expression" dxfId="503" priority="95">
      <formula>Q79="PENDIENTES POR SUBSANAR"</formula>
    </cfRule>
    <cfRule type="expression" dxfId="502" priority="96">
      <formula>Q79="SIN OBSERVACIÓN"</formula>
    </cfRule>
    <cfRule type="containsBlanks" dxfId="501" priority="97">
      <formula>LEN(TRIM(P79))=0</formula>
    </cfRule>
  </conditionalFormatting>
  <conditionalFormatting sqref="N85">
    <cfRule type="expression" dxfId="500" priority="90">
      <formula>N85=" "</formula>
    </cfRule>
    <cfRule type="expression" dxfId="499" priority="91">
      <formula>N85="NO PRESENTÓ CERTIFICADO"</formula>
    </cfRule>
    <cfRule type="expression" dxfId="498" priority="92">
      <formula>N85="PRESENTÓ CERTIFICADO"</formula>
    </cfRule>
  </conditionalFormatting>
  <conditionalFormatting sqref="Q85">
    <cfRule type="containsBlanks" dxfId="497" priority="81">
      <formula>LEN(TRIM(Q85))=0</formula>
    </cfRule>
    <cfRule type="cellIs" dxfId="496" priority="86" operator="equal">
      <formula>"REQUERIMIENTOS SUBSANADOS"</formula>
    </cfRule>
    <cfRule type="containsText" dxfId="495" priority="87" operator="containsText" text="NO SUBSANABLE">
      <formula>NOT(ISERROR(SEARCH("NO SUBSANABLE",Q85)))</formula>
    </cfRule>
    <cfRule type="containsText" dxfId="494" priority="88" operator="containsText" text="PENDIENTES POR SUBSANAR">
      <formula>NOT(ISERROR(SEARCH("PENDIENTES POR SUBSANAR",Q85)))</formula>
    </cfRule>
    <cfRule type="containsText" dxfId="493" priority="89" operator="containsText" text="SIN OBSERVACIÓN">
      <formula>NOT(ISERROR(SEARCH("SIN OBSERVACIÓN",Q85)))</formula>
    </cfRule>
  </conditionalFormatting>
  <conditionalFormatting sqref="R85">
    <cfRule type="containsBlanks" dxfId="492" priority="80">
      <formula>LEN(TRIM(R85))=0</formula>
    </cfRule>
    <cfRule type="cellIs" dxfId="491" priority="82" operator="equal">
      <formula>"NO CUMPLEN CON LO SOLICITADO"</formula>
    </cfRule>
    <cfRule type="cellIs" dxfId="490" priority="83" operator="equal">
      <formula>"CUMPLEN CON LO SOLICITADO"</formula>
    </cfRule>
    <cfRule type="cellIs" dxfId="489" priority="84" operator="equal">
      <formula>"PENDIENTES"</formula>
    </cfRule>
    <cfRule type="cellIs" dxfId="488" priority="85" operator="equal">
      <formula>"NINGUNO"</formula>
    </cfRule>
  </conditionalFormatting>
  <conditionalFormatting sqref="P82">
    <cfRule type="expression" dxfId="487" priority="70">
      <formula>Q82="NO SUBSANABLE"</formula>
    </cfRule>
    <cfRule type="expression" dxfId="486" priority="71">
      <formula>Q82="REQUERIMIENTOS SUBSANADOS"</formula>
    </cfRule>
    <cfRule type="expression" dxfId="485" priority="72">
      <formula>Q82="PENDIENTES POR SUBSANAR"</formula>
    </cfRule>
    <cfRule type="expression" dxfId="484" priority="73">
      <formula>Q82="SIN OBSERVACIÓN"</formula>
    </cfRule>
    <cfRule type="containsBlanks" dxfId="483" priority="74">
      <formula>LEN(TRIM(P82))=0</formula>
    </cfRule>
  </conditionalFormatting>
  <conditionalFormatting sqref="Q123">
    <cfRule type="containsBlanks" dxfId="482" priority="61">
      <formula>LEN(TRIM(Q123))=0</formula>
    </cfRule>
    <cfRule type="cellIs" dxfId="481" priority="66" operator="equal">
      <formula>"REQUERIMIENTOS SUBSANADOS"</formula>
    </cfRule>
    <cfRule type="containsText" dxfId="480" priority="67" operator="containsText" text="NO SUBSANABLE">
      <formula>NOT(ISERROR(SEARCH("NO SUBSANABLE",Q123)))</formula>
    </cfRule>
    <cfRule type="containsText" dxfId="479" priority="68" operator="containsText" text="PENDIENTES POR SUBSANAR">
      <formula>NOT(ISERROR(SEARCH("PENDIENTES POR SUBSANAR",Q123)))</formula>
    </cfRule>
    <cfRule type="containsText" dxfId="478" priority="69" operator="containsText" text="SIN OBSERVACIÓN">
      <formula>NOT(ISERROR(SEARCH("SIN OBSERVACIÓN",Q123)))</formula>
    </cfRule>
  </conditionalFormatting>
  <conditionalFormatting sqref="R123">
    <cfRule type="containsBlanks" dxfId="477" priority="60">
      <formula>LEN(TRIM(R123))=0</formula>
    </cfRule>
    <cfRule type="cellIs" dxfId="476" priority="62" operator="equal">
      <formula>"NO CUMPLEN CON LO SOLICITADO"</formula>
    </cfRule>
    <cfRule type="cellIs" dxfId="475" priority="63" operator="equal">
      <formula>"CUMPLEN CON LO SOLICITADO"</formula>
    </cfRule>
    <cfRule type="cellIs" dxfId="474" priority="64" operator="equal">
      <formula>"PENDIENTES"</formula>
    </cfRule>
    <cfRule type="cellIs" dxfId="473" priority="65" operator="equal">
      <formula>"NINGUNO"</formula>
    </cfRule>
  </conditionalFormatting>
  <conditionalFormatting sqref="P123">
    <cfRule type="expression" dxfId="472" priority="55">
      <formula>Q123="NO SUBSANABLE"</formula>
    </cfRule>
    <cfRule type="expression" dxfId="471" priority="56">
      <formula>Q123="REQUERIMIENTOS SUBSANADOS"</formula>
    </cfRule>
    <cfRule type="expression" dxfId="470" priority="57">
      <formula>Q123="PENDIENTES POR SUBSANAR"</formula>
    </cfRule>
    <cfRule type="expression" dxfId="469" priority="58">
      <formula>Q123="SIN OBSERVACIÓN"</formula>
    </cfRule>
    <cfRule type="containsBlanks" dxfId="468" priority="59">
      <formula>LEN(TRIM(P123))=0</formula>
    </cfRule>
  </conditionalFormatting>
  <conditionalFormatting sqref="O16 O19 O22 O25">
    <cfRule type="cellIs" dxfId="467" priority="47" operator="equal">
      <formula>"PENDIENTE POR DESCRIPCIÓN"</formula>
    </cfRule>
    <cfRule type="cellIs" dxfId="466" priority="48" operator="equal">
      <formula>"DESCRIPCIÓN INSUFICIENTE"</formula>
    </cfRule>
    <cfRule type="cellIs" dxfId="465" priority="49" operator="equal">
      <formula>"NO ESTÁ ACORDE A ITEM 5.2.2 (T.R.)"</formula>
    </cfRule>
    <cfRule type="cellIs" dxfId="464" priority="50" operator="equal">
      <formula>"ACORDE A ITEM 5.2.2 (T.R.)"</formula>
    </cfRule>
    <cfRule type="cellIs" dxfId="463" priority="51" operator="equal">
      <formula>"PENDIENTE POR DESCRIPCIÓN"</formula>
    </cfRule>
    <cfRule type="cellIs" dxfId="462" priority="52" operator="equal">
      <formula>"DESCRIPCIÓN INSUFICIENTE"</formula>
    </cfRule>
    <cfRule type="cellIs" dxfId="461" priority="53" operator="equal">
      <formula>"NO ESTÁ ACORDE A ITEM 5.2.1 (T.R.)"</formula>
    </cfRule>
    <cfRule type="cellIs" dxfId="460" priority="54" operator="equal">
      <formula>"ACORDE A ITEM 5.2.1 (T.R.)"</formula>
    </cfRule>
  </conditionalFormatting>
  <conditionalFormatting sqref="O35 O38 O41 O44 O47">
    <cfRule type="cellIs" dxfId="459" priority="39" operator="equal">
      <formula>"PENDIENTE POR DESCRIPCIÓN"</formula>
    </cfRule>
    <cfRule type="cellIs" dxfId="458" priority="40" operator="equal">
      <formula>"DESCRIPCIÓN INSUFICIENTE"</formula>
    </cfRule>
    <cfRule type="cellIs" dxfId="457" priority="41" operator="equal">
      <formula>"NO ESTÁ ACORDE A ITEM 5.2.2 (T.R.)"</formula>
    </cfRule>
    <cfRule type="cellIs" dxfId="456" priority="42" operator="equal">
      <formula>"ACORDE A ITEM 5.2.2 (T.R.)"</formula>
    </cfRule>
    <cfRule type="cellIs" dxfId="455" priority="43" operator="equal">
      <formula>"PENDIENTE POR DESCRIPCIÓN"</formula>
    </cfRule>
    <cfRule type="cellIs" dxfId="454" priority="44" operator="equal">
      <formula>"DESCRIPCIÓN INSUFICIENTE"</formula>
    </cfRule>
    <cfRule type="cellIs" dxfId="453" priority="45" operator="equal">
      <formula>"NO ESTÁ ACORDE A ITEM 5.2.1 (T.R.)"</formula>
    </cfRule>
    <cfRule type="cellIs" dxfId="452" priority="46" operator="equal">
      <formula>"ACORDE A ITEM 5.2.1 (T.R.)"</formula>
    </cfRule>
  </conditionalFormatting>
  <conditionalFormatting sqref="O57 O60 O63 O66 O69">
    <cfRule type="cellIs" dxfId="451" priority="31" operator="equal">
      <formula>"PENDIENTE POR DESCRIPCIÓN"</formula>
    </cfRule>
    <cfRule type="cellIs" dxfId="450" priority="32" operator="equal">
      <formula>"DESCRIPCIÓN INSUFICIENTE"</formula>
    </cfRule>
    <cfRule type="cellIs" dxfId="449" priority="33" operator="equal">
      <formula>"NO ESTÁ ACORDE A ITEM 5.2.2 (T.R.)"</formula>
    </cfRule>
    <cfRule type="cellIs" dxfId="448" priority="34" operator="equal">
      <formula>"ACORDE A ITEM 5.2.2 (T.R.)"</formula>
    </cfRule>
    <cfRule type="cellIs" dxfId="447" priority="35" operator="equal">
      <formula>"PENDIENTE POR DESCRIPCIÓN"</formula>
    </cfRule>
    <cfRule type="cellIs" dxfId="446" priority="36" operator="equal">
      <formula>"DESCRIPCIÓN INSUFICIENTE"</formula>
    </cfRule>
    <cfRule type="cellIs" dxfId="445" priority="37" operator="equal">
      <formula>"NO ESTÁ ACORDE A ITEM 5.2.1 (T.R.)"</formula>
    </cfRule>
    <cfRule type="cellIs" dxfId="444" priority="38" operator="equal">
      <formula>"ACORDE A ITEM 5.2.1 (T.R.)"</formula>
    </cfRule>
  </conditionalFormatting>
  <conditionalFormatting sqref="O79 O82 O85 O88 O91">
    <cfRule type="cellIs" dxfId="443" priority="23" operator="equal">
      <formula>"PENDIENTE POR DESCRIPCIÓN"</formula>
    </cfRule>
    <cfRule type="cellIs" dxfId="442" priority="24" operator="equal">
      <formula>"DESCRIPCIÓN INSUFICIENTE"</formula>
    </cfRule>
    <cfRule type="cellIs" dxfId="441" priority="25" operator="equal">
      <formula>"NO ESTÁ ACORDE A ITEM 5.2.2 (T.R.)"</formula>
    </cfRule>
    <cfRule type="cellIs" dxfId="440" priority="26" operator="equal">
      <formula>"ACORDE A ITEM 5.2.2 (T.R.)"</formula>
    </cfRule>
    <cfRule type="cellIs" dxfId="439" priority="27" operator="equal">
      <formula>"PENDIENTE POR DESCRIPCIÓN"</formula>
    </cfRule>
    <cfRule type="cellIs" dxfId="438" priority="28" operator="equal">
      <formula>"DESCRIPCIÓN INSUFICIENTE"</formula>
    </cfRule>
    <cfRule type="cellIs" dxfId="437" priority="29" operator="equal">
      <formula>"NO ESTÁ ACORDE A ITEM 5.2.1 (T.R.)"</formula>
    </cfRule>
    <cfRule type="cellIs" dxfId="436" priority="30" operator="equal">
      <formula>"ACORDE A ITEM 5.2.1 (T.R.)"</formula>
    </cfRule>
  </conditionalFormatting>
  <conditionalFormatting sqref="S16 S19 S22 S25">
    <cfRule type="cellIs" dxfId="435" priority="21" operator="greaterThan">
      <formula>0</formula>
    </cfRule>
    <cfRule type="top10" dxfId="434" priority="22" rank="10"/>
  </conditionalFormatting>
  <conditionalFormatting sqref="S35">
    <cfRule type="cellIs" dxfId="433" priority="19" operator="greaterThan">
      <formula>0</formula>
    </cfRule>
    <cfRule type="top10" dxfId="432" priority="20" rank="10"/>
  </conditionalFormatting>
  <conditionalFormatting sqref="S38 S41 S44 S47">
    <cfRule type="cellIs" dxfId="431" priority="17" operator="greaterThan">
      <formula>0</formula>
    </cfRule>
    <cfRule type="top10" dxfId="430" priority="18" rank="10"/>
  </conditionalFormatting>
  <conditionalFormatting sqref="S57 S60 S63 S66 S69">
    <cfRule type="cellIs" dxfId="429" priority="15" operator="greaterThan">
      <formula>0</formula>
    </cfRule>
    <cfRule type="top10" dxfId="428" priority="16" rank="10"/>
  </conditionalFormatting>
  <conditionalFormatting sqref="S79 S82 S85 S88 S91">
    <cfRule type="cellIs" dxfId="427" priority="13" operator="greaterThan">
      <formula>0</formula>
    </cfRule>
    <cfRule type="top10" dxfId="426" priority="14" rank="10"/>
  </conditionalFormatting>
  <conditionalFormatting sqref="P57 P60 P63">
    <cfRule type="expression" dxfId="425" priority="8">
      <formula>Q57="NO SUBSANABLE"</formula>
    </cfRule>
    <cfRule type="expression" dxfId="424" priority="9">
      <formula>Q57="REQUERIMIENTOS SUBSANADOS"</formula>
    </cfRule>
    <cfRule type="expression" dxfId="423" priority="10">
      <formula>Q57="PENDIENTES POR SUBSANAR"</formula>
    </cfRule>
    <cfRule type="expression" dxfId="422" priority="11">
      <formula>Q57="SIN OBSERVACIÓN"</formula>
    </cfRule>
    <cfRule type="containsBlanks" dxfId="421" priority="12">
      <formula>LEN(TRIM(P57))=0</formula>
    </cfRule>
  </conditionalFormatting>
  <conditionalFormatting sqref="P85">
    <cfRule type="expression" dxfId="420" priority="3">
      <formula>Q85="NO SUBSANABLE"</formula>
    </cfRule>
    <cfRule type="expression" dxfId="419" priority="4">
      <formula>Q85="REQUERIMIENTOS SUBSANADOS"</formula>
    </cfRule>
    <cfRule type="expression" dxfId="418" priority="5">
      <formula>Q85="PENDIENTES POR SUBSANAR"</formula>
    </cfRule>
    <cfRule type="expression" dxfId="417" priority="6">
      <formula>Q85="SIN OBSERVACIÓN"</formula>
    </cfRule>
    <cfRule type="containsBlanks" dxfId="416" priority="7">
      <formula>LEN(TRIM(P85))=0</formula>
    </cfRule>
  </conditionalFormatting>
  <conditionalFormatting sqref="T94">
    <cfRule type="cellIs" dxfId="415" priority="1" operator="equal">
      <formula>"NO CUMPLE"</formula>
    </cfRule>
    <cfRule type="cellIs" dxfId="414" priority="2" operator="equal">
      <formula>"CUMPLE"</formula>
    </cfRule>
  </conditionalFormatting>
  <dataValidations count="8">
    <dataValidation type="list" allowBlank="1" showInputMessage="1" showErrorMessage="1" sqref="O13:O27 O35:O49 O57:O71 O79:O93" xr:uid="{00000000-0002-0000-0400-000000000000}">
      <formula1>"ACORDE A ITEM 6.2.2.1 (T.R.),NO ESTÁ ACORDE A ITEM 6.2.2.1 (T.R.),DESCRIPCIÓN INSUFICIENTE,PENDIENTE POR DESCRIPCIÓN"</formula1>
    </dataValidation>
    <dataValidation type="list" allowBlank="1" showInputMessage="1" showErrorMessage="1" sqref="R113 R19 R22 R25 R308 R16 R13 R41 R44 R47 R311 R302 R305 R35 R201 R38 R66 R63 R88 R91 R132 R101 R104 R107 R192 R195 R198 R69 R110 R135 R173 R145 R151 R157 R170 R179 R176 R167 R189 R211 R148 R85 R126 R129 R154 R223 R214 R217 R220 R239 R245 R233 R236 R242 R267 R264 R280 R258 R261 R255 R289 R277 R283 R286 R299 R57 R60 R82 R79 R123" xr:uid="{00000000-0002-0000-0400-000001000000}">
      <formula1>"NINGUNO, PENDIENTES, CUMPLEN CON LO SOLICITADO, NO CUMPLEN CON LO SOLICITADO"</formula1>
    </dataValidation>
    <dataValidation type="list" allowBlank="1" showInputMessage="1" showErrorMessage="1" sqref="Q113 Q19 Q22 Q25 Q311 Q16 Q13 Q41 Q44 Q299 Q305 Q308 Q35 Q47 Q211 Q66 Q63 Q88 Q38 Q132 Q101 Q104 Q107 Q91 Q195 Q198 Q201 Q69 Q110 Q173 Q145 Q151 Q157 Q135 Q179 Q176 Q167 Q189 Q170 Q192 Q148 Q85 Q126 Q129 Q154 Q239 Q217 Q220 Q223 Q214 Q267 Q236 Q242 Q245 Q233 Q255 Q258 Q261 Q264 Q280 Q277 Q283 Q286 Q289 Q302 Q57 Q60 Q82 Q79 Q123" xr:uid="{00000000-0002-0000-0400-000002000000}">
      <formula1>"SIN OBSERVACIÓN, PENDIENTES POR SUBSANAR, REQUERIMIENTOS SUBSANADOS, NO SUBSANABLE"</formula1>
    </dataValidation>
    <dataValidation type="list" allowBlank="1" showInputMessage="1" showErrorMessage="1" sqref="N113 N19 N22 N16 N305 N25 N13 N41 N44 N47 N311 N299 N302 N35 N201 N38 N66 N69 N88 N91 N132 N101 N104 N107 N148 N123 N110 N126 N129 N135 N173 N145 N151 N157 N170 N179 N176 N167 N189 N211 N192 N195 N198 N63 N154 N223 N239 N214 N217 N220 N245 N267 N233 N236 N242 N264 N255 N283 N258 N261 N289 N277 N308 N280 N286 N57 N60 N82 N85 N79" xr:uid="{00000000-0002-0000-0400-000003000000}">
      <formula1>"PRESENTÓ CERTIFICADO,NO PRESENTÓ CERTIFICADO"</formula1>
    </dataValidation>
    <dataValidation type="list" allowBlank="1" showInputMessage="1" showErrorMessage="1" sqref="H107 H16 H19 H22 H25 H104 H13 H41 H44 H47 H299 H258 H261 H35 H38 H79 H82 H85 H88 H91 H101 H126 H129 H110 H113 H123 H170 H173 H132 H135 H145 H148 H151 H154 H157 H167 H264 H267 H176 H179 H189 H192 H195 H198 H201 H211 H214 H217 H220 H223 H233 H236 H239 H242 H245 H255 H302 H305 H308 H311 H277 H280 H283 H286 H289 H57 H60 H63 H66 H69" xr:uid="{00000000-0002-0000-0400-000004000000}">
      <formula1>"I,C,UT"</formula1>
    </dataValidation>
    <dataValidation type="list" allowBlank="1" showInputMessage="1" showErrorMessage="1" sqref="L22:L23 L60:L61 J167:J181 L63:L64 L47:L48 L189:L190 L151:L152 L113:L114 J35:J49 L38:L39 L85:L86 L66:L67 L123:L124 L170:L171 L25:L26 L104:L105 L88:L89 L154:L155 L13:L14 L16:L17 L19:L20 L41:L42 L44:L45 L35:L36 J101:J115 J123:J137 L57:L58 L179:L180 J233:J247 L69:L70 L79:L80 J13:J27 L82:L83 L107:L108 L110:L111 L91:L92 L101:L102 J57:J71 L126:L127 L129:L130 L132:L133 L135:L136 L145:L146 J145:J159 L148:L149 L173:L174 L176:L177 L157:L158 L167:L168 L192:L193 L201:L202 L195:L196 L198:L199 J189:J203 L211:L212 L214:L215 L223:L224 L217:L218 L220:L221 J211:J225 L233:L234 L236:L237 L245:L246 L239:L240 L242:L243 J255:J269 L255:L256 L258:L259 L267:L268 L261:L262 L264:L265 J277:J291 L277:L278 L280:L281 L289:L290 L283:L284 L286:L287 J299:J313 L299:L300 L302:L303 L311:L312 L305:L306 L308:L309 J79:J93" xr:uid="{00000000-0002-0000-0400-000005000000}">
      <formula1>",CUMPLE,NO CUMPLE"</formula1>
    </dataValidation>
    <dataValidation type="list" allowBlank="1" showInputMessage="1" showErrorMessage="1" sqref="O113 O264 O261 O245 O236 O302 O201 O242 O289 O286 O277 O311 O308 O299 O305 O198 O280 O255 O283 O267 O233 O132 O101 O104 O107 O211 O192 O195 O258 O110 O135 O173 O145 O151 O157 O170 O179 O176 O167 O189 O148 O123 O126 O129 O154 O223 O220 O239 O214 O217" xr:uid="{00000000-0002-0000-0400-000006000000}">
      <formula1>"ACORDE A ITEM 5.2.2 (T.R.),NO ESTÁ ACORDE A ITEM 5.2.2 (T.R.),DESCRIPCIÓN INSUFICIENTE,PENDIENTE POR DESCRIPCIÓN"</formula1>
    </dataValidation>
    <dataValidation type="list" allowBlank="1" showInputMessage="1" showErrorMessage="1" sqref="B10 B32 B54 B76 B98 B120 B142 B164 B186 B208 B230 B252 B274 B296" xr:uid="{00000000-0002-0000-0400-000007000000}">
      <formula1>"1,2,3,4,5,6,7,8,9,10,11,12,13,14,15,16,17"</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18"/>
  <sheetViews>
    <sheetView topLeftCell="A7" zoomScaleNormal="100" workbookViewId="0">
      <selection activeCell="G12" sqref="G12"/>
    </sheetView>
  </sheetViews>
  <sheetFormatPr baseColWidth="10" defaultRowHeight="15"/>
  <cols>
    <col min="3" max="3" width="24.1640625" customWidth="1"/>
    <col min="4" max="4" width="17" customWidth="1"/>
    <col min="7" max="8" width="23.6640625" customWidth="1"/>
  </cols>
  <sheetData>
    <row r="1" spans="2:11" ht="10" customHeight="1" thickBot="1"/>
    <row r="2" spans="2:11" ht="15" customHeight="1">
      <c r="B2" s="721" t="s">
        <v>302</v>
      </c>
      <c r="C2" s="722"/>
      <c r="D2" s="722"/>
      <c r="E2" s="722"/>
      <c r="F2" s="722"/>
      <c r="G2" s="722"/>
      <c r="H2" s="723"/>
    </row>
    <row r="3" spans="2:11" ht="18" customHeight="1">
      <c r="B3" s="724"/>
      <c r="C3" s="725"/>
      <c r="D3" s="725"/>
      <c r="E3" s="725"/>
      <c r="F3" s="725"/>
      <c r="G3" s="725"/>
      <c r="H3" s="726"/>
    </row>
    <row r="4" spans="2:11" ht="98" customHeight="1" thickBot="1">
      <c r="B4" s="727"/>
      <c r="C4" s="728"/>
      <c r="D4" s="728"/>
      <c r="E4" s="728"/>
      <c r="F4" s="728"/>
      <c r="G4" s="728"/>
      <c r="H4" s="729"/>
    </row>
    <row r="6" spans="2:11" ht="16" thickBot="1"/>
    <row r="7" spans="2:11" ht="36" customHeight="1" thickBot="1">
      <c r="B7" s="730" t="s">
        <v>2</v>
      </c>
      <c r="C7" s="733" t="s">
        <v>49</v>
      </c>
      <c r="D7" s="736" t="s">
        <v>257</v>
      </c>
      <c r="E7" s="737"/>
      <c r="F7" s="737"/>
      <c r="G7" s="738"/>
      <c r="H7" s="739"/>
    </row>
    <row r="8" spans="2:11" ht="49">
      <c r="B8" s="731"/>
      <c r="C8" s="734"/>
      <c r="D8" s="459" t="s">
        <v>303</v>
      </c>
      <c r="E8" s="309" t="s">
        <v>304</v>
      </c>
      <c r="F8" s="310" t="s">
        <v>305</v>
      </c>
      <c r="G8" s="461" t="s">
        <v>10</v>
      </c>
      <c r="H8" s="740" t="s">
        <v>200</v>
      </c>
    </row>
    <row r="9" spans="2:11" ht="16" thickBot="1">
      <c r="B9" s="732"/>
      <c r="C9" s="735"/>
      <c r="D9" s="311" t="s">
        <v>197</v>
      </c>
      <c r="E9" s="312" t="s">
        <v>197</v>
      </c>
      <c r="F9" s="313" t="s">
        <v>197</v>
      </c>
      <c r="G9" s="462"/>
      <c r="H9" s="741"/>
    </row>
    <row r="10" spans="2:11" ht="16" thickBot="1">
      <c r="B10" s="262">
        <v>1</v>
      </c>
      <c r="C10" s="259" t="s">
        <v>163</v>
      </c>
      <c r="D10" s="306"/>
      <c r="E10" s="306"/>
      <c r="F10" s="306"/>
      <c r="G10" s="306"/>
      <c r="H10" s="251"/>
    </row>
    <row r="11" spans="2:11" ht="31" thickBot="1">
      <c r="B11" s="263">
        <v>2</v>
      </c>
      <c r="C11" s="260" t="s">
        <v>164</v>
      </c>
      <c r="D11" s="184"/>
      <c r="E11" s="184"/>
      <c r="F11" s="184"/>
      <c r="G11" s="306"/>
      <c r="H11" s="251"/>
    </row>
    <row r="12" spans="2:11" ht="183" thickBot="1">
      <c r="B12" s="263">
        <v>3</v>
      </c>
      <c r="C12" s="260" t="s">
        <v>320</v>
      </c>
      <c r="D12" s="184" t="s">
        <v>296</v>
      </c>
      <c r="E12" s="184" t="s">
        <v>296</v>
      </c>
      <c r="F12" s="184" t="s">
        <v>155</v>
      </c>
      <c r="G12" s="306" t="s">
        <v>316</v>
      </c>
      <c r="H12" s="251" t="s">
        <v>290</v>
      </c>
      <c r="J12" s="460"/>
      <c r="K12" s="460"/>
    </row>
    <row r="13" spans="2:11" ht="182">
      <c r="B13" s="263">
        <v>4</v>
      </c>
      <c r="C13" s="260" t="s">
        <v>321</v>
      </c>
      <c r="D13" s="184" t="s">
        <v>296</v>
      </c>
      <c r="E13" s="184" t="s">
        <v>296</v>
      </c>
      <c r="F13" s="184" t="s">
        <v>155</v>
      </c>
      <c r="G13" s="306" t="s">
        <v>317</v>
      </c>
      <c r="H13" s="251" t="s">
        <v>290</v>
      </c>
      <c r="J13" s="460"/>
      <c r="K13" s="460"/>
    </row>
    <row r="14" spans="2:11">
      <c r="D14" s="464"/>
      <c r="E14" s="464"/>
      <c r="J14" s="460"/>
      <c r="K14" s="460"/>
    </row>
    <row r="15" spans="2:11">
      <c r="J15" s="460"/>
      <c r="K15" s="460"/>
    </row>
    <row r="16" spans="2:11">
      <c r="J16" s="460"/>
      <c r="K16" s="460"/>
    </row>
    <row r="17" spans="10:11">
      <c r="J17" s="460"/>
      <c r="K17" s="460"/>
    </row>
    <row r="18" spans="10:11">
      <c r="J18" s="460"/>
      <c r="K18" s="460"/>
    </row>
  </sheetData>
  <sheetProtection algorithmName="SHA-512" hashValue="AKAGg5K0xRthIlb288obUsr/zLpWd2XyBXNIjrpqrKzIwtwAJrfuxMFZQfZug2gmI7tsG3KHRRvNW/YmUbUddQ==" saltValue="NObkxrPmc0BGc3gXmTu5hw==" spinCount="100000" sheet="1" objects="1" scenarios="1"/>
  <mergeCells count="5">
    <mergeCell ref="B2:H4"/>
    <mergeCell ref="B7:B9"/>
    <mergeCell ref="C7:C9"/>
    <mergeCell ref="D7:H7"/>
    <mergeCell ref="H8:H9"/>
  </mergeCells>
  <conditionalFormatting sqref="H10:H13">
    <cfRule type="cellIs" dxfId="413" priority="1" operator="equal">
      <formula>"NO CUMPLE"</formula>
    </cfRule>
  </conditionalFormatting>
  <dataValidations count="1">
    <dataValidation type="list" allowBlank="1" showInputMessage="1" showErrorMessage="1" sqref="H10:H13" xr:uid="{00000000-0002-0000-0500-000000000000}">
      <formula1>"CUMPLE, NO CUMPLE"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9"/>
  <sheetViews>
    <sheetView topLeftCell="C1" zoomScale="131" workbookViewId="0">
      <selection activeCell="M8" sqref="M8"/>
    </sheetView>
  </sheetViews>
  <sheetFormatPr baseColWidth="10" defaultColWidth="11.5" defaultRowHeight="16"/>
  <cols>
    <col min="1" max="1" width="6.5" style="13" bestFit="1" customWidth="1"/>
    <col min="2" max="2" width="44.5" style="13" customWidth="1"/>
    <col min="3" max="4" width="16.5" style="13" bestFit="1" customWidth="1"/>
    <col min="5" max="5" width="7.5" style="61" bestFit="1" customWidth="1"/>
    <col min="6" max="6" width="14.83203125" style="61" customWidth="1"/>
    <col min="7" max="7" width="18" style="61" bestFit="1" customWidth="1"/>
    <col min="8" max="8" width="16.5" style="61" bestFit="1" customWidth="1"/>
    <col min="9" max="9" width="19.1640625" style="61" customWidth="1"/>
    <col min="10" max="11" width="20.6640625" style="61" customWidth="1"/>
    <col min="12" max="12" width="24" style="61" customWidth="1"/>
    <col min="13" max="14" width="20.6640625" style="61" customWidth="1"/>
    <col min="15" max="15" width="23.6640625" style="13" customWidth="1"/>
    <col min="16" max="16" width="11.5" style="13" customWidth="1"/>
    <col min="17" max="17" width="11.5" style="46" customWidth="1"/>
    <col min="18" max="18" width="49.83203125" style="13" customWidth="1"/>
    <col min="19" max="19" width="14.83203125" style="47" customWidth="1"/>
    <col min="20" max="16384" width="11.5" style="13"/>
  </cols>
  <sheetData>
    <row r="1" spans="1:19" ht="23">
      <c r="A1" s="744" t="s">
        <v>48</v>
      </c>
      <c r="B1" s="744"/>
      <c r="C1" s="744"/>
      <c r="D1" s="744"/>
      <c r="E1" s="744"/>
      <c r="F1" s="744"/>
      <c r="G1" s="744"/>
      <c r="H1" s="744"/>
      <c r="I1" s="744"/>
      <c r="J1" s="744"/>
      <c r="K1" s="288"/>
      <c r="L1" s="288"/>
      <c r="M1" s="288"/>
      <c r="N1" s="288"/>
    </row>
    <row r="2" spans="1:19" s="49" customFormat="1" ht="19" thickBot="1">
      <c r="A2" s="48"/>
      <c r="B2" s="48"/>
      <c r="C2" s="48"/>
      <c r="D2" s="48"/>
      <c r="E2" s="48"/>
      <c r="F2" s="48"/>
      <c r="G2" s="48"/>
      <c r="H2" s="48"/>
      <c r="I2" s="48"/>
      <c r="J2" s="48"/>
      <c r="K2" s="48"/>
      <c r="L2" s="48"/>
      <c r="M2" s="48"/>
      <c r="N2" s="48"/>
      <c r="Q2" s="50"/>
      <c r="S2" s="51"/>
    </row>
    <row r="3" spans="1:19" ht="17" thickBot="1">
      <c r="A3" s="730" t="s">
        <v>2</v>
      </c>
      <c r="B3" s="745" t="s">
        <v>49</v>
      </c>
      <c r="C3" s="748" t="s">
        <v>50</v>
      </c>
      <c r="D3" s="748"/>
      <c r="E3" s="748"/>
      <c r="F3" s="749"/>
      <c r="G3" s="750" t="s">
        <v>51</v>
      </c>
      <c r="H3" s="751"/>
      <c r="I3" s="751"/>
      <c r="J3" s="752"/>
      <c r="K3" s="750" t="s">
        <v>185</v>
      </c>
      <c r="L3" s="751"/>
      <c r="M3" s="751"/>
      <c r="N3" s="752"/>
    </row>
    <row r="4" spans="1:19" ht="31" customHeight="1" thickBot="1">
      <c r="A4" s="731"/>
      <c r="B4" s="746"/>
      <c r="C4" s="52" t="s">
        <v>52</v>
      </c>
      <c r="D4" s="753" t="s">
        <v>53</v>
      </c>
      <c r="E4" s="754"/>
      <c r="F4" s="245">
        <v>0.65</v>
      </c>
      <c r="G4" s="247" t="s">
        <v>54</v>
      </c>
      <c r="H4" s="755" t="s">
        <v>55</v>
      </c>
      <c r="I4" s="756"/>
      <c r="J4" s="265">
        <f>+'6.2.2.1. EXPERIENCIA GRAL'!N6</f>
        <v>672323975</v>
      </c>
      <c r="K4" s="247" t="s">
        <v>186</v>
      </c>
      <c r="L4" s="755" t="s">
        <v>187</v>
      </c>
      <c r="M4" s="756"/>
      <c r="N4" s="304">
        <v>0.01</v>
      </c>
      <c r="O4" s="757" t="s">
        <v>146</v>
      </c>
    </row>
    <row r="5" spans="1:19" s="16" customFormat="1" ht="26.25" customHeight="1" thickBot="1">
      <c r="A5" s="732"/>
      <c r="B5" s="747"/>
      <c r="C5" s="243" t="s">
        <v>56</v>
      </c>
      <c r="D5" s="243" t="s">
        <v>57</v>
      </c>
      <c r="E5" s="243" t="s">
        <v>58</v>
      </c>
      <c r="F5" s="246" t="s">
        <v>59</v>
      </c>
      <c r="G5" s="248" t="s">
        <v>60</v>
      </c>
      <c r="H5" s="244" t="s">
        <v>61</v>
      </c>
      <c r="I5" s="244" t="s">
        <v>58</v>
      </c>
      <c r="J5" s="266" t="s">
        <v>59</v>
      </c>
      <c r="K5" s="248" t="s">
        <v>306</v>
      </c>
      <c r="L5" s="244" t="s">
        <v>307</v>
      </c>
      <c r="M5" s="244" t="s">
        <v>58</v>
      </c>
      <c r="N5" s="266" t="s">
        <v>59</v>
      </c>
      <c r="O5" s="758"/>
      <c r="Q5" s="742" t="s">
        <v>62</v>
      </c>
      <c r="R5" s="743"/>
      <c r="S5" s="242" t="s">
        <v>42</v>
      </c>
    </row>
    <row r="6" spans="1:19" s="16" customFormat="1" ht="18" thickBot="1">
      <c r="A6" s="262">
        <f>IF('[1]1_ENTREGA'!A8="","",'[1]1_ENTREGA'!A8)</f>
        <v>1</v>
      </c>
      <c r="B6" s="259" t="str">
        <f t="shared" ref="B6:B12" si="0">IF(A6="","",VLOOKUP(A6,LISTA_OFERENTES,2,FALSE))</f>
        <v>KER INGENIERIA S.A.S.</v>
      </c>
      <c r="C6" s="249"/>
      <c r="D6" s="249"/>
      <c r="E6" s="250" t="str">
        <f>IFERROR((C6/D6)," ")</f>
        <v xml:space="preserve"> </v>
      </c>
      <c r="F6" s="251" t="str">
        <f>IF(B6="","",IF(E6&lt;=$F$4,"CUMPLE","NO CUMPLE"))</f>
        <v>NO CUMPLE</v>
      </c>
      <c r="G6" s="252"/>
      <c r="H6" s="252"/>
      <c r="I6" s="253">
        <f>G6-H6</f>
        <v>0</v>
      </c>
      <c r="J6" s="267" t="str">
        <f>IF(B6="","",IF(I6="","NO CUMPLE",IF(I6&gt;=$J$4,"CUMPLE","NO CUMPLE")))</f>
        <v>NO CUMPLE</v>
      </c>
      <c r="K6" s="252"/>
      <c r="L6" s="252"/>
      <c r="M6" s="250">
        <v>0</v>
      </c>
      <c r="N6" s="267" t="str">
        <f>IF(F6="","",IF(M6="","NO CUMPLE",IF(M6&gt;=$N$4,"CUMPLE","NO CUMPLE")))</f>
        <v>NO CUMPLE</v>
      </c>
      <c r="O6" s="270"/>
      <c r="Q6" s="239">
        <v>1</v>
      </c>
      <c r="R6" s="240" t="str">
        <f t="shared" ref="R6:R12" si="1">VLOOKUP(Q6,LISTA_OFERENTES,2,FALSE)</f>
        <v>KER INGENIERIA S.A.S.</v>
      </c>
      <c r="S6" s="241" t="str">
        <f>IF(OR(F6="NO CUMPLE",J6="NO CUMPLE",N6="NO CUMPLE"),"NH","H")</f>
        <v>NH</v>
      </c>
    </row>
    <row r="7" spans="1:19" s="16" customFormat="1" ht="18" thickBot="1">
      <c r="A7" s="263">
        <f>IF('[1]1_ENTREGA'!A9="","",'[1]1_ENTREGA'!A9)</f>
        <v>2</v>
      </c>
      <c r="B7" s="260" t="str">
        <f t="shared" si="0"/>
        <v>UNIÓN TEMPORAL SUPERVISOR 2021</v>
      </c>
      <c r="C7" s="184"/>
      <c r="D7" s="184"/>
      <c r="E7" s="54" t="str">
        <f t="shared" ref="E7:E11" si="2">IFERROR((C7/D7)," ")</f>
        <v xml:space="preserve"> </v>
      </c>
      <c r="F7" s="55" t="str">
        <f t="shared" ref="F7:F12" si="3">IF(B7="","",IF(E7&lt;=$F$4,"CUMPLE","NO CUMPLE"))</f>
        <v>NO CUMPLE</v>
      </c>
      <c r="G7" s="60"/>
      <c r="H7" s="60"/>
      <c r="I7" s="56">
        <f t="shared" ref="I7:I12" si="4">G7-H7</f>
        <v>0</v>
      </c>
      <c r="J7" s="268" t="str">
        <f t="shared" ref="J7:J12" si="5">IF(B7="","",IF(I7="","NO CUMPLE",IF(I7&gt;=$J$4,"CUMPLE","NO CUMPLE")))</f>
        <v>NO CUMPLE</v>
      </c>
      <c r="K7" s="60"/>
      <c r="L7" s="60"/>
      <c r="M7" s="250">
        <v>0</v>
      </c>
      <c r="N7" s="267" t="str">
        <f t="shared" ref="N7:N9" si="6">IF(F7="","",IF(M7="","NO CUMPLE",IF(M7&gt;=$N$4,"CUMPLE","NO CUMPLE")))</f>
        <v>NO CUMPLE</v>
      </c>
      <c r="O7" s="270"/>
      <c r="Q7" s="234">
        <v>2</v>
      </c>
      <c r="R7" s="58" t="str">
        <f t="shared" si="1"/>
        <v>UNIÓN TEMPORAL SUPERVISOR 2021</v>
      </c>
      <c r="S7" s="235" t="str">
        <f t="shared" ref="S7:S12" si="7">IF(OR(F7="NO CUMPLE",J7="NO CUMPLE"),"NH","H")</f>
        <v>NH</v>
      </c>
    </row>
    <row r="8" spans="1:19" s="16" customFormat="1" ht="18" thickBot="1">
      <c r="A8" s="263">
        <f>IF('[1]1_ENTREGA'!A10="","",'[1]1_ENTREGA'!A10)</f>
        <v>3</v>
      </c>
      <c r="B8" s="260" t="str">
        <f t="shared" si="0"/>
        <v>PreVeo S.A.S.</v>
      </c>
      <c r="C8" s="184">
        <v>4111605062</v>
      </c>
      <c r="D8" s="184">
        <v>6356519502</v>
      </c>
      <c r="E8" s="54">
        <f>IFERROR((C8/D8)," ")</f>
        <v>0.64683276134153833</v>
      </c>
      <c r="F8" s="55" t="str">
        <f t="shared" si="3"/>
        <v>CUMPLE</v>
      </c>
      <c r="G8" s="60">
        <v>6007072961</v>
      </c>
      <c r="H8" s="184">
        <v>2993817911</v>
      </c>
      <c r="I8" s="56">
        <f t="shared" si="4"/>
        <v>3013255050</v>
      </c>
      <c r="J8" s="268" t="str">
        <f t="shared" si="5"/>
        <v>CUMPLE</v>
      </c>
      <c r="K8" s="60">
        <v>462206135</v>
      </c>
      <c r="L8" s="184">
        <v>2244914440</v>
      </c>
      <c r="M8" s="250">
        <f>K8/L8</f>
        <v>0.20589031223835863</v>
      </c>
      <c r="N8" s="267" t="str">
        <f t="shared" si="6"/>
        <v>CUMPLE</v>
      </c>
      <c r="O8" s="270"/>
      <c r="Q8" s="234">
        <v>3</v>
      </c>
      <c r="R8" s="58" t="str">
        <f t="shared" si="1"/>
        <v>PreVeo S.A.S.</v>
      </c>
      <c r="S8" s="235" t="str">
        <f t="shared" si="7"/>
        <v>H</v>
      </c>
    </row>
    <row r="9" spans="1:19" s="16" customFormat="1" ht="23.25" customHeight="1">
      <c r="A9" s="263">
        <f>IF('[1]1_ENTREGA'!A11="","",'[1]1_ENTREGA'!A11)</f>
        <v>4</v>
      </c>
      <c r="B9" s="260" t="str">
        <f t="shared" si="0"/>
        <v>INTERVE S.A.S.</v>
      </c>
      <c r="C9" s="184">
        <v>2156601582</v>
      </c>
      <c r="D9" s="184">
        <v>8263768178</v>
      </c>
      <c r="E9" s="54">
        <f t="shared" si="2"/>
        <v>0.26097072613209987</v>
      </c>
      <c r="F9" s="55" t="str">
        <f t="shared" si="3"/>
        <v>CUMPLE</v>
      </c>
      <c r="G9" s="60">
        <v>6755354125</v>
      </c>
      <c r="H9" s="60">
        <v>2156318478</v>
      </c>
      <c r="I9" s="56">
        <f t="shared" si="4"/>
        <v>4599035647</v>
      </c>
      <c r="J9" s="268" t="str">
        <f t="shared" si="5"/>
        <v>CUMPLE</v>
      </c>
      <c r="K9" s="60">
        <v>2158858917</v>
      </c>
      <c r="L9" s="60">
        <v>6107166596</v>
      </c>
      <c r="M9" s="250">
        <f t="shared" ref="M9" si="8">+K9/L9</f>
        <v>0.35349599246465357</v>
      </c>
      <c r="N9" s="267" t="str">
        <f t="shared" si="6"/>
        <v>CUMPLE</v>
      </c>
      <c r="O9" s="270"/>
      <c r="Q9" s="234">
        <v>4</v>
      </c>
      <c r="R9" s="58" t="str">
        <f t="shared" si="1"/>
        <v>INTERVE S.A.S.</v>
      </c>
      <c r="S9" s="235" t="str">
        <f t="shared" si="7"/>
        <v>H</v>
      </c>
    </row>
    <row r="10" spans="1:19" s="16" customFormat="1" ht="21" hidden="1" customHeight="1">
      <c r="A10" s="263">
        <f>IF('[1]1_ENTREGA'!A12="","",'[1]1_ENTREGA'!A12)</f>
        <v>5</v>
      </c>
      <c r="B10" s="260">
        <f t="shared" si="0"/>
        <v>0</v>
      </c>
      <c r="C10" s="184"/>
      <c r="D10" s="184"/>
      <c r="E10" s="54" t="str">
        <f t="shared" si="2"/>
        <v xml:space="preserve"> </v>
      </c>
      <c r="F10" s="55" t="str">
        <f t="shared" si="3"/>
        <v>NO CUMPLE</v>
      </c>
      <c r="G10" s="60"/>
      <c r="H10" s="60"/>
      <c r="I10" s="56">
        <f t="shared" si="4"/>
        <v>0</v>
      </c>
      <c r="J10" s="268" t="str">
        <f t="shared" si="5"/>
        <v>NO CUMPLE</v>
      </c>
      <c r="K10" s="302"/>
      <c r="L10" s="302"/>
      <c r="M10" s="302"/>
      <c r="N10" s="302"/>
      <c r="O10" s="270"/>
      <c r="Q10" s="234">
        <v>5</v>
      </c>
      <c r="R10" s="58">
        <f t="shared" si="1"/>
        <v>0</v>
      </c>
      <c r="S10" s="235" t="str">
        <f t="shared" si="7"/>
        <v>NH</v>
      </c>
    </row>
    <row r="11" spans="1:19" s="16" customFormat="1" ht="17" hidden="1">
      <c r="A11" s="263">
        <f>IF('[1]1_ENTREGA'!A13="","",'[1]1_ENTREGA'!A13)</f>
        <v>6</v>
      </c>
      <c r="B11" s="260">
        <f t="shared" si="0"/>
        <v>0</v>
      </c>
      <c r="C11" s="184"/>
      <c r="D11" s="184"/>
      <c r="E11" s="54" t="str">
        <f t="shared" si="2"/>
        <v xml:space="preserve"> </v>
      </c>
      <c r="F11" s="55" t="str">
        <f t="shared" si="3"/>
        <v>NO CUMPLE</v>
      </c>
      <c r="G11" s="60"/>
      <c r="H11" s="60"/>
      <c r="I11" s="56">
        <f t="shared" si="4"/>
        <v>0</v>
      </c>
      <c r="J11" s="268" t="str">
        <f t="shared" si="5"/>
        <v>NO CUMPLE</v>
      </c>
      <c r="K11" s="302"/>
      <c r="L11" s="302"/>
      <c r="M11" s="302"/>
      <c r="N11" s="302"/>
      <c r="O11" s="270"/>
      <c r="Q11" s="234">
        <v>6</v>
      </c>
      <c r="R11" s="58">
        <f t="shared" si="1"/>
        <v>0</v>
      </c>
      <c r="S11" s="235" t="str">
        <f t="shared" si="7"/>
        <v>NH</v>
      </c>
    </row>
    <row r="12" spans="1:19" s="16" customFormat="1" ht="29.25" hidden="1" customHeight="1">
      <c r="A12" s="263">
        <f>IF('[1]1_ENTREGA'!A14="","",'[1]1_ENTREGA'!A14)</f>
        <v>7</v>
      </c>
      <c r="B12" s="260">
        <f t="shared" si="0"/>
        <v>0</v>
      </c>
      <c r="C12" s="184"/>
      <c r="D12" s="184"/>
      <c r="E12" s="54" t="str">
        <f>IFERROR((C12/D12)," ")</f>
        <v xml:space="preserve"> </v>
      </c>
      <c r="F12" s="55" t="str">
        <f t="shared" si="3"/>
        <v>NO CUMPLE</v>
      </c>
      <c r="G12" s="60"/>
      <c r="H12" s="60"/>
      <c r="I12" s="56">
        <f t="shared" si="4"/>
        <v>0</v>
      </c>
      <c r="J12" s="268" t="str">
        <f t="shared" si="5"/>
        <v>NO CUMPLE</v>
      </c>
      <c r="K12" s="302"/>
      <c r="L12" s="302"/>
      <c r="M12" s="302"/>
      <c r="N12" s="302"/>
      <c r="O12" s="270"/>
      <c r="Q12" s="234">
        <v>7</v>
      </c>
      <c r="R12" s="58">
        <f t="shared" si="1"/>
        <v>0</v>
      </c>
      <c r="S12" s="235" t="str">
        <f t="shared" si="7"/>
        <v>NH</v>
      </c>
    </row>
    <row r="13" spans="1:19" ht="17" hidden="1">
      <c r="A13" s="263">
        <f>IF('[1]1_ENTREGA'!A15="","",'[1]1_ENTREGA'!A15)</f>
        <v>8</v>
      </c>
      <c r="B13" s="260">
        <f t="shared" ref="B13:B15" si="9">IF(A13="","",VLOOKUP(A13,LISTA_OFERENTES,2,FALSE))</f>
        <v>0</v>
      </c>
      <c r="C13" s="184"/>
      <c r="D13" s="184"/>
      <c r="E13" s="54" t="str">
        <f>IFERROR((C13/D13)," ")</f>
        <v xml:space="preserve"> </v>
      </c>
      <c r="F13" s="55" t="str">
        <f t="shared" ref="F13:F15" si="10">IF(B13="","",IF(E13&lt;=$F$4,"CUMPLE","NO CUMPLE"))</f>
        <v>NO CUMPLE</v>
      </c>
      <c r="G13" s="60"/>
      <c r="H13" s="60"/>
      <c r="I13" s="56">
        <f t="shared" ref="I13:I15" si="11">G13-H13</f>
        <v>0</v>
      </c>
      <c r="J13" s="268" t="str">
        <f t="shared" ref="J13:J15" si="12">IF(B13="","",IF(I13="","NO CUMPLE",IF(I13&gt;=$J$4,"CUMPLE","NO CUMPLE")))</f>
        <v>NO CUMPLE</v>
      </c>
      <c r="K13" s="302"/>
      <c r="L13" s="302"/>
      <c r="M13" s="302"/>
      <c r="N13" s="302"/>
      <c r="O13" s="271"/>
      <c r="Q13" s="234">
        <v>8</v>
      </c>
      <c r="R13" s="58">
        <f t="shared" ref="R13:R15" si="13">VLOOKUP(Q13,LISTA_OFERENTES,2,FALSE)</f>
        <v>0</v>
      </c>
      <c r="S13" s="235" t="str">
        <f t="shared" ref="S13:S15" si="14">IF(OR(F13="NO CUMPLE",J13="NO CUMPLE"),"NH","H")</f>
        <v>NH</v>
      </c>
    </row>
    <row r="14" spans="1:19" ht="17" hidden="1">
      <c r="A14" s="263">
        <f>IF('[1]1_ENTREGA'!A16="","",'[1]1_ENTREGA'!A16)</f>
        <v>9</v>
      </c>
      <c r="B14" s="260">
        <f t="shared" si="9"/>
        <v>0</v>
      </c>
      <c r="C14" s="184"/>
      <c r="D14" s="184"/>
      <c r="E14" s="54" t="str">
        <f t="shared" ref="E14:E15" si="15">IFERROR((C14/D14)," ")</f>
        <v xml:space="preserve"> </v>
      </c>
      <c r="F14" s="55" t="str">
        <f t="shared" si="10"/>
        <v>NO CUMPLE</v>
      </c>
      <c r="G14" s="60"/>
      <c r="H14" s="60"/>
      <c r="I14" s="56">
        <f t="shared" si="11"/>
        <v>0</v>
      </c>
      <c r="J14" s="268" t="str">
        <f t="shared" si="12"/>
        <v>NO CUMPLE</v>
      </c>
      <c r="K14" s="302"/>
      <c r="L14" s="302"/>
      <c r="M14" s="302"/>
      <c r="N14" s="302"/>
      <c r="O14" s="271"/>
      <c r="Q14" s="234">
        <v>9</v>
      </c>
      <c r="R14" s="58">
        <f t="shared" si="13"/>
        <v>0</v>
      </c>
      <c r="S14" s="235" t="str">
        <f t="shared" si="14"/>
        <v>NH</v>
      </c>
    </row>
    <row r="15" spans="1:19" ht="21.75" hidden="1" customHeight="1">
      <c r="A15" s="263">
        <f>IF('[1]1_ENTREGA'!A17="","",'[1]1_ENTREGA'!A17)</f>
        <v>10</v>
      </c>
      <c r="B15" s="260">
        <f t="shared" si="9"/>
        <v>0</v>
      </c>
      <c r="C15" s="184"/>
      <c r="D15" s="184"/>
      <c r="E15" s="54" t="str">
        <f t="shared" si="15"/>
        <v xml:space="preserve"> </v>
      </c>
      <c r="F15" s="55" t="str">
        <f t="shared" si="10"/>
        <v>NO CUMPLE</v>
      </c>
      <c r="G15" s="60"/>
      <c r="H15" s="60"/>
      <c r="I15" s="56">
        <f t="shared" si="11"/>
        <v>0</v>
      </c>
      <c r="J15" s="268" t="str">
        <f t="shared" si="12"/>
        <v>NO CUMPLE</v>
      </c>
      <c r="K15" s="302"/>
      <c r="L15" s="302"/>
      <c r="M15" s="302"/>
      <c r="N15" s="302"/>
      <c r="O15" s="271"/>
      <c r="Q15" s="234">
        <v>10</v>
      </c>
      <c r="R15" s="58">
        <f t="shared" si="13"/>
        <v>0</v>
      </c>
      <c r="S15" s="235" t="str">
        <f t="shared" si="14"/>
        <v>NH</v>
      </c>
    </row>
    <row r="16" spans="1:19" ht="23.25" hidden="1" customHeight="1">
      <c r="A16" s="263">
        <f>IF('[1]1_ENTREGA'!A18="","",'[1]1_ENTREGA'!A18)</f>
        <v>11</v>
      </c>
      <c r="B16" s="260">
        <f t="shared" ref="B16:B19" si="16">IF(A16="","",VLOOKUP(A16,LISTA_OFERENTES,2,FALSE))</f>
        <v>0</v>
      </c>
      <c r="C16" s="184"/>
      <c r="D16" s="184"/>
      <c r="E16" s="54" t="str">
        <f t="shared" ref="E16:E19" si="17">IFERROR((C16/D16)," ")</f>
        <v xml:space="preserve"> </v>
      </c>
      <c r="F16" s="55" t="str">
        <f t="shared" ref="F16:F19" si="18">IF(B16="","",IF(E16&lt;=$F$4,"CUMPLE","NO CUMPLE"))</f>
        <v>NO CUMPLE</v>
      </c>
      <c r="G16" s="60"/>
      <c r="H16" s="60"/>
      <c r="I16" s="56">
        <f t="shared" ref="I16:I19" si="19">G16-H16</f>
        <v>0</v>
      </c>
      <c r="J16" s="268" t="str">
        <f t="shared" ref="J16:J19" si="20">IF(B16="","",IF(I16="","NO CUMPLE",IF(I16&gt;=$J$4,"CUMPLE","NO CUMPLE")))</f>
        <v>NO CUMPLE</v>
      </c>
      <c r="K16" s="302"/>
      <c r="L16" s="302"/>
      <c r="M16" s="302"/>
      <c r="N16" s="302"/>
      <c r="O16" s="271"/>
      <c r="Q16" s="234">
        <v>11</v>
      </c>
      <c r="R16" s="58">
        <f t="shared" ref="R16:R19" si="21">VLOOKUP(Q16,LISTA_OFERENTES,2,FALSE)</f>
        <v>0</v>
      </c>
      <c r="S16" s="235" t="str">
        <f t="shared" ref="S16:S19" si="22">IF(OR(F16="NO CUMPLE",J16="NO CUMPLE"),"NH","H")</f>
        <v>NH</v>
      </c>
    </row>
    <row r="17" spans="1:19" ht="23.25" hidden="1" customHeight="1">
      <c r="A17" s="263">
        <f>IF('[1]1_ENTREGA'!A19="","",'[1]1_ENTREGA'!A19)</f>
        <v>12</v>
      </c>
      <c r="B17" s="260">
        <f t="shared" si="16"/>
        <v>0</v>
      </c>
      <c r="C17" s="184"/>
      <c r="D17" s="184"/>
      <c r="E17" s="54" t="str">
        <f t="shared" si="17"/>
        <v xml:space="preserve"> </v>
      </c>
      <c r="F17" s="55" t="str">
        <f t="shared" si="18"/>
        <v>NO CUMPLE</v>
      </c>
      <c r="G17" s="60"/>
      <c r="H17" s="60"/>
      <c r="I17" s="56">
        <f t="shared" si="19"/>
        <v>0</v>
      </c>
      <c r="J17" s="268" t="str">
        <f t="shared" si="20"/>
        <v>NO CUMPLE</v>
      </c>
      <c r="K17" s="302"/>
      <c r="L17" s="302"/>
      <c r="M17" s="302"/>
      <c r="N17" s="302"/>
      <c r="O17" s="271"/>
      <c r="Q17" s="234">
        <v>12</v>
      </c>
      <c r="R17" s="58">
        <f t="shared" si="21"/>
        <v>0</v>
      </c>
      <c r="S17" s="235" t="str">
        <f t="shared" si="22"/>
        <v>NH</v>
      </c>
    </row>
    <row r="18" spans="1:19" ht="44.25" hidden="1" customHeight="1">
      <c r="A18" s="263">
        <f>IF('[1]1_ENTREGA'!A20="","",'[1]1_ENTREGA'!A20)</f>
        <v>13</v>
      </c>
      <c r="B18" s="260">
        <f t="shared" si="16"/>
        <v>0</v>
      </c>
      <c r="C18" s="184"/>
      <c r="D18" s="184"/>
      <c r="E18" s="54" t="str">
        <f t="shared" si="17"/>
        <v xml:space="preserve"> </v>
      </c>
      <c r="F18" s="55" t="str">
        <f t="shared" si="18"/>
        <v>NO CUMPLE</v>
      </c>
      <c r="G18" s="60"/>
      <c r="H18" s="60"/>
      <c r="I18" s="56">
        <f t="shared" si="19"/>
        <v>0</v>
      </c>
      <c r="J18" s="268" t="str">
        <f t="shared" si="20"/>
        <v>NO CUMPLE</v>
      </c>
      <c r="K18" s="302"/>
      <c r="L18" s="302"/>
      <c r="M18" s="302"/>
      <c r="N18" s="302"/>
      <c r="O18" s="271"/>
      <c r="Q18" s="234">
        <v>13</v>
      </c>
      <c r="R18" s="58">
        <f t="shared" si="21"/>
        <v>0</v>
      </c>
      <c r="S18" s="235" t="str">
        <f t="shared" si="22"/>
        <v>NH</v>
      </c>
    </row>
    <row r="19" spans="1:19" ht="23.25" hidden="1" customHeight="1" thickBot="1">
      <c r="A19" s="264">
        <f>IF('[1]1_ENTREGA'!A21="","",'[1]1_ENTREGA'!A21)</f>
        <v>14</v>
      </c>
      <c r="B19" s="261">
        <f t="shared" si="16"/>
        <v>0</v>
      </c>
      <c r="C19" s="254"/>
      <c r="D19" s="254"/>
      <c r="E19" s="255" t="str">
        <f t="shared" si="17"/>
        <v xml:space="preserve"> </v>
      </c>
      <c r="F19" s="256" t="str">
        <f t="shared" si="18"/>
        <v>NO CUMPLE</v>
      </c>
      <c r="G19" s="257"/>
      <c r="H19" s="257"/>
      <c r="I19" s="258">
        <f t="shared" si="19"/>
        <v>0</v>
      </c>
      <c r="J19" s="269" t="str">
        <f t="shared" si="20"/>
        <v>NO CUMPLE</v>
      </c>
      <c r="K19" s="303"/>
      <c r="L19" s="303"/>
      <c r="M19" s="303"/>
      <c r="N19" s="303"/>
      <c r="O19" s="272"/>
      <c r="Q19" s="236">
        <v>14</v>
      </c>
      <c r="R19" s="237">
        <f t="shared" si="21"/>
        <v>0</v>
      </c>
      <c r="S19" s="238" t="str">
        <f t="shared" si="22"/>
        <v>NH</v>
      </c>
    </row>
  </sheetData>
  <sheetProtection algorithmName="SHA-512" hashValue="lYZ5oRTtRh8gMvpEI0m1hljxJfgLrDsj90ANZerRyL/EZgPi/7afj7BGahL4oTT4Pfk5eQBKGqOydQA6Y8FbhA==" saltValue="zhAc3HZC0VuI0BMtGjm3Sw==" spinCount="100000" sheet="1" objects="1" scenarios="1"/>
  <mergeCells count="11">
    <mergeCell ref="Q5:R5"/>
    <mergeCell ref="A1:J1"/>
    <mergeCell ref="A3:A5"/>
    <mergeCell ref="B3:B5"/>
    <mergeCell ref="C3:F3"/>
    <mergeCell ref="G3:J3"/>
    <mergeCell ref="D4:E4"/>
    <mergeCell ref="H4:I4"/>
    <mergeCell ref="O4:O5"/>
    <mergeCell ref="K3:N3"/>
    <mergeCell ref="L4:M4"/>
  </mergeCells>
  <conditionalFormatting sqref="J10:N12 J6:J9">
    <cfRule type="cellIs" dxfId="412" priority="17" operator="equal">
      <formula>"NO CUMPLE"</formula>
    </cfRule>
  </conditionalFormatting>
  <conditionalFormatting sqref="F6:F12">
    <cfRule type="cellIs" dxfId="411" priority="16" operator="equal">
      <formula>"NO CUMPLE"</formula>
    </cfRule>
  </conditionalFormatting>
  <conditionalFormatting sqref="S6">
    <cfRule type="cellIs" dxfId="410" priority="14" operator="equal">
      <formula>"NH"</formula>
    </cfRule>
    <cfRule type="cellIs" dxfId="409" priority="15" operator="equal">
      <formula>"H"</formula>
    </cfRule>
  </conditionalFormatting>
  <conditionalFormatting sqref="S7:S12">
    <cfRule type="cellIs" dxfId="408" priority="12" operator="equal">
      <formula>"NH"</formula>
    </cfRule>
    <cfRule type="cellIs" dxfId="407" priority="13" operator="equal">
      <formula>"H"</formula>
    </cfRule>
  </conditionalFormatting>
  <conditionalFormatting sqref="J13:N13">
    <cfRule type="cellIs" dxfId="406" priority="11" operator="equal">
      <formula>"NO CUMPLE"</formula>
    </cfRule>
  </conditionalFormatting>
  <conditionalFormatting sqref="F13">
    <cfRule type="cellIs" dxfId="405" priority="10" operator="equal">
      <formula>"NO CUMPLE"</formula>
    </cfRule>
  </conditionalFormatting>
  <conditionalFormatting sqref="J14:N15">
    <cfRule type="cellIs" dxfId="404" priority="9" operator="equal">
      <formula>"NO CUMPLE"</formula>
    </cfRule>
  </conditionalFormatting>
  <conditionalFormatting sqref="F14:F15">
    <cfRule type="cellIs" dxfId="403" priority="8" operator="equal">
      <formula>"NO CUMPLE"</formula>
    </cfRule>
  </conditionalFormatting>
  <conditionalFormatting sqref="S13:S15">
    <cfRule type="cellIs" dxfId="402" priority="6" operator="equal">
      <formula>"NH"</formula>
    </cfRule>
    <cfRule type="cellIs" dxfId="401" priority="7" operator="equal">
      <formula>"H"</formula>
    </cfRule>
  </conditionalFormatting>
  <conditionalFormatting sqref="J16:N19">
    <cfRule type="cellIs" dxfId="400" priority="5" operator="equal">
      <formula>"NO CUMPLE"</formula>
    </cfRule>
  </conditionalFormatting>
  <conditionalFormatting sqref="F16:F19">
    <cfRule type="cellIs" dxfId="399" priority="4" operator="equal">
      <formula>"NO CUMPLE"</formula>
    </cfRule>
  </conditionalFormatting>
  <conditionalFormatting sqref="S16:S19">
    <cfRule type="cellIs" dxfId="398" priority="2" operator="equal">
      <formula>"NH"</formula>
    </cfRule>
    <cfRule type="cellIs" dxfId="397" priority="3" operator="equal">
      <formula>"H"</formula>
    </cfRule>
  </conditionalFormatting>
  <conditionalFormatting sqref="N6:N9">
    <cfRule type="cellIs" dxfId="396" priority="1" operator="equal">
      <formula>"NO CUMPLE"</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7"/>
  <sheetViews>
    <sheetView zoomScale="115" zoomScaleNormal="115" workbookViewId="0">
      <selection activeCell="G7" sqref="G7"/>
    </sheetView>
  </sheetViews>
  <sheetFormatPr baseColWidth="10" defaultColWidth="11.5" defaultRowHeight="13"/>
  <cols>
    <col min="1" max="1" width="8" style="62" customWidth="1"/>
    <col min="2" max="2" width="41" style="62" customWidth="1"/>
    <col min="3" max="3" width="17.33203125" style="62" customWidth="1"/>
    <col min="4" max="4" width="20.1640625" style="62" customWidth="1"/>
    <col min="5" max="6" width="31.5" style="62" customWidth="1"/>
    <col min="7" max="7" width="22.5" style="62" customWidth="1"/>
    <col min="8" max="8" width="29.1640625" style="62" hidden="1" customWidth="1"/>
    <col min="9" max="10" width="11.5" style="62"/>
    <col min="11" max="11" width="11.5" style="62" customWidth="1"/>
    <col min="12" max="12" width="42.5" style="68" customWidth="1"/>
    <col min="13" max="13" width="12.6640625" style="62" customWidth="1"/>
    <col min="14" max="16384" width="11.5" style="62"/>
  </cols>
  <sheetData>
    <row r="1" spans="1:13" ht="23">
      <c r="A1" s="759" t="s">
        <v>206</v>
      </c>
      <c r="B1" s="760"/>
      <c r="C1" s="760"/>
      <c r="D1" s="760"/>
      <c r="E1" s="760"/>
      <c r="F1" s="760"/>
      <c r="G1" s="760"/>
      <c r="H1" s="760"/>
    </row>
    <row r="3" spans="1:13" ht="112">
      <c r="A3" s="63" t="s">
        <v>6</v>
      </c>
      <c r="B3" s="64" t="s">
        <v>8</v>
      </c>
      <c r="C3" s="65" t="s">
        <v>201</v>
      </c>
      <c r="D3" s="65" t="s">
        <v>202</v>
      </c>
      <c r="E3" s="65" t="s">
        <v>203</v>
      </c>
      <c r="F3" s="65" t="s">
        <v>204</v>
      </c>
      <c r="G3" s="65" t="s">
        <v>205</v>
      </c>
      <c r="H3" s="65"/>
      <c r="K3" s="761" t="s">
        <v>62</v>
      </c>
      <c r="L3" s="761"/>
      <c r="M3" s="53" t="s">
        <v>42</v>
      </c>
    </row>
    <row r="4" spans="1:13" ht="17">
      <c r="A4" s="66">
        <f>+IF('[1]1_ENTREGA'!A8="","",'[1]1_ENTREGA'!A8)</f>
        <v>1</v>
      </c>
      <c r="B4" s="67" t="str">
        <f t="shared" ref="B4:B10" si="0">IF(A4="","",VLOOKUP(A4,LISTA_OFERENTES,2,FALSE))</f>
        <v>KER INGENIERIA S.A.S.</v>
      </c>
      <c r="C4" s="185"/>
      <c r="D4" s="185"/>
      <c r="E4" s="185"/>
      <c r="F4" s="185"/>
      <c r="G4" s="185"/>
      <c r="H4" s="185"/>
      <c r="K4" s="57">
        <v>1</v>
      </c>
      <c r="L4" s="69" t="str">
        <f t="shared" ref="L4:L10" si="1">VLOOKUP(K4,LISTA_OFERENTES,2,FALSE)</f>
        <v>KER INGENIERIA S.A.S.</v>
      </c>
      <c r="M4" s="59" t="str">
        <f t="shared" ref="M4:M17" si="2">IF(AND(C4="CUMPLE",D4="CUMPLE",E4="CUMPLE",F4="CUMPLE",G4="CUMPLE",H4="CUMPLE"),"H",IF(OR(C4=0,D4=0,E4=0,F4=0,G4=0,H4=0)," ","NH"))</f>
        <v xml:space="preserve"> </v>
      </c>
    </row>
    <row r="5" spans="1:13" ht="17">
      <c r="A5" s="66">
        <f>+IF('[1]1_ENTREGA'!A9="","",'[1]1_ENTREGA'!A9)</f>
        <v>2</v>
      </c>
      <c r="B5" s="67" t="str">
        <f t="shared" si="0"/>
        <v>UNIÓN TEMPORAL SUPERVISOR 2021</v>
      </c>
      <c r="C5" s="185"/>
      <c r="D5" s="185"/>
      <c r="E5" s="185"/>
      <c r="F5" s="185"/>
      <c r="G5" s="185"/>
      <c r="H5" s="185"/>
      <c r="K5" s="57">
        <v>2</v>
      </c>
      <c r="L5" s="69" t="str">
        <f t="shared" si="1"/>
        <v>UNIÓN TEMPORAL SUPERVISOR 2021</v>
      </c>
      <c r="M5" s="59" t="str">
        <f t="shared" si="2"/>
        <v xml:space="preserve"> </v>
      </c>
    </row>
    <row r="6" spans="1:13" ht="17">
      <c r="A6" s="66">
        <f>+IF('[1]1_ENTREGA'!A10="","",'[1]1_ENTREGA'!A10)</f>
        <v>3</v>
      </c>
      <c r="B6" s="67" t="str">
        <f t="shared" si="0"/>
        <v>PreVeo S.A.S.</v>
      </c>
      <c r="C6" s="185" t="s">
        <v>147</v>
      </c>
      <c r="D6" s="185" t="s">
        <v>147</v>
      </c>
      <c r="E6" s="185" t="s">
        <v>147</v>
      </c>
      <c r="F6" s="185" t="s">
        <v>147</v>
      </c>
      <c r="G6" s="185" t="s">
        <v>147</v>
      </c>
      <c r="H6" s="185"/>
      <c r="K6" s="57">
        <v>3</v>
      </c>
      <c r="L6" s="69" t="str">
        <f t="shared" si="1"/>
        <v>PreVeo S.A.S.</v>
      </c>
      <c r="M6" s="59" t="str">
        <f t="shared" si="2"/>
        <v xml:space="preserve"> </v>
      </c>
    </row>
    <row r="7" spans="1:13" ht="17">
      <c r="A7" s="66">
        <f>+IF('[1]1_ENTREGA'!A11="","",'[1]1_ENTREGA'!A11)</f>
        <v>4</v>
      </c>
      <c r="B7" s="67" t="str">
        <f t="shared" si="0"/>
        <v>INTERVE S.A.S.</v>
      </c>
      <c r="C7" s="185" t="s">
        <v>147</v>
      </c>
      <c r="D7" s="185" t="s">
        <v>147</v>
      </c>
      <c r="E7" s="185" t="s">
        <v>147</v>
      </c>
      <c r="F7" s="185" t="s">
        <v>147</v>
      </c>
      <c r="G7" s="185" t="s">
        <v>147</v>
      </c>
      <c r="H7" s="185"/>
      <c r="K7" s="57">
        <v>4</v>
      </c>
      <c r="L7" s="69" t="str">
        <f t="shared" si="1"/>
        <v>INTERVE S.A.S.</v>
      </c>
      <c r="M7" s="59" t="str">
        <f t="shared" si="2"/>
        <v xml:space="preserve"> </v>
      </c>
    </row>
    <row r="8" spans="1:13" ht="17" hidden="1">
      <c r="A8" s="66">
        <f>+IF('[1]1_ENTREGA'!A12="","",'[1]1_ENTREGA'!A12)</f>
        <v>5</v>
      </c>
      <c r="B8" s="67">
        <f t="shared" si="0"/>
        <v>0</v>
      </c>
      <c r="C8" s="185"/>
      <c r="D8" s="185"/>
      <c r="E8" s="185"/>
      <c r="F8" s="185"/>
      <c r="G8" s="185"/>
      <c r="H8" s="185"/>
      <c r="K8" s="57">
        <v>5</v>
      </c>
      <c r="L8" s="69">
        <f t="shared" si="1"/>
        <v>0</v>
      </c>
      <c r="M8" s="59" t="str">
        <f t="shared" si="2"/>
        <v xml:space="preserve"> </v>
      </c>
    </row>
    <row r="9" spans="1:13" ht="17" hidden="1">
      <c r="A9" s="66">
        <f>+IF('[1]1_ENTREGA'!A13="","",'[1]1_ENTREGA'!A13)</f>
        <v>6</v>
      </c>
      <c r="B9" s="67">
        <f t="shared" si="0"/>
        <v>0</v>
      </c>
      <c r="C9" s="185"/>
      <c r="D9" s="185"/>
      <c r="E9" s="185"/>
      <c r="F9" s="185"/>
      <c r="G9" s="185"/>
      <c r="H9" s="185"/>
      <c r="K9" s="57">
        <v>6</v>
      </c>
      <c r="L9" s="69">
        <f t="shared" si="1"/>
        <v>0</v>
      </c>
      <c r="M9" s="59" t="str">
        <f t="shared" si="2"/>
        <v xml:space="preserve"> </v>
      </c>
    </row>
    <row r="10" spans="1:13" ht="21.75" hidden="1" customHeight="1">
      <c r="A10" s="66">
        <f>+IF('[1]1_ENTREGA'!A14="","",'[1]1_ENTREGA'!A14)</f>
        <v>7</v>
      </c>
      <c r="B10" s="67">
        <f t="shared" si="0"/>
        <v>0</v>
      </c>
      <c r="C10" s="185"/>
      <c r="D10" s="185"/>
      <c r="E10" s="185"/>
      <c r="F10" s="185"/>
      <c r="G10" s="185"/>
      <c r="H10" s="185"/>
      <c r="K10" s="57">
        <v>7</v>
      </c>
      <c r="L10" s="69">
        <f t="shared" si="1"/>
        <v>0</v>
      </c>
      <c r="M10" s="59" t="str">
        <f t="shared" si="2"/>
        <v xml:space="preserve"> </v>
      </c>
    </row>
    <row r="11" spans="1:13" ht="17" hidden="1">
      <c r="A11" s="66">
        <f>+IF('[1]1_ENTREGA'!A15="","",'[1]1_ENTREGA'!A15)</f>
        <v>8</v>
      </c>
      <c r="B11" s="67">
        <f t="shared" ref="B11:B13" si="3">IF(A11="","",VLOOKUP(A11,LISTA_OFERENTES,2,FALSE))</f>
        <v>0</v>
      </c>
      <c r="C11" s="185"/>
      <c r="D11" s="185"/>
      <c r="E11" s="185"/>
      <c r="F11" s="185"/>
      <c r="G11" s="185"/>
      <c r="H11" s="185"/>
      <c r="K11" s="57">
        <v>8</v>
      </c>
      <c r="L11" s="69">
        <f t="shared" ref="L11:L17" si="4">VLOOKUP(K11,LISTA_OFERENTES,2,FALSE)</f>
        <v>0</v>
      </c>
      <c r="M11" s="59" t="str">
        <f t="shared" si="2"/>
        <v xml:space="preserve"> </v>
      </c>
    </row>
    <row r="12" spans="1:13" ht="17" hidden="1">
      <c r="A12" s="66">
        <f>+IF('[1]1_ENTREGA'!A16="","",'[1]1_ENTREGA'!A16)</f>
        <v>9</v>
      </c>
      <c r="B12" s="67">
        <f t="shared" si="3"/>
        <v>0</v>
      </c>
      <c r="C12" s="185"/>
      <c r="D12" s="185"/>
      <c r="E12" s="185"/>
      <c r="F12" s="185"/>
      <c r="G12" s="185"/>
      <c r="H12" s="185"/>
      <c r="K12" s="57">
        <f>+K11+1</f>
        <v>9</v>
      </c>
      <c r="L12" s="69">
        <f t="shared" si="4"/>
        <v>0</v>
      </c>
      <c r="M12" s="59" t="str">
        <f t="shared" si="2"/>
        <v xml:space="preserve"> </v>
      </c>
    </row>
    <row r="13" spans="1:13" ht="17" hidden="1">
      <c r="A13" s="66">
        <f>+IF('[1]1_ENTREGA'!A17="","",'[1]1_ENTREGA'!A17)</f>
        <v>10</v>
      </c>
      <c r="B13" s="67">
        <f t="shared" si="3"/>
        <v>0</v>
      </c>
      <c r="C13" s="185"/>
      <c r="D13" s="185"/>
      <c r="E13" s="185"/>
      <c r="F13" s="185"/>
      <c r="G13" s="185"/>
      <c r="H13" s="185"/>
      <c r="K13" s="57">
        <f t="shared" ref="K13:K17" si="5">+K12+1</f>
        <v>10</v>
      </c>
      <c r="L13" s="69">
        <f t="shared" si="4"/>
        <v>0</v>
      </c>
      <c r="M13" s="59" t="str">
        <f t="shared" si="2"/>
        <v xml:space="preserve"> </v>
      </c>
    </row>
    <row r="14" spans="1:13" ht="17" hidden="1">
      <c r="A14" s="66">
        <f>+IF('[1]1_ENTREGA'!A18="","",'[1]1_ENTREGA'!A18)</f>
        <v>11</v>
      </c>
      <c r="B14" s="67">
        <f t="shared" ref="B14:B17" si="6">IF(A14="","",VLOOKUP(A14,LISTA_OFERENTES,2,FALSE))</f>
        <v>0</v>
      </c>
      <c r="C14" s="185"/>
      <c r="D14" s="185"/>
      <c r="E14" s="185"/>
      <c r="F14" s="185"/>
      <c r="G14" s="185"/>
      <c r="H14" s="185"/>
      <c r="K14" s="57">
        <f t="shared" si="5"/>
        <v>11</v>
      </c>
      <c r="L14" s="69">
        <f t="shared" si="4"/>
        <v>0</v>
      </c>
      <c r="M14" s="59" t="str">
        <f t="shared" si="2"/>
        <v xml:space="preserve"> </v>
      </c>
    </row>
    <row r="15" spans="1:13" ht="17" hidden="1">
      <c r="A15" s="66">
        <f>+IF('[1]1_ENTREGA'!A19="","",'[1]1_ENTREGA'!A19)</f>
        <v>12</v>
      </c>
      <c r="B15" s="67">
        <f t="shared" si="6"/>
        <v>0</v>
      </c>
      <c r="C15" s="185"/>
      <c r="D15" s="185"/>
      <c r="E15" s="185"/>
      <c r="F15" s="185"/>
      <c r="G15" s="185"/>
      <c r="H15" s="185"/>
      <c r="K15" s="57">
        <f t="shared" si="5"/>
        <v>12</v>
      </c>
      <c r="L15" s="69">
        <f t="shared" si="4"/>
        <v>0</v>
      </c>
      <c r="M15" s="59" t="str">
        <f t="shared" si="2"/>
        <v xml:space="preserve"> </v>
      </c>
    </row>
    <row r="16" spans="1:13" ht="17" hidden="1">
      <c r="A16" s="66">
        <f>+IF('[1]1_ENTREGA'!A20="","",'[1]1_ENTREGA'!A20)</f>
        <v>13</v>
      </c>
      <c r="B16" s="67">
        <f t="shared" si="6"/>
        <v>0</v>
      </c>
      <c r="C16" s="185"/>
      <c r="D16" s="185"/>
      <c r="E16" s="185"/>
      <c r="F16" s="185"/>
      <c r="G16" s="185"/>
      <c r="H16" s="185"/>
      <c r="K16" s="57">
        <f t="shared" si="5"/>
        <v>13</v>
      </c>
      <c r="L16" s="69">
        <f t="shared" si="4"/>
        <v>0</v>
      </c>
      <c r="M16" s="59" t="str">
        <f t="shared" si="2"/>
        <v xml:space="preserve"> </v>
      </c>
    </row>
    <row r="17" spans="1:13" ht="17" hidden="1">
      <c r="A17" s="66">
        <f>+IF('[1]1_ENTREGA'!A21="","",'[1]1_ENTREGA'!A21)</f>
        <v>14</v>
      </c>
      <c r="B17" s="67">
        <f t="shared" si="6"/>
        <v>0</v>
      </c>
      <c r="C17" s="185"/>
      <c r="D17" s="185"/>
      <c r="E17" s="185"/>
      <c r="F17" s="185"/>
      <c r="G17" s="185"/>
      <c r="H17" s="185"/>
      <c r="K17" s="57">
        <f t="shared" si="5"/>
        <v>14</v>
      </c>
      <c r="L17" s="69">
        <f t="shared" si="4"/>
        <v>0</v>
      </c>
      <c r="M17" s="59" t="str">
        <f t="shared" si="2"/>
        <v xml:space="preserve"> </v>
      </c>
    </row>
  </sheetData>
  <sheetProtection algorithmName="SHA-512" hashValue="fAKbMAEaXdIR2w6d/olOdNnWg7/cSHmm2rXvf3AJHm5VgMwmMO8bek5+TSMHxsqBWN2S1u1DjBqgpY9LH6MrOw==" saltValue="SDkME9hPGSlNU6ISG8Dssw==" spinCount="100000" sheet="1" objects="1" scenarios="1"/>
  <mergeCells count="2">
    <mergeCell ref="A1:H1"/>
    <mergeCell ref="K3:L3"/>
  </mergeCells>
  <conditionalFormatting sqref="C4">
    <cfRule type="cellIs" dxfId="395" priority="41" operator="equal">
      <formula>"NO CUMPLE"</formula>
    </cfRule>
    <cfRule type="cellIs" dxfId="394" priority="42" operator="equal">
      <formula>"CUMPLE"</formula>
    </cfRule>
  </conditionalFormatting>
  <conditionalFormatting sqref="M4">
    <cfRule type="cellIs" dxfId="393" priority="29" operator="equal">
      <formula>"NH"</formula>
    </cfRule>
    <cfRule type="cellIs" dxfId="392" priority="30" operator="equal">
      <formula>"H"</formula>
    </cfRule>
  </conditionalFormatting>
  <conditionalFormatting sqref="M5:M10">
    <cfRule type="cellIs" dxfId="391" priority="27" operator="equal">
      <formula>"NH"</formula>
    </cfRule>
    <cfRule type="cellIs" dxfId="390" priority="28" operator="equal">
      <formula>"H"</formula>
    </cfRule>
  </conditionalFormatting>
  <conditionalFormatting sqref="F16">
    <cfRule type="cellIs" dxfId="389" priority="19" operator="equal">
      <formula>"NO CUMPLE"</formula>
    </cfRule>
    <cfRule type="cellIs" dxfId="388" priority="20" operator="equal">
      <formula>"CUMPLE"</formula>
    </cfRule>
  </conditionalFormatting>
  <conditionalFormatting sqref="M11:M17">
    <cfRule type="cellIs" dxfId="387" priority="13" operator="equal">
      <formula>"NH"</formula>
    </cfRule>
    <cfRule type="cellIs" dxfId="386" priority="14" operator="equal">
      <formula>"H"</formula>
    </cfRule>
  </conditionalFormatting>
  <conditionalFormatting sqref="C5:C17">
    <cfRule type="cellIs" dxfId="385" priority="11" operator="equal">
      <formula>"NO CUMPLE"</formula>
    </cfRule>
    <cfRule type="cellIs" dxfId="384" priority="12" operator="equal">
      <formula>"CUMPLE"</formula>
    </cfRule>
  </conditionalFormatting>
  <conditionalFormatting sqref="D4:D17">
    <cfRule type="cellIs" dxfId="383" priority="9" operator="equal">
      <formula>"NO CUMPLE"</formula>
    </cfRule>
    <cfRule type="cellIs" dxfId="382" priority="10" operator="equal">
      <formula>"CUMPLE"</formula>
    </cfRule>
  </conditionalFormatting>
  <conditionalFormatting sqref="E4:E17">
    <cfRule type="cellIs" dxfId="381" priority="7" operator="equal">
      <formula>"NO CUMPLE"</formula>
    </cfRule>
    <cfRule type="cellIs" dxfId="380" priority="8" operator="equal">
      <formula>"CUMPLE"</formula>
    </cfRule>
  </conditionalFormatting>
  <conditionalFormatting sqref="F4:F15">
    <cfRule type="cellIs" dxfId="379" priority="5" operator="equal">
      <formula>"NO CUMPLE"</formula>
    </cfRule>
    <cfRule type="cellIs" dxfId="378" priority="6" operator="equal">
      <formula>"CUMPLE"</formula>
    </cfRule>
  </conditionalFormatting>
  <conditionalFormatting sqref="F17">
    <cfRule type="cellIs" dxfId="377" priority="3" operator="equal">
      <formula>"NO CUMPLE"</formula>
    </cfRule>
    <cfRule type="cellIs" dxfId="376" priority="4" operator="equal">
      <formula>"CUMPLE"</formula>
    </cfRule>
  </conditionalFormatting>
  <conditionalFormatting sqref="G4:H17">
    <cfRule type="cellIs" dxfId="375" priority="1" operator="equal">
      <formula>"NO CUMPLE"</formula>
    </cfRule>
    <cfRule type="cellIs" dxfId="374" priority="2" operator="equal">
      <formula>"CUMPLE"</formula>
    </cfRule>
  </conditionalFormatting>
  <dataValidations count="1">
    <dataValidation type="list" allowBlank="1" showInputMessage="1" showErrorMessage="1" sqref="C4:H17" xr:uid="{00000000-0002-0000-0700-000000000000}">
      <formula1>"CUMPLE,NO CUMPLE"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JQ145"/>
  <sheetViews>
    <sheetView topLeftCell="L1" zoomScale="61" zoomScaleNormal="85" workbookViewId="0">
      <selection activeCell="P2" sqref="P2:V3"/>
    </sheetView>
  </sheetViews>
  <sheetFormatPr baseColWidth="10" defaultRowHeight="16"/>
  <cols>
    <col min="1" max="1" width="7.1640625" style="186" customWidth="1"/>
    <col min="2" max="2" width="21" style="187" customWidth="1"/>
    <col min="3" max="3" width="18" style="187" customWidth="1"/>
    <col min="4" max="4" width="135.5" style="187" customWidth="1"/>
    <col min="5" max="5" width="21.83203125" style="187" customWidth="1"/>
    <col min="6" max="6" width="37.1640625" style="187" customWidth="1"/>
    <col min="7" max="7" width="43.33203125" style="187" customWidth="1"/>
    <col min="8" max="10" width="30.83203125" style="187" customWidth="1"/>
    <col min="11" max="11" width="33.33203125" style="187" customWidth="1"/>
    <col min="12" max="12" width="15.6640625" style="187" customWidth="1"/>
    <col min="13" max="13" width="23.1640625" style="187" customWidth="1"/>
    <col min="14" max="14" width="15.5" style="187" customWidth="1"/>
    <col min="15" max="15" width="124.5" style="187" customWidth="1"/>
    <col min="16" max="16" width="22.5" style="187" customWidth="1"/>
    <col min="17" max="17" width="33.1640625" style="187" customWidth="1"/>
    <col min="18" max="18" width="38.33203125" style="187" customWidth="1"/>
    <col min="19" max="19" width="35.1640625" style="187" customWidth="1"/>
    <col min="20" max="20" width="23.6640625" style="187" customWidth="1"/>
    <col min="21" max="21" width="24.33203125" style="187" customWidth="1"/>
    <col min="22" max="22" width="30.5" style="187" customWidth="1"/>
    <col min="23" max="23" width="4.6640625" style="71" customWidth="1"/>
    <col min="24" max="24" width="9.83203125" style="71" customWidth="1"/>
    <col min="25" max="25" width="4.6640625" style="71" customWidth="1"/>
    <col min="26" max="26" width="6.5" style="71" customWidth="1"/>
    <col min="27" max="27" width="7.33203125" style="71" customWidth="1"/>
    <col min="28" max="28" width="4.6640625" style="71" customWidth="1"/>
    <col min="29" max="29" width="7.5" style="71" customWidth="1"/>
    <col min="30" max="30" width="20.83203125" style="71" customWidth="1"/>
    <col min="31" max="31" width="10.6640625" style="71" customWidth="1"/>
    <col min="32" max="32" width="8.6640625" style="187" customWidth="1"/>
    <col min="33" max="33" width="8" style="187" customWidth="1"/>
    <col min="34" max="35" width="11.5" style="187" customWidth="1"/>
    <col min="36" max="36" width="121.33203125" style="187" customWidth="1"/>
    <col min="37" max="38" width="20.33203125" style="187" customWidth="1"/>
    <col min="39" max="39" width="23.5" style="187" customWidth="1"/>
    <col min="40" max="40" width="21" style="187" customWidth="1"/>
    <col min="41" max="41" width="19.33203125" style="187" customWidth="1"/>
    <col min="42" max="42" width="21.1640625" style="187" customWidth="1"/>
    <col min="43" max="43" width="24.6640625" style="187" customWidth="1"/>
    <col min="44" max="50" width="11.5" style="187" customWidth="1"/>
    <col min="51" max="51" width="21" style="187" customWidth="1"/>
    <col min="52" max="52" width="15.5" style="187" customWidth="1"/>
    <col min="53" max="56" width="11.5" style="187"/>
    <col min="57" max="57" width="118.5" style="187" customWidth="1"/>
    <col min="58" max="58" width="15.5" style="187" bestFit="1" customWidth="1"/>
    <col min="59" max="59" width="30.1640625" style="187" customWidth="1"/>
    <col min="60" max="60" width="32.6640625" style="187" customWidth="1"/>
    <col min="61" max="61" width="20.33203125" style="187" customWidth="1"/>
    <col min="62" max="62" width="17.6640625" style="187" customWidth="1"/>
    <col min="63" max="63" width="15.6640625" style="187" customWidth="1"/>
    <col min="64" max="64" width="30.1640625" style="187" customWidth="1"/>
    <col min="65" max="71" width="11.5" style="187"/>
    <col min="72" max="72" width="28.33203125" style="187" customWidth="1"/>
    <col min="73" max="73" width="16.5" style="187" customWidth="1"/>
    <col min="74" max="77" width="11.5" style="187"/>
    <col min="78" max="78" width="118.5" style="187" customWidth="1"/>
    <col min="79" max="79" width="11.5" style="187"/>
    <col min="80" max="80" width="30.1640625" style="187" customWidth="1"/>
    <col min="81" max="81" width="32.6640625" style="187" customWidth="1"/>
    <col min="82" max="82" width="20.33203125" style="187" customWidth="1"/>
    <col min="83" max="83" width="18.33203125" style="187" customWidth="1"/>
    <col min="84" max="84" width="11.5" style="187"/>
    <col min="85" max="85" width="30.1640625" style="187" customWidth="1"/>
    <col min="86" max="92" width="11.5" style="187"/>
    <col min="93" max="93" width="28.33203125" style="187" customWidth="1"/>
    <col min="94" max="94" width="16.5" style="187" customWidth="1"/>
    <col min="95" max="137" width="11.5" style="187"/>
    <col min="138" max="138" width="2.33203125" style="187" customWidth="1"/>
    <col min="139" max="139" width="7.1640625" style="187" customWidth="1"/>
    <col min="140" max="140" width="8.83203125" style="187" customWidth="1"/>
    <col min="141" max="141" width="71.5" style="187" customWidth="1"/>
    <col min="142" max="142" width="23.1640625" style="187" customWidth="1"/>
    <col min="143" max="143" width="19" style="187" customWidth="1"/>
    <col min="144" max="144" width="28.33203125" style="187" customWidth="1"/>
    <col min="145" max="145" width="43.83203125" style="187" customWidth="1"/>
    <col min="146" max="393" width="11.5" style="187"/>
    <col min="394" max="394" width="2.33203125" style="187" customWidth="1"/>
    <col min="395" max="395" width="7.1640625" style="187" customWidth="1"/>
    <col min="396" max="396" width="8.83203125" style="187" customWidth="1"/>
    <col min="397" max="397" width="71.5" style="187" customWidth="1"/>
    <col min="398" max="398" width="23.1640625" style="187" customWidth="1"/>
    <col min="399" max="399" width="19" style="187" customWidth="1"/>
    <col min="400" max="400" width="28.33203125" style="187" customWidth="1"/>
    <col min="401" max="401" width="43.83203125" style="187" customWidth="1"/>
    <col min="402" max="649" width="11.5" style="187"/>
    <col min="650" max="650" width="2.33203125" style="187" customWidth="1"/>
    <col min="651" max="651" width="7.1640625" style="187" customWidth="1"/>
    <col min="652" max="652" width="8.83203125" style="187" customWidth="1"/>
    <col min="653" max="653" width="71.5" style="187" customWidth="1"/>
    <col min="654" max="654" width="23.1640625" style="187" customWidth="1"/>
    <col min="655" max="655" width="19" style="187" customWidth="1"/>
    <col min="656" max="656" width="28.33203125" style="187" customWidth="1"/>
    <col min="657" max="657" width="43.83203125" style="187" customWidth="1"/>
    <col min="658" max="905" width="11.5" style="187"/>
    <col min="906" max="906" width="2.33203125" style="187" customWidth="1"/>
    <col min="907" max="907" width="7.1640625" style="187" customWidth="1"/>
    <col min="908" max="908" width="8.83203125" style="187" customWidth="1"/>
    <col min="909" max="909" width="71.5" style="187" customWidth="1"/>
    <col min="910" max="910" width="23.1640625" style="187" customWidth="1"/>
    <col min="911" max="911" width="19" style="187" customWidth="1"/>
    <col min="912" max="912" width="28.33203125" style="187" customWidth="1"/>
    <col min="913" max="913" width="43.83203125" style="187" customWidth="1"/>
    <col min="914" max="1161" width="11.5" style="187"/>
    <col min="1162" max="1162" width="2.33203125" style="187" customWidth="1"/>
    <col min="1163" max="1163" width="7.1640625" style="187" customWidth="1"/>
    <col min="1164" max="1164" width="8.83203125" style="187" customWidth="1"/>
    <col min="1165" max="1165" width="71.5" style="187" customWidth="1"/>
    <col min="1166" max="1166" width="23.1640625" style="187" customWidth="1"/>
    <col min="1167" max="1167" width="19" style="187" customWidth="1"/>
    <col min="1168" max="1168" width="28.33203125" style="187" customWidth="1"/>
    <col min="1169" max="1169" width="43.83203125" style="187" customWidth="1"/>
    <col min="1170" max="1417" width="11.5" style="187"/>
    <col min="1418" max="1418" width="2.33203125" style="187" customWidth="1"/>
    <col min="1419" max="1419" width="7.1640625" style="187" customWidth="1"/>
    <col min="1420" max="1420" width="8.83203125" style="187" customWidth="1"/>
    <col min="1421" max="1421" width="71.5" style="187" customWidth="1"/>
    <col min="1422" max="1422" width="23.1640625" style="187" customWidth="1"/>
    <col min="1423" max="1423" width="19" style="187" customWidth="1"/>
    <col min="1424" max="1424" width="28.33203125" style="187" customWidth="1"/>
    <col min="1425" max="1425" width="43.83203125" style="187" customWidth="1"/>
    <col min="1426" max="1673" width="11.5" style="187"/>
    <col min="1674" max="1674" width="2.33203125" style="187" customWidth="1"/>
    <col min="1675" max="1675" width="7.1640625" style="187" customWidth="1"/>
    <col min="1676" max="1676" width="8.83203125" style="187" customWidth="1"/>
    <col min="1677" max="1677" width="71.5" style="187" customWidth="1"/>
    <col min="1678" max="1678" width="23.1640625" style="187" customWidth="1"/>
    <col min="1679" max="1679" width="19" style="187" customWidth="1"/>
    <col min="1680" max="1680" width="28.33203125" style="187" customWidth="1"/>
    <col min="1681" max="1681" width="43.83203125" style="187" customWidth="1"/>
    <col min="1682" max="1929" width="11.5" style="187"/>
    <col min="1930" max="1930" width="2.33203125" style="187" customWidth="1"/>
    <col min="1931" max="1931" width="7.1640625" style="187" customWidth="1"/>
    <col min="1932" max="1932" width="8.83203125" style="187" customWidth="1"/>
    <col min="1933" max="1933" width="71.5" style="187" customWidth="1"/>
    <col min="1934" max="1934" width="23.1640625" style="187" customWidth="1"/>
    <col min="1935" max="1935" width="19" style="187" customWidth="1"/>
    <col min="1936" max="1936" width="28.33203125" style="187" customWidth="1"/>
    <col min="1937" max="1937" width="43.83203125" style="187" customWidth="1"/>
    <col min="1938" max="2185" width="11.5" style="187"/>
    <col min="2186" max="2186" width="2.33203125" style="187" customWidth="1"/>
    <col min="2187" max="2187" width="7.1640625" style="187" customWidth="1"/>
    <col min="2188" max="2188" width="8.83203125" style="187" customWidth="1"/>
    <col min="2189" max="2189" width="71.5" style="187" customWidth="1"/>
    <col min="2190" max="2190" width="23.1640625" style="187" customWidth="1"/>
    <col min="2191" max="2191" width="19" style="187" customWidth="1"/>
    <col min="2192" max="2192" width="28.33203125" style="187" customWidth="1"/>
    <col min="2193" max="2193" width="43.83203125" style="187" customWidth="1"/>
    <col min="2194" max="2441" width="11.5" style="187"/>
    <col min="2442" max="2442" width="2.33203125" style="187" customWidth="1"/>
    <col min="2443" max="2443" width="7.1640625" style="187" customWidth="1"/>
    <col min="2444" max="2444" width="8.83203125" style="187" customWidth="1"/>
    <col min="2445" max="2445" width="71.5" style="187" customWidth="1"/>
    <col min="2446" max="2446" width="23.1640625" style="187" customWidth="1"/>
    <col min="2447" max="2447" width="19" style="187" customWidth="1"/>
    <col min="2448" max="2448" width="28.33203125" style="187" customWidth="1"/>
    <col min="2449" max="2449" width="43.83203125" style="187" customWidth="1"/>
    <col min="2450" max="2697" width="11.5" style="187"/>
    <col min="2698" max="2698" width="2.33203125" style="187" customWidth="1"/>
    <col min="2699" max="2699" width="7.1640625" style="187" customWidth="1"/>
    <col min="2700" max="2700" width="8.83203125" style="187" customWidth="1"/>
    <col min="2701" max="2701" width="71.5" style="187" customWidth="1"/>
    <col min="2702" max="2702" width="23.1640625" style="187" customWidth="1"/>
    <col min="2703" max="2703" width="19" style="187" customWidth="1"/>
    <col min="2704" max="2704" width="28.33203125" style="187" customWidth="1"/>
    <col min="2705" max="2705" width="43.83203125" style="187" customWidth="1"/>
    <col min="2706" max="2953" width="11.5" style="187"/>
    <col min="2954" max="2954" width="2.33203125" style="187" customWidth="1"/>
    <col min="2955" max="2955" width="7.1640625" style="187" customWidth="1"/>
    <col min="2956" max="2956" width="8.83203125" style="187" customWidth="1"/>
    <col min="2957" max="2957" width="71.5" style="187" customWidth="1"/>
    <col min="2958" max="2958" width="23.1640625" style="187" customWidth="1"/>
    <col min="2959" max="2959" width="19" style="187" customWidth="1"/>
    <col min="2960" max="2960" width="28.33203125" style="187" customWidth="1"/>
    <col min="2961" max="2961" width="43.83203125" style="187" customWidth="1"/>
    <col min="2962" max="3209" width="11.5" style="187"/>
    <col min="3210" max="3210" width="2.33203125" style="187" customWidth="1"/>
    <col min="3211" max="3211" width="7.1640625" style="187" customWidth="1"/>
    <col min="3212" max="3212" width="8.83203125" style="187" customWidth="1"/>
    <col min="3213" max="3213" width="71.5" style="187" customWidth="1"/>
    <col min="3214" max="3214" width="23.1640625" style="187" customWidth="1"/>
    <col min="3215" max="3215" width="19" style="187" customWidth="1"/>
    <col min="3216" max="3216" width="28.33203125" style="187" customWidth="1"/>
    <col min="3217" max="3217" width="43.83203125" style="187" customWidth="1"/>
    <col min="3218" max="3465" width="11.5" style="187"/>
    <col min="3466" max="3466" width="2.33203125" style="187" customWidth="1"/>
    <col min="3467" max="3467" width="7.1640625" style="187" customWidth="1"/>
    <col min="3468" max="3468" width="8.83203125" style="187" customWidth="1"/>
    <col min="3469" max="3469" width="71.5" style="187" customWidth="1"/>
    <col min="3470" max="3470" width="23.1640625" style="187" customWidth="1"/>
    <col min="3471" max="3471" width="19" style="187" customWidth="1"/>
    <col min="3472" max="3472" width="28.33203125" style="187" customWidth="1"/>
    <col min="3473" max="3473" width="43.83203125" style="187" customWidth="1"/>
    <col min="3474" max="3721" width="11.5" style="187"/>
    <col min="3722" max="3722" width="2.33203125" style="187" customWidth="1"/>
    <col min="3723" max="3723" width="7.1640625" style="187" customWidth="1"/>
    <col min="3724" max="3724" width="8.83203125" style="187" customWidth="1"/>
    <col min="3725" max="3725" width="71.5" style="187" customWidth="1"/>
    <col min="3726" max="3726" width="23.1640625" style="187" customWidth="1"/>
    <col min="3727" max="3727" width="19" style="187" customWidth="1"/>
    <col min="3728" max="3728" width="28.33203125" style="187" customWidth="1"/>
    <col min="3729" max="3729" width="43.83203125" style="187" customWidth="1"/>
    <col min="3730" max="3977" width="11.5" style="187"/>
    <col min="3978" max="3978" width="2.33203125" style="187" customWidth="1"/>
    <col min="3979" max="3979" width="7.1640625" style="187" customWidth="1"/>
    <col min="3980" max="3980" width="8.83203125" style="187" customWidth="1"/>
    <col min="3981" max="3981" width="71.5" style="187" customWidth="1"/>
    <col min="3982" max="3982" width="23.1640625" style="187" customWidth="1"/>
    <col min="3983" max="3983" width="19" style="187" customWidth="1"/>
    <col min="3984" max="3984" width="28.33203125" style="187" customWidth="1"/>
    <col min="3985" max="3985" width="43.83203125" style="187" customWidth="1"/>
    <col min="3986" max="4233" width="11.5" style="187"/>
    <col min="4234" max="4234" width="2.33203125" style="187" customWidth="1"/>
    <col min="4235" max="4235" width="7.1640625" style="187" customWidth="1"/>
    <col min="4236" max="4236" width="8.83203125" style="187" customWidth="1"/>
    <col min="4237" max="4237" width="71.5" style="187" customWidth="1"/>
    <col min="4238" max="4238" width="23.1640625" style="187" customWidth="1"/>
    <col min="4239" max="4239" width="19" style="187" customWidth="1"/>
    <col min="4240" max="4240" width="28.33203125" style="187" customWidth="1"/>
    <col min="4241" max="4241" width="43.83203125" style="187" customWidth="1"/>
    <col min="4242" max="4489" width="11.5" style="187"/>
    <col min="4490" max="4490" width="2.33203125" style="187" customWidth="1"/>
    <col min="4491" max="4491" width="7.1640625" style="187" customWidth="1"/>
    <col min="4492" max="4492" width="8.83203125" style="187" customWidth="1"/>
    <col min="4493" max="4493" width="71.5" style="187" customWidth="1"/>
    <col min="4494" max="4494" width="23.1640625" style="187" customWidth="1"/>
    <col min="4495" max="4495" width="19" style="187" customWidth="1"/>
    <col min="4496" max="4496" width="28.33203125" style="187" customWidth="1"/>
    <col min="4497" max="4497" width="43.83203125" style="187" customWidth="1"/>
    <col min="4498" max="4745" width="11.5" style="187"/>
    <col min="4746" max="4746" width="2.33203125" style="187" customWidth="1"/>
    <col min="4747" max="4747" width="7.1640625" style="187" customWidth="1"/>
    <col min="4748" max="4748" width="8.83203125" style="187" customWidth="1"/>
    <col min="4749" max="4749" width="71.5" style="187" customWidth="1"/>
    <col min="4750" max="4750" width="23.1640625" style="187" customWidth="1"/>
    <col min="4751" max="4751" width="19" style="187" customWidth="1"/>
    <col min="4752" max="4752" width="28.33203125" style="187" customWidth="1"/>
    <col min="4753" max="4753" width="43.83203125" style="187" customWidth="1"/>
    <col min="4754" max="5001" width="11.5" style="187"/>
    <col min="5002" max="5002" width="2.33203125" style="187" customWidth="1"/>
    <col min="5003" max="5003" width="7.1640625" style="187" customWidth="1"/>
    <col min="5004" max="5004" width="8.83203125" style="187" customWidth="1"/>
    <col min="5005" max="5005" width="71.5" style="187" customWidth="1"/>
    <col min="5006" max="5006" width="23.1640625" style="187" customWidth="1"/>
    <col min="5007" max="5007" width="19" style="187" customWidth="1"/>
    <col min="5008" max="5008" width="28.33203125" style="187" customWidth="1"/>
    <col min="5009" max="5009" width="43.83203125" style="187" customWidth="1"/>
    <col min="5010" max="5257" width="11.5" style="187"/>
    <col min="5258" max="5258" width="2.33203125" style="187" customWidth="1"/>
    <col min="5259" max="5259" width="7.1640625" style="187" customWidth="1"/>
    <col min="5260" max="5260" width="8.83203125" style="187" customWidth="1"/>
    <col min="5261" max="5261" width="71.5" style="187" customWidth="1"/>
    <col min="5262" max="5262" width="23.1640625" style="187" customWidth="1"/>
    <col min="5263" max="5263" width="19" style="187" customWidth="1"/>
    <col min="5264" max="5264" width="28.33203125" style="187" customWidth="1"/>
    <col min="5265" max="5265" width="43.83203125" style="187" customWidth="1"/>
    <col min="5266" max="5513" width="11.5" style="187"/>
    <col min="5514" max="5514" width="2.33203125" style="187" customWidth="1"/>
    <col min="5515" max="5515" width="7.1640625" style="187" customWidth="1"/>
    <col min="5516" max="5516" width="8.83203125" style="187" customWidth="1"/>
    <col min="5517" max="5517" width="71.5" style="187" customWidth="1"/>
    <col min="5518" max="5518" width="23.1640625" style="187" customWidth="1"/>
    <col min="5519" max="5519" width="19" style="187" customWidth="1"/>
    <col min="5520" max="5520" width="28.33203125" style="187" customWidth="1"/>
    <col min="5521" max="5521" width="43.83203125" style="187" customWidth="1"/>
    <col min="5522" max="5769" width="11.5" style="187"/>
    <col min="5770" max="5770" width="2.33203125" style="187" customWidth="1"/>
    <col min="5771" max="5771" width="7.1640625" style="187" customWidth="1"/>
    <col min="5772" max="5772" width="8.83203125" style="187" customWidth="1"/>
    <col min="5773" max="5773" width="71.5" style="187" customWidth="1"/>
    <col min="5774" max="5774" width="23.1640625" style="187" customWidth="1"/>
    <col min="5775" max="5775" width="19" style="187" customWidth="1"/>
    <col min="5776" max="5776" width="28.33203125" style="187" customWidth="1"/>
    <col min="5777" max="5777" width="43.83203125" style="187" customWidth="1"/>
    <col min="5778" max="6025" width="11.5" style="187"/>
    <col min="6026" max="6026" width="2.33203125" style="187" customWidth="1"/>
    <col min="6027" max="6027" width="7.1640625" style="187" customWidth="1"/>
    <col min="6028" max="6028" width="8.83203125" style="187" customWidth="1"/>
    <col min="6029" max="6029" width="71.5" style="187" customWidth="1"/>
    <col min="6030" max="6030" width="23.1640625" style="187" customWidth="1"/>
    <col min="6031" max="6031" width="19" style="187" customWidth="1"/>
    <col min="6032" max="6032" width="28.33203125" style="187" customWidth="1"/>
    <col min="6033" max="6033" width="43.83203125" style="187" customWidth="1"/>
    <col min="6034" max="6281" width="11.5" style="187"/>
    <col min="6282" max="6282" width="2.33203125" style="187" customWidth="1"/>
    <col min="6283" max="6283" width="7.1640625" style="187" customWidth="1"/>
    <col min="6284" max="6284" width="8.83203125" style="187" customWidth="1"/>
    <col min="6285" max="6285" width="71.5" style="187" customWidth="1"/>
    <col min="6286" max="6286" width="23.1640625" style="187" customWidth="1"/>
    <col min="6287" max="6287" width="19" style="187" customWidth="1"/>
    <col min="6288" max="6288" width="28.33203125" style="187" customWidth="1"/>
    <col min="6289" max="6289" width="43.83203125" style="187" customWidth="1"/>
    <col min="6290" max="6537" width="11.5" style="187"/>
    <col min="6538" max="6538" width="2.33203125" style="187" customWidth="1"/>
    <col min="6539" max="6539" width="7.1640625" style="187" customWidth="1"/>
    <col min="6540" max="6540" width="8.83203125" style="187" customWidth="1"/>
    <col min="6541" max="6541" width="71.5" style="187" customWidth="1"/>
    <col min="6542" max="6542" width="23.1640625" style="187" customWidth="1"/>
    <col min="6543" max="6543" width="19" style="187" customWidth="1"/>
    <col min="6544" max="6544" width="28.33203125" style="187" customWidth="1"/>
    <col min="6545" max="6545" width="43.83203125" style="187" customWidth="1"/>
    <col min="6546" max="6793" width="11.5" style="187"/>
    <col min="6794" max="6794" width="2.33203125" style="187" customWidth="1"/>
    <col min="6795" max="6795" width="7.1640625" style="187" customWidth="1"/>
    <col min="6796" max="6796" width="8.83203125" style="187" customWidth="1"/>
    <col min="6797" max="6797" width="71.5" style="187" customWidth="1"/>
    <col min="6798" max="6798" width="23.1640625" style="187" customWidth="1"/>
    <col min="6799" max="6799" width="19" style="187" customWidth="1"/>
    <col min="6800" max="6800" width="28.33203125" style="187" customWidth="1"/>
    <col min="6801" max="6801" width="43.83203125" style="187" customWidth="1"/>
    <col min="6802" max="7049" width="11.5" style="187"/>
    <col min="7050" max="7050" width="2.33203125" style="187" customWidth="1"/>
    <col min="7051" max="7051" width="7.1640625" style="187" customWidth="1"/>
    <col min="7052" max="7052" width="8.83203125" style="187" customWidth="1"/>
    <col min="7053" max="7053" width="71.5" style="187" customWidth="1"/>
    <col min="7054" max="7054" width="23.1640625" style="187" customWidth="1"/>
    <col min="7055" max="7055" width="19" style="187" customWidth="1"/>
    <col min="7056" max="7056" width="28.33203125" style="187" customWidth="1"/>
    <col min="7057" max="7057" width="43.83203125" style="187" customWidth="1"/>
    <col min="7058" max="7305" width="11.5" style="187"/>
    <col min="7306" max="7306" width="2.33203125" style="187" customWidth="1"/>
    <col min="7307" max="7307" width="7.1640625" style="187" customWidth="1"/>
    <col min="7308" max="7308" width="8.83203125" style="187" customWidth="1"/>
    <col min="7309" max="7309" width="71.5" style="187" customWidth="1"/>
    <col min="7310" max="7310" width="23.1640625" style="187" customWidth="1"/>
    <col min="7311" max="7311" width="19" style="187" customWidth="1"/>
    <col min="7312" max="7312" width="28.33203125" style="187" customWidth="1"/>
    <col min="7313" max="7313" width="43.83203125" style="187" customWidth="1"/>
    <col min="7314" max="7561" width="11.5" style="187"/>
    <col min="7562" max="7562" width="2.33203125" style="187" customWidth="1"/>
    <col min="7563" max="7563" width="7.1640625" style="187" customWidth="1"/>
    <col min="7564" max="7564" width="8.83203125" style="187" customWidth="1"/>
    <col min="7565" max="7565" width="71.5" style="187" customWidth="1"/>
    <col min="7566" max="7566" width="23.1640625" style="187" customWidth="1"/>
    <col min="7567" max="7567" width="19" style="187" customWidth="1"/>
    <col min="7568" max="7568" width="28.33203125" style="187" customWidth="1"/>
    <col min="7569" max="7569" width="43.83203125" style="187" customWidth="1"/>
    <col min="7570" max="7817" width="11.5" style="187"/>
    <col min="7818" max="7818" width="2.33203125" style="187" customWidth="1"/>
    <col min="7819" max="7819" width="7.1640625" style="187" customWidth="1"/>
    <col min="7820" max="7820" width="8.83203125" style="187" customWidth="1"/>
    <col min="7821" max="7821" width="71.5" style="187" customWidth="1"/>
    <col min="7822" max="7822" width="23.1640625" style="187" customWidth="1"/>
    <col min="7823" max="7823" width="19" style="187" customWidth="1"/>
    <col min="7824" max="7824" width="28.33203125" style="187" customWidth="1"/>
    <col min="7825" max="7825" width="43.83203125" style="187" customWidth="1"/>
    <col min="7826" max="8073" width="11.5" style="187"/>
    <col min="8074" max="8074" width="2.33203125" style="187" customWidth="1"/>
    <col min="8075" max="8075" width="7.1640625" style="187" customWidth="1"/>
    <col min="8076" max="8076" width="8.83203125" style="187" customWidth="1"/>
    <col min="8077" max="8077" width="71.5" style="187" customWidth="1"/>
    <col min="8078" max="8078" width="23.1640625" style="187" customWidth="1"/>
    <col min="8079" max="8079" width="19" style="187" customWidth="1"/>
    <col min="8080" max="8080" width="28.33203125" style="187" customWidth="1"/>
    <col min="8081" max="8081" width="43.83203125" style="187" customWidth="1"/>
    <col min="8082" max="8329" width="11.5" style="187"/>
    <col min="8330" max="8330" width="2.33203125" style="187" customWidth="1"/>
    <col min="8331" max="8331" width="7.1640625" style="187" customWidth="1"/>
    <col min="8332" max="8332" width="8.83203125" style="187" customWidth="1"/>
    <col min="8333" max="8333" width="71.5" style="187" customWidth="1"/>
    <col min="8334" max="8334" width="23.1640625" style="187" customWidth="1"/>
    <col min="8335" max="8335" width="19" style="187" customWidth="1"/>
    <col min="8336" max="8336" width="28.33203125" style="187" customWidth="1"/>
    <col min="8337" max="8337" width="43.83203125" style="187" customWidth="1"/>
    <col min="8338" max="8585" width="11.5" style="187"/>
    <col min="8586" max="8586" width="2.33203125" style="187" customWidth="1"/>
    <col min="8587" max="8587" width="7.1640625" style="187" customWidth="1"/>
    <col min="8588" max="8588" width="8.83203125" style="187" customWidth="1"/>
    <col min="8589" max="8589" width="71.5" style="187" customWidth="1"/>
    <col min="8590" max="8590" width="23.1640625" style="187" customWidth="1"/>
    <col min="8591" max="8591" width="19" style="187" customWidth="1"/>
    <col min="8592" max="8592" width="28.33203125" style="187" customWidth="1"/>
    <col min="8593" max="8593" width="43.83203125" style="187" customWidth="1"/>
    <col min="8594" max="8841" width="11.5" style="187"/>
    <col min="8842" max="8842" width="2.33203125" style="187" customWidth="1"/>
    <col min="8843" max="8843" width="7.1640625" style="187" customWidth="1"/>
    <col min="8844" max="8844" width="8.83203125" style="187" customWidth="1"/>
    <col min="8845" max="8845" width="71.5" style="187" customWidth="1"/>
    <col min="8846" max="8846" width="23.1640625" style="187" customWidth="1"/>
    <col min="8847" max="8847" width="19" style="187" customWidth="1"/>
    <col min="8848" max="8848" width="28.33203125" style="187" customWidth="1"/>
    <col min="8849" max="8849" width="43.83203125" style="187" customWidth="1"/>
    <col min="8850" max="9097" width="11.5" style="187"/>
    <col min="9098" max="9098" width="2.33203125" style="187" customWidth="1"/>
    <col min="9099" max="9099" width="7.1640625" style="187" customWidth="1"/>
    <col min="9100" max="9100" width="8.83203125" style="187" customWidth="1"/>
    <col min="9101" max="9101" width="71.5" style="187" customWidth="1"/>
    <col min="9102" max="9102" width="23.1640625" style="187" customWidth="1"/>
    <col min="9103" max="9103" width="19" style="187" customWidth="1"/>
    <col min="9104" max="9104" width="28.33203125" style="187" customWidth="1"/>
    <col min="9105" max="9105" width="43.83203125" style="187" customWidth="1"/>
    <col min="9106" max="9353" width="11.5" style="187"/>
    <col min="9354" max="9354" width="2.33203125" style="187" customWidth="1"/>
    <col min="9355" max="9355" width="7.1640625" style="187" customWidth="1"/>
    <col min="9356" max="9356" width="8.83203125" style="187" customWidth="1"/>
    <col min="9357" max="9357" width="71.5" style="187" customWidth="1"/>
    <col min="9358" max="9358" width="23.1640625" style="187" customWidth="1"/>
    <col min="9359" max="9359" width="19" style="187" customWidth="1"/>
    <col min="9360" max="9360" width="28.33203125" style="187" customWidth="1"/>
    <col min="9361" max="9361" width="43.83203125" style="187" customWidth="1"/>
    <col min="9362" max="9609" width="11.5" style="187"/>
    <col min="9610" max="9610" width="2.33203125" style="187" customWidth="1"/>
    <col min="9611" max="9611" width="7.1640625" style="187" customWidth="1"/>
    <col min="9612" max="9612" width="8.83203125" style="187" customWidth="1"/>
    <col min="9613" max="9613" width="71.5" style="187" customWidth="1"/>
    <col min="9614" max="9614" width="23.1640625" style="187" customWidth="1"/>
    <col min="9615" max="9615" width="19" style="187" customWidth="1"/>
    <col min="9616" max="9616" width="28.33203125" style="187" customWidth="1"/>
    <col min="9617" max="9617" width="43.83203125" style="187" customWidth="1"/>
    <col min="9618" max="9865" width="11.5" style="187"/>
    <col min="9866" max="9866" width="2.33203125" style="187" customWidth="1"/>
    <col min="9867" max="9867" width="7.1640625" style="187" customWidth="1"/>
    <col min="9868" max="9868" width="8.83203125" style="187" customWidth="1"/>
    <col min="9869" max="9869" width="71.5" style="187" customWidth="1"/>
    <col min="9870" max="9870" width="23.1640625" style="187" customWidth="1"/>
    <col min="9871" max="9871" width="19" style="187" customWidth="1"/>
    <col min="9872" max="9872" width="28.33203125" style="187" customWidth="1"/>
    <col min="9873" max="9873" width="43.83203125" style="187" customWidth="1"/>
    <col min="9874" max="10121" width="11.5" style="187"/>
    <col min="10122" max="10122" width="2.33203125" style="187" customWidth="1"/>
    <col min="10123" max="10123" width="7.1640625" style="187" customWidth="1"/>
    <col min="10124" max="10124" width="8.83203125" style="187" customWidth="1"/>
    <col min="10125" max="10125" width="71.5" style="187" customWidth="1"/>
    <col min="10126" max="10126" width="23.1640625" style="187" customWidth="1"/>
    <col min="10127" max="10127" width="19" style="187" customWidth="1"/>
    <col min="10128" max="10128" width="28.33203125" style="187" customWidth="1"/>
    <col min="10129" max="10129" width="43.83203125" style="187" customWidth="1"/>
    <col min="10130" max="10377" width="11.5" style="187"/>
    <col min="10378" max="10378" width="2.33203125" style="187" customWidth="1"/>
    <col min="10379" max="10379" width="7.1640625" style="187" customWidth="1"/>
    <col min="10380" max="10380" width="8.83203125" style="187" customWidth="1"/>
    <col min="10381" max="10381" width="71.5" style="187" customWidth="1"/>
    <col min="10382" max="10382" width="23.1640625" style="187" customWidth="1"/>
    <col min="10383" max="10383" width="19" style="187" customWidth="1"/>
    <col min="10384" max="10384" width="28.33203125" style="187" customWidth="1"/>
    <col min="10385" max="10385" width="43.83203125" style="187" customWidth="1"/>
    <col min="10386" max="10633" width="11.5" style="187"/>
    <col min="10634" max="10634" width="2.33203125" style="187" customWidth="1"/>
    <col min="10635" max="10635" width="7.1640625" style="187" customWidth="1"/>
    <col min="10636" max="10636" width="8.83203125" style="187" customWidth="1"/>
    <col min="10637" max="10637" width="71.5" style="187" customWidth="1"/>
    <col min="10638" max="10638" width="23.1640625" style="187" customWidth="1"/>
    <col min="10639" max="10639" width="19" style="187" customWidth="1"/>
    <col min="10640" max="10640" width="28.33203125" style="187" customWidth="1"/>
    <col min="10641" max="10641" width="43.83203125" style="187" customWidth="1"/>
    <col min="10642" max="10889" width="11.5" style="187"/>
    <col min="10890" max="10890" width="2.33203125" style="187" customWidth="1"/>
    <col min="10891" max="10891" width="7.1640625" style="187" customWidth="1"/>
    <col min="10892" max="10892" width="8.83203125" style="187" customWidth="1"/>
    <col min="10893" max="10893" width="71.5" style="187" customWidth="1"/>
    <col min="10894" max="10894" width="23.1640625" style="187" customWidth="1"/>
    <col min="10895" max="10895" width="19" style="187" customWidth="1"/>
    <col min="10896" max="10896" width="28.33203125" style="187" customWidth="1"/>
    <col min="10897" max="10897" width="43.83203125" style="187" customWidth="1"/>
    <col min="10898" max="11145" width="11.5" style="187"/>
    <col min="11146" max="11146" width="2.33203125" style="187" customWidth="1"/>
    <col min="11147" max="11147" width="7.1640625" style="187" customWidth="1"/>
    <col min="11148" max="11148" width="8.83203125" style="187" customWidth="1"/>
    <col min="11149" max="11149" width="71.5" style="187" customWidth="1"/>
    <col min="11150" max="11150" width="23.1640625" style="187" customWidth="1"/>
    <col min="11151" max="11151" width="19" style="187" customWidth="1"/>
    <col min="11152" max="11152" width="28.33203125" style="187" customWidth="1"/>
    <col min="11153" max="11153" width="43.83203125" style="187" customWidth="1"/>
    <col min="11154" max="11401" width="11.5" style="187"/>
    <col min="11402" max="11402" width="2.33203125" style="187" customWidth="1"/>
    <col min="11403" max="11403" width="7.1640625" style="187" customWidth="1"/>
    <col min="11404" max="11404" width="8.83203125" style="187" customWidth="1"/>
    <col min="11405" max="11405" width="71.5" style="187" customWidth="1"/>
    <col min="11406" max="11406" width="23.1640625" style="187" customWidth="1"/>
    <col min="11407" max="11407" width="19" style="187" customWidth="1"/>
    <col min="11408" max="11408" width="28.33203125" style="187" customWidth="1"/>
    <col min="11409" max="11409" width="43.83203125" style="187" customWidth="1"/>
    <col min="11410" max="11657" width="11.5" style="187"/>
    <col min="11658" max="11658" width="2.33203125" style="187" customWidth="1"/>
    <col min="11659" max="11659" width="7.1640625" style="187" customWidth="1"/>
    <col min="11660" max="11660" width="8.83203125" style="187" customWidth="1"/>
    <col min="11661" max="11661" width="71.5" style="187" customWidth="1"/>
    <col min="11662" max="11662" width="23.1640625" style="187" customWidth="1"/>
    <col min="11663" max="11663" width="19" style="187" customWidth="1"/>
    <col min="11664" max="11664" width="28.33203125" style="187" customWidth="1"/>
    <col min="11665" max="11665" width="43.83203125" style="187" customWidth="1"/>
    <col min="11666" max="11913" width="11.5" style="187"/>
    <col min="11914" max="11914" width="2.33203125" style="187" customWidth="1"/>
    <col min="11915" max="11915" width="7.1640625" style="187" customWidth="1"/>
    <col min="11916" max="11916" width="8.83203125" style="187" customWidth="1"/>
    <col min="11917" max="11917" width="71.5" style="187" customWidth="1"/>
    <col min="11918" max="11918" width="23.1640625" style="187" customWidth="1"/>
    <col min="11919" max="11919" width="19" style="187" customWidth="1"/>
    <col min="11920" max="11920" width="28.33203125" style="187" customWidth="1"/>
    <col min="11921" max="11921" width="43.83203125" style="187" customWidth="1"/>
    <col min="11922" max="12169" width="11.5" style="187"/>
    <col min="12170" max="12170" width="2.33203125" style="187" customWidth="1"/>
    <col min="12171" max="12171" width="7.1640625" style="187" customWidth="1"/>
    <col min="12172" max="12172" width="8.83203125" style="187" customWidth="1"/>
    <col min="12173" max="12173" width="71.5" style="187" customWidth="1"/>
    <col min="12174" max="12174" width="23.1640625" style="187" customWidth="1"/>
    <col min="12175" max="12175" width="19" style="187" customWidth="1"/>
    <col min="12176" max="12176" width="28.33203125" style="187" customWidth="1"/>
    <col min="12177" max="12177" width="43.83203125" style="187" customWidth="1"/>
    <col min="12178" max="12425" width="11.5" style="187"/>
    <col min="12426" max="12426" width="2.33203125" style="187" customWidth="1"/>
    <col min="12427" max="12427" width="7.1640625" style="187" customWidth="1"/>
    <col min="12428" max="12428" width="8.83203125" style="187" customWidth="1"/>
    <col min="12429" max="12429" width="71.5" style="187" customWidth="1"/>
    <col min="12430" max="12430" width="23.1640625" style="187" customWidth="1"/>
    <col min="12431" max="12431" width="19" style="187" customWidth="1"/>
    <col min="12432" max="12432" width="28.33203125" style="187" customWidth="1"/>
    <col min="12433" max="12433" width="43.83203125" style="187" customWidth="1"/>
    <col min="12434" max="12681" width="11.5" style="187"/>
    <col min="12682" max="12682" width="2.33203125" style="187" customWidth="1"/>
    <col min="12683" max="12683" width="7.1640625" style="187" customWidth="1"/>
    <col min="12684" max="12684" width="8.83203125" style="187" customWidth="1"/>
    <col min="12685" max="12685" width="71.5" style="187" customWidth="1"/>
    <col min="12686" max="12686" width="23.1640625" style="187" customWidth="1"/>
    <col min="12687" max="12687" width="19" style="187" customWidth="1"/>
    <col min="12688" max="12688" width="28.33203125" style="187" customWidth="1"/>
    <col min="12689" max="12689" width="43.83203125" style="187" customWidth="1"/>
    <col min="12690" max="12937" width="11.5" style="187"/>
    <col min="12938" max="12938" width="2.33203125" style="187" customWidth="1"/>
    <col min="12939" max="12939" width="7.1640625" style="187" customWidth="1"/>
    <col min="12940" max="12940" width="8.83203125" style="187" customWidth="1"/>
    <col min="12941" max="12941" width="71.5" style="187" customWidth="1"/>
    <col min="12942" max="12942" width="23.1640625" style="187" customWidth="1"/>
    <col min="12943" max="12943" width="19" style="187" customWidth="1"/>
    <col min="12944" max="12944" width="28.33203125" style="187" customWidth="1"/>
    <col min="12945" max="12945" width="43.83203125" style="187" customWidth="1"/>
    <col min="12946" max="13193" width="11.5" style="187"/>
    <col min="13194" max="13194" width="2.33203125" style="187" customWidth="1"/>
    <col min="13195" max="13195" width="7.1640625" style="187" customWidth="1"/>
    <col min="13196" max="13196" width="8.83203125" style="187" customWidth="1"/>
    <col min="13197" max="13197" width="71.5" style="187" customWidth="1"/>
    <col min="13198" max="13198" width="23.1640625" style="187" customWidth="1"/>
    <col min="13199" max="13199" width="19" style="187" customWidth="1"/>
    <col min="13200" max="13200" width="28.33203125" style="187" customWidth="1"/>
    <col min="13201" max="13201" width="43.83203125" style="187" customWidth="1"/>
    <col min="13202" max="13449" width="11.5" style="187"/>
    <col min="13450" max="13450" width="2.33203125" style="187" customWidth="1"/>
    <col min="13451" max="13451" width="7.1640625" style="187" customWidth="1"/>
    <col min="13452" max="13452" width="8.83203125" style="187" customWidth="1"/>
    <col min="13453" max="13453" width="71.5" style="187" customWidth="1"/>
    <col min="13454" max="13454" width="23.1640625" style="187" customWidth="1"/>
    <col min="13455" max="13455" width="19" style="187" customWidth="1"/>
    <col min="13456" max="13456" width="28.33203125" style="187" customWidth="1"/>
    <col min="13457" max="13457" width="43.83203125" style="187" customWidth="1"/>
    <col min="13458" max="13705" width="11.5" style="187"/>
    <col min="13706" max="13706" width="2.33203125" style="187" customWidth="1"/>
    <col min="13707" max="13707" width="7.1640625" style="187" customWidth="1"/>
    <col min="13708" max="13708" width="8.83203125" style="187" customWidth="1"/>
    <col min="13709" max="13709" width="71.5" style="187" customWidth="1"/>
    <col min="13710" max="13710" width="23.1640625" style="187" customWidth="1"/>
    <col min="13711" max="13711" width="19" style="187" customWidth="1"/>
    <col min="13712" max="13712" width="28.33203125" style="187" customWidth="1"/>
    <col min="13713" max="13713" width="43.83203125" style="187" customWidth="1"/>
    <col min="13714" max="13961" width="11.5" style="187"/>
    <col min="13962" max="13962" width="2.33203125" style="187" customWidth="1"/>
    <col min="13963" max="13963" width="7.1640625" style="187" customWidth="1"/>
    <col min="13964" max="13964" width="8.83203125" style="187" customWidth="1"/>
    <col min="13965" max="13965" width="71.5" style="187" customWidth="1"/>
    <col min="13966" max="13966" width="23.1640625" style="187" customWidth="1"/>
    <col min="13967" max="13967" width="19" style="187" customWidth="1"/>
    <col min="13968" max="13968" width="28.33203125" style="187" customWidth="1"/>
    <col min="13969" max="13969" width="43.83203125" style="187" customWidth="1"/>
    <col min="13970" max="14217" width="11.5" style="187"/>
    <col min="14218" max="14218" width="2.33203125" style="187" customWidth="1"/>
    <col min="14219" max="14219" width="7.1640625" style="187" customWidth="1"/>
    <col min="14220" max="14220" width="8.83203125" style="187" customWidth="1"/>
    <col min="14221" max="14221" width="71.5" style="187" customWidth="1"/>
    <col min="14222" max="14222" width="23.1640625" style="187" customWidth="1"/>
    <col min="14223" max="14223" width="19" style="187" customWidth="1"/>
    <col min="14224" max="14224" width="28.33203125" style="187" customWidth="1"/>
    <col min="14225" max="14225" width="43.83203125" style="187" customWidth="1"/>
    <col min="14226" max="14473" width="11.5" style="187"/>
    <col min="14474" max="14474" width="2.33203125" style="187" customWidth="1"/>
    <col min="14475" max="14475" width="7.1640625" style="187" customWidth="1"/>
    <col min="14476" max="14476" width="8.83203125" style="187" customWidth="1"/>
    <col min="14477" max="14477" width="71.5" style="187" customWidth="1"/>
    <col min="14478" max="14478" width="23.1640625" style="187" customWidth="1"/>
    <col min="14479" max="14479" width="19" style="187" customWidth="1"/>
    <col min="14480" max="14480" width="28.33203125" style="187" customWidth="1"/>
    <col min="14481" max="14481" width="43.83203125" style="187" customWidth="1"/>
    <col min="14482" max="14729" width="11.5" style="187"/>
    <col min="14730" max="14730" width="2.33203125" style="187" customWidth="1"/>
    <col min="14731" max="14731" width="7.1640625" style="187" customWidth="1"/>
    <col min="14732" max="14732" width="8.83203125" style="187" customWidth="1"/>
    <col min="14733" max="14733" width="71.5" style="187" customWidth="1"/>
    <col min="14734" max="14734" width="23.1640625" style="187" customWidth="1"/>
    <col min="14735" max="14735" width="19" style="187" customWidth="1"/>
    <col min="14736" max="14736" width="28.33203125" style="187" customWidth="1"/>
    <col min="14737" max="14737" width="43.83203125" style="187" customWidth="1"/>
    <col min="14738" max="14985" width="11.5" style="187"/>
    <col min="14986" max="14986" width="2.33203125" style="187" customWidth="1"/>
    <col min="14987" max="14987" width="7.1640625" style="187" customWidth="1"/>
    <col min="14988" max="14988" width="8.83203125" style="187" customWidth="1"/>
    <col min="14989" max="14989" width="71.5" style="187" customWidth="1"/>
    <col min="14990" max="14990" width="23.1640625" style="187" customWidth="1"/>
    <col min="14991" max="14991" width="19" style="187" customWidth="1"/>
    <col min="14992" max="14992" width="28.33203125" style="187" customWidth="1"/>
    <col min="14993" max="14993" width="43.83203125" style="187" customWidth="1"/>
    <col min="14994" max="15241" width="11.5" style="187"/>
    <col min="15242" max="15242" width="2.33203125" style="187" customWidth="1"/>
    <col min="15243" max="15243" width="7.1640625" style="187" customWidth="1"/>
    <col min="15244" max="15244" width="8.83203125" style="187" customWidth="1"/>
    <col min="15245" max="15245" width="71.5" style="187" customWidth="1"/>
    <col min="15246" max="15246" width="23.1640625" style="187" customWidth="1"/>
    <col min="15247" max="15247" width="19" style="187" customWidth="1"/>
    <col min="15248" max="15248" width="28.33203125" style="187" customWidth="1"/>
    <col min="15249" max="15249" width="43.83203125" style="187" customWidth="1"/>
    <col min="15250" max="15497" width="11.5" style="187"/>
    <col min="15498" max="15498" width="2.33203125" style="187" customWidth="1"/>
    <col min="15499" max="15499" width="7.1640625" style="187" customWidth="1"/>
    <col min="15500" max="15500" width="8.83203125" style="187" customWidth="1"/>
    <col min="15501" max="15501" width="71.5" style="187" customWidth="1"/>
    <col min="15502" max="15502" width="23.1640625" style="187" customWidth="1"/>
    <col min="15503" max="15503" width="19" style="187" customWidth="1"/>
    <col min="15504" max="15504" width="28.33203125" style="187" customWidth="1"/>
    <col min="15505" max="15505" width="43.83203125" style="187" customWidth="1"/>
    <col min="15506" max="15753" width="11.5" style="187"/>
    <col min="15754" max="15754" width="2.33203125" style="187" customWidth="1"/>
    <col min="15755" max="15755" width="7.1640625" style="187" customWidth="1"/>
    <col min="15756" max="15756" width="8.83203125" style="187" customWidth="1"/>
    <col min="15757" max="15757" width="71.5" style="187" customWidth="1"/>
    <col min="15758" max="15758" width="23.1640625" style="187" customWidth="1"/>
    <col min="15759" max="15759" width="19" style="187" customWidth="1"/>
    <col min="15760" max="15760" width="28.33203125" style="187" customWidth="1"/>
    <col min="15761" max="15761" width="43.83203125" style="187" customWidth="1"/>
    <col min="15762" max="16384" width="11.5" style="187"/>
  </cols>
  <sheetData>
    <row r="1" spans="2:94" ht="17" thickBot="1"/>
    <row r="2" spans="2:94" ht="16.5" customHeight="1" thickTop="1" thickBot="1">
      <c r="M2" s="768">
        <v>1</v>
      </c>
      <c r="N2" s="770" t="s">
        <v>3</v>
      </c>
      <c r="O2" s="771"/>
      <c r="P2" s="770" t="str">
        <f>VLOOKUP(M2,LISTA_OFERENTES,2,FALSE)</f>
        <v>KER INGENIERIA S.A.S.</v>
      </c>
      <c r="Q2" s="774"/>
      <c r="R2" s="774"/>
      <c r="S2" s="774"/>
      <c r="T2" s="774"/>
      <c r="U2" s="774"/>
      <c r="V2" s="771"/>
      <c r="AH2" s="768">
        <v>2</v>
      </c>
      <c r="AI2" s="770" t="s">
        <v>3</v>
      </c>
      <c r="AJ2" s="771"/>
      <c r="AK2" s="770" t="str">
        <f>VLOOKUP(AH2,LISTA_OFERENTES,2,FALSE)</f>
        <v>UNIÓN TEMPORAL SUPERVISOR 2021</v>
      </c>
      <c r="AL2" s="774"/>
      <c r="AM2" s="774"/>
      <c r="AN2" s="774"/>
      <c r="AO2" s="774"/>
      <c r="AP2" s="774"/>
      <c r="AQ2" s="771"/>
      <c r="AR2" s="71"/>
      <c r="AS2" s="71"/>
      <c r="AT2" s="71"/>
      <c r="AU2" s="71"/>
      <c r="AV2" s="71"/>
      <c r="AW2" s="71"/>
      <c r="AX2" s="71"/>
      <c r="AY2" s="71"/>
      <c r="AZ2" s="71"/>
      <c r="BC2" s="768">
        <v>3</v>
      </c>
      <c r="BD2" s="770" t="s">
        <v>3</v>
      </c>
      <c r="BE2" s="771"/>
      <c r="BF2" s="770" t="str">
        <f>VLOOKUP(BC2,LISTA_OFERENTES,2,FALSE)</f>
        <v>PreVeo S.A.S.</v>
      </c>
      <c r="BG2" s="774"/>
      <c r="BH2" s="774"/>
      <c r="BI2" s="774"/>
      <c r="BJ2" s="774"/>
      <c r="BK2" s="774"/>
      <c r="BL2" s="771"/>
      <c r="BM2" s="71"/>
      <c r="BN2" s="71"/>
      <c r="BO2" s="71"/>
      <c r="BP2" s="71"/>
      <c r="BQ2" s="71"/>
      <c r="BR2" s="71"/>
      <c r="BS2" s="71"/>
      <c r="BT2" s="71"/>
      <c r="BU2" s="71"/>
      <c r="BX2" s="768">
        <v>4</v>
      </c>
      <c r="BY2" s="770" t="s">
        <v>3</v>
      </c>
      <c r="BZ2" s="771"/>
      <c r="CA2" s="770" t="str">
        <f>VLOOKUP(BX2,LISTA_OFERENTES,2,FALSE)</f>
        <v>INTERVE S.A.S.</v>
      </c>
      <c r="CB2" s="774"/>
      <c r="CC2" s="774"/>
      <c r="CD2" s="774"/>
      <c r="CE2" s="774"/>
      <c r="CF2" s="774"/>
      <c r="CG2" s="771"/>
      <c r="CH2" s="71"/>
      <c r="CI2" s="71"/>
      <c r="CJ2" s="71"/>
      <c r="CK2" s="71"/>
      <c r="CL2" s="71"/>
      <c r="CM2" s="71"/>
      <c r="CN2" s="71"/>
      <c r="CO2" s="71"/>
      <c r="CP2" s="71"/>
    </row>
    <row r="3" spans="2:94" ht="19.5" customHeight="1" thickTop="1" thickBot="1">
      <c r="B3" s="821" t="s">
        <v>210</v>
      </c>
      <c r="C3" s="821"/>
      <c r="D3" s="821"/>
      <c r="E3" s="821"/>
      <c r="F3" s="821"/>
      <c r="G3" s="821"/>
      <c r="H3" s="821"/>
      <c r="I3" s="821"/>
      <c r="J3" s="821"/>
      <c r="K3" s="821"/>
      <c r="M3" s="769"/>
      <c r="N3" s="772"/>
      <c r="O3" s="773"/>
      <c r="P3" s="772"/>
      <c r="Q3" s="775"/>
      <c r="R3" s="775"/>
      <c r="S3" s="775"/>
      <c r="T3" s="775"/>
      <c r="U3" s="775"/>
      <c r="V3" s="773"/>
      <c r="W3" s="776" t="s">
        <v>94</v>
      </c>
      <c r="X3" s="776" t="s">
        <v>95</v>
      </c>
      <c r="Y3" s="776" t="s">
        <v>96</v>
      </c>
      <c r="Z3" s="776" t="s">
        <v>97</v>
      </c>
      <c r="AA3" s="788" t="s">
        <v>98</v>
      </c>
      <c r="AB3" s="788" t="s">
        <v>99</v>
      </c>
      <c r="AC3" s="776" t="s">
        <v>64</v>
      </c>
      <c r="AD3" s="776" t="s">
        <v>65</v>
      </c>
      <c r="AE3" s="776" t="s">
        <v>66</v>
      </c>
      <c r="AH3" s="769"/>
      <c r="AI3" s="772"/>
      <c r="AJ3" s="773"/>
      <c r="AK3" s="772"/>
      <c r="AL3" s="775"/>
      <c r="AM3" s="775"/>
      <c r="AN3" s="775"/>
      <c r="AO3" s="775"/>
      <c r="AP3" s="775"/>
      <c r="AQ3" s="773"/>
      <c r="AR3" s="776" t="s">
        <v>94</v>
      </c>
      <c r="AS3" s="776" t="s">
        <v>95</v>
      </c>
      <c r="AT3" s="776" t="s">
        <v>96</v>
      </c>
      <c r="AU3" s="776" t="s">
        <v>97</v>
      </c>
      <c r="AV3" s="788" t="s">
        <v>98</v>
      </c>
      <c r="AW3" s="788" t="s">
        <v>99</v>
      </c>
      <c r="AX3" s="776" t="s">
        <v>64</v>
      </c>
      <c r="AY3" s="776" t="s">
        <v>65</v>
      </c>
      <c r="AZ3" s="776" t="s">
        <v>66</v>
      </c>
      <c r="BC3" s="769"/>
      <c r="BD3" s="772"/>
      <c r="BE3" s="773"/>
      <c r="BF3" s="772"/>
      <c r="BG3" s="775"/>
      <c r="BH3" s="775"/>
      <c r="BI3" s="775"/>
      <c r="BJ3" s="775"/>
      <c r="BK3" s="775"/>
      <c r="BL3" s="773"/>
      <c r="BM3" s="776" t="s">
        <v>94</v>
      </c>
      <c r="BN3" s="776" t="s">
        <v>95</v>
      </c>
      <c r="BO3" s="776" t="s">
        <v>96</v>
      </c>
      <c r="BP3" s="776" t="s">
        <v>97</v>
      </c>
      <c r="BQ3" s="788" t="s">
        <v>98</v>
      </c>
      <c r="BR3" s="788" t="s">
        <v>99</v>
      </c>
      <c r="BS3" s="776" t="s">
        <v>64</v>
      </c>
      <c r="BT3" s="776" t="s">
        <v>65</v>
      </c>
      <c r="BU3" s="776" t="s">
        <v>66</v>
      </c>
      <c r="BX3" s="769"/>
      <c r="BY3" s="772"/>
      <c r="BZ3" s="773"/>
      <c r="CA3" s="772"/>
      <c r="CB3" s="775"/>
      <c r="CC3" s="775"/>
      <c r="CD3" s="775"/>
      <c r="CE3" s="775"/>
      <c r="CF3" s="775"/>
      <c r="CG3" s="773"/>
      <c r="CH3" s="776" t="s">
        <v>94</v>
      </c>
      <c r="CI3" s="776" t="s">
        <v>95</v>
      </c>
      <c r="CJ3" s="776" t="s">
        <v>96</v>
      </c>
      <c r="CK3" s="776" t="s">
        <v>97</v>
      </c>
      <c r="CL3" s="788" t="s">
        <v>98</v>
      </c>
      <c r="CM3" s="788" t="s">
        <v>99</v>
      </c>
      <c r="CN3" s="776" t="s">
        <v>64</v>
      </c>
      <c r="CO3" s="776" t="s">
        <v>65</v>
      </c>
      <c r="CP3" s="776" t="s">
        <v>66</v>
      </c>
    </row>
    <row r="4" spans="2:94" ht="37.5" customHeight="1" thickTop="1" thickBot="1">
      <c r="B4" s="794" t="s">
        <v>63</v>
      </c>
      <c r="C4" s="795"/>
      <c r="D4" s="796"/>
      <c r="E4" s="822" t="s">
        <v>0</v>
      </c>
      <c r="F4" s="823"/>
      <c r="G4" s="823"/>
      <c r="H4" s="823"/>
      <c r="I4" s="823"/>
      <c r="J4" s="823"/>
      <c r="K4" s="824"/>
      <c r="M4" s="794"/>
      <c r="N4" s="795"/>
      <c r="O4" s="796"/>
      <c r="P4" s="822" t="s">
        <v>0</v>
      </c>
      <c r="Q4" s="823"/>
      <c r="R4" s="823"/>
      <c r="S4" s="823"/>
      <c r="T4" s="823"/>
      <c r="U4" s="823"/>
      <c r="V4" s="824"/>
      <c r="W4" s="777"/>
      <c r="X4" s="777"/>
      <c r="Y4" s="777"/>
      <c r="Z4" s="777"/>
      <c r="AA4" s="789"/>
      <c r="AB4" s="789"/>
      <c r="AC4" s="777"/>
      <c r="AD4" s="777"/>
      <c r="AE4" s="777"/>
      <c r="AH4" s="794"/>
      <c r="AI4" s="795"/>
      <c r="AJ4" s="796"/>
      <c r="AK4" s="822" t="s">
        <v>0</v>
      </c>
      <c r="AL4" s="823"/>
      <c r="AM4" s="823"/>
      <c r="AN4" s="823"/>
      <c r="AO4" s="823"/>
      <c r="AP4" s="823"/>
      <c r="AQ4" s="824"/>
      <c r="AR4" s="777"/>
      <c r="AS4" s="777"/>
      <c r="AT4" s="777"/>
      <c r="AU4" s="777"/>
      <c r="AV4" s="789"/>
      <c r="AW4" s="789"/>
      <c r="AX4" s="777"/>
      <c r="AY4" s="777"/>
      <c r="AZ4" s="777"/>
      <c r="BC4" s="794"/>
      <c r="BD4" s="795"/>
      <c r="BE4" s="796"/>
      <c r="BF4" s="822" t="s">
        <v>0</v>
      </c>
      <c r="BG4" s="823"/>
      <c r="BH4" s="823"/>
      <c r="BI4" s="823"/>
      <c r="BJ4" s="823"/>
      <c r="BK4" s="823"/>
      <c r="BL4" s="824"/>
      <c r="BM4" s="777"/>
      <c r="BN4" s="777"/>
      <c r="BO4" s="777"/>
      <c r="BP4" s="777"/>
      <c r="BQ4" s="789"/>
      <c r="BR4" s="789"/>
      <c r="BS4" s="777"/>
      <c r="BT4" s="777"/>
      <c r="BU4" s="777"/>
      <c r="BX4" s="794"/>
      <c r="BY4" s="795"/>
      <c r="BZ4" s="796"/>
      <c r="CA4" s="822" t="s">
        <v>0</v>
      </c>
      <c r="CB4" s="823"/>
      <c r="CC4" s="823"/>
      <c r="CD4" s="823"/>
      <c r="CE4" s="823"/>
      <c r="CF4" s="823"/>
      <c r="CG4" s="824"/>
      <c r="CH4" s="777"/>
      <c r="CI4" s="777"/>
      <c r="CJ4" s="777"/>
      <c r="CK4" s="777"/>
      <c r="CL4" s="789"/>
      <c r="CM4" s="789"/>
      <c r="CN4" s="777"/>
      <c r="CO4" s="777"/>
      <c r="CP4" s="777"/>
    </row>
    <row r="5" spans="2:94" ht="19.5" customHeight="1" thickTop="1">
      <c r="B5" s="797"/>
      <c r="C5" s="798"/>
      <c r="D5" s="799"/>
      <c r="E5" s="825"/>
      <c r="F5" s="826"/>
      <c r="G5" s="826"/>
      <c r="H5" s="827"/>
      <c r="I5" s="827"/>
      <c r="J5" s="827"/>
      <c r="K5" s="828"/>
      <c r="M5" s="797"/>
      <c r="N5" s="798"/>
      <c r="O5" s="799"/>
      <c r="P5" s="839"/>
      <c r="Q5" s="840"/>
      <c r="R5" s="840"/>
      <c r="S5" s="840"/>
      <c r="T5" s="840"/>
      <c r="U5" s="840"/>
      <c r="V5" s="841"/>
      <c r="W5" s="777"/>
      <c r="X5" s="777"/>
      <c r="Y5" s="777"/>
      <c r="Z5" s="777"/>
      <c r="AA5" s="789"/>
      <c r="AB5" s="789"/>
      <c r="AC5" s="777"/>
      <c r="AD5" s="777"/>
      <c r="AE5" s="777"/>
      <c r="AH5" s="797"/>
      <c r="AI5" s="798"/>
      <c r="AJ5" s="799"/>
      <c r="AK5" s="839"/>
      <c r="AL5" s="840"/>
      <c r="AM5" s="840"/>
      <c r="AN5" s="840"/>
      <c r="AO5" s="840"/>
      <c r="AP5" s="840"/>
      <c r="AQ5" s="841"/>
      <c r="AR5" s="777"/>
      <c r="AS5" s="777"/>
      <c r="AT5" s="777"/>
      <c r="AU5" s="777"/>
      <c r="AV5" s="789"/>
      <c r="AW5" s="789"/>
      <c r="AX5" s="777"/>
      <c r="AY5" s="777"/>
      <c r="AZ5" s="777"/>
      <c r="BC5" s="797"/>
      <c r="BD5" s="798"/>
      <c r="BE5" s="799"/>
      <c r="BF5" s="839"/>
      <c r="BG5" s="840"/>
      <c r="BH5" s="840"/>
      <c r="BI5" s="840"/>
      <c r="BJ5" s="840"/>
      <c r="BK5" s="840"/>
      <c r="BL5" s="841"/>
      <c r="BM5" s="777"/>
      <c r="BN5" s="777"/>
      <c r="BO5" s="777"/>
      <c r="BP5" s="777"/>
      <c r="BQ5" s="789"/>
      <c r="BR5" s="789"/>
      <c r="BS5" s="777"/>
      <c r="BT5" s="777"/>
      <c r="BU5" s="777"/>
      <c r="BX5" s="797"/>
      <c r="BY5" s="798"/>
      <c r="BZ5" s="799"/>
      <c r="CA5" s="839"/>
      <c r="CB5" s="840"/>
      <c r="CC5" s="840"/>
      <c r="CD5" s="840"/>
      <c r="CE5" s="840"/>
      <c r="CF5" s="840"/>
      <c r="CG5" s="841"/>
      <c r="CH5" s="777"/>
      <c r="CI5" s="777"/>
      <c r="CJ5" s="777"/>
      <c r="CK5" s="777"/>
      <c r="CL5" s="789"/>
      <c r="CM5" s="789"/>
      <c r="CN5" s="777"/>
      <c r="CO5" s="777"/>
      <c r="CP5" s="777"/>
    </row>
    <row r="6" spans="2:94" ht="19.5" customHeight="1" thickBot="1">
      <c r="B6" s="797"/>
      <c r="C6" s="798"/>
      <c r="D6" s="799"/>
      <c r="E6" s="829"/>
      <c r="F6" s="830"/>
      <c r="G6" s="830"/>
      <c r="H6" s="831"/>
      <c r="I6" s="831"/>
      <c r="J6" s="831"/>
      <c r="K6" s="832"/>
      <c r="M6" s="797"/>
      <c r="N6" s="798"/>
      <c r="O6" s="799"/>
      <c r="P6" s="842"/>
      <c r="Q6" s="843"/>
      <c r="R6" s="843"/>
      <c r="S6" s="843"/>
      <c r="T6" s="843"/>
      <c r="U6" s="843"/>
      <c r="V6" s="844"/>
      <c r="W6" s="777"/>
      <c r="X6" s="777"/>
      <c r="Y6" s="777"/>
      <c r="Z6" s="777"/>
      <c r="AA6" s="789"/>
      <c r="AB6" s="789"/>
      <c r="AC6" s="777"/>
      <c r="AD6" s="777"/>
      <c r="AE6" s="777"/>
      <c r="AH6" s="797"/>
      <c r="AI6" s="798"/>
      <c r="AJ6" s="799"/>
      <c r="AK6" s="842"/>
      <c r="AL6" s="843"/>
      <c r="AM6" s="843"/>
      <c r="AN6" s="843"/>
      <c r="AO6" s="843"/>
      <c r="AP6" s="843"/>
      <c r="AQ6" s="844"/>
      <c r="AR6" s="777"/>
      <c r="AS6" s="777"/>
      <c r="AT6" s="777"/>
      <c r="AU6" s="777"/>
      <c r="AV6" s="789"/>
      <c r="AW6" s="789"/>
      <c r="AX6" s="777"/>
      <c r="AY6" s="777"/>
      <c r="AZ6" s="777"/>
      <c r="BC6" s="797"/>
      <c r="BD6" s="798"/>
      <c r="BE6" s="799"/>
      <c r="BF6" s="842"/>
      <c r="BG6" s="843"/>
      <c r="BH6" s="843"/>
      <c r="BI6" s="843"/>
      <c r="BJ6" s="843"/>
      <c r="BK6" s="843"/>
      <c r="BL6" s="844"/>
      <c r="BM6" s="777"/>
      <c r="BN6" s="777"/>
      <c r="BO6" s="777"/>
      <c r="BP6" s="777"/>
      <c r="BQ6" s="789"/>
      <c r="BR6" s="789"/>
      <c r="BS6" s="777"/>
      <c r="BT6" s="777"/>
      <c r="BU6" s="777"/>
      <c r="BX6" s="797"/>
      <c r="BY6" s="798"/>
      <c r="BZ6" s="799"/>
      <c r="CA6" s="842"/>
      <c r="CB6" s="843"/>
      <c r="CC6" s="843"/>
      <c r="CD6" s="843"/>
      <c r="CE6" s="843"/>
      <c r="CF6" s="843"/>
      <c r="CG6" s="844"/>
      <c r="CH6" s="777"/>
      <c r="CI6" s="777"/>
      <c r="CJ6" s="777"/>
      <c r="CK6" s="777"/>
      <c r="CL6" s="789"/>
      <c r="CM6" s="789"/>
      <c r="CN6" s="777"/>
      <c r="CO6" s="777"/>
      <c r="CP6" s="777"/>
    </row>
    <row r="7" spans="2:94" ht="19.5" customHeight="1" thickTop="1">
      <c r="B7" s="797"/>
      <c r="C7" s="798"/>
      <c r="D7" s="799"/>
      <c r="E7" s="833"/>
      <c r="F7" s="834"/>
      <c r="G7" s="834"/>
      <c r="H7" s="834"/>
      <c r="I7" s="834"/>
      <c r="J7" s="834"/>
      <c r="K7" s="835"/>
      <c r="M7" s="797"/>
      <c r="N7" s="798"/>
      <c r="O7" s="799"/>
      <c r="P7" s="833"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 la Nueva Infraestructura Ciudadela Luis Javier Arroyave Morales etapa 1, ubicada en el Municipio de Medellín.</v>
      </c>
      <c r="Q7" s="834"/>
      <c r="R7" s="834"/>
      <c r="S7" s="834"/>
      <c r="T7" s="834"/>
      <c r="U7" s="834"/>
      <c r="V7" s="835"/>
      <c r="W7" s="777"/>
      <c r="X7" s="777"/>
      <c r="Y7" s="777"/>
      <c r="Z7" s="777"/>
      <c r="AA7" s="789"/>
      <c r="AB7" s="789"/>
      <c r="AC7" s="777"/>
      <c r="AD7" s="777"/>
      <c r="AE7" s="777"/>
      <c r="AH7" s="797"/>
      <c r="AI7" s="798"/>
      <c r="AJ7" s="799"/>
      <c r="AK7" s="833"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 la Nueva Infraestructura Ciudadela Luis Javier Arroyave Morales etapa 1, ubicada en el Municipio de Medellín.</v>
      </c>
      <c r="AL7" s="834"/>
      <c r="AM7" s="834"/>
      <c r="AN7" s="834"/>
      <c r="AO7" s="834"/>
      <c r="AP7" s="834"/>
      <c r="AQ7" s="835"/>
      <c r="AR7" s="777"/>
      <c r="AS7" s="777"/>
      <c r="AT7" s="777"/>
      <c r="AU7" s="777"/>
      <c r="AV7" s="789"/>
      <c r="AW7" s="789"/>
      <c r="AX7" s="777"/>
      <c r="AY7" s="777"/>
      <c r="AZ7" s="777"/>
      <c r="BC7" s="797"/>
      <c r="BD7" s="798"/>
      <c r="BE7" s="799"/>
      <c r="BF7" s="833"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 la Nueva Infraestructura Ciudadela Luis Javier Arroyave Morales etapa 1, ubicada en el Municipio de Medellín.</v>
      </c>
      <c r="BG7" s="834"/>
      <c r="BH7" s="834"/>
      <c r="BI7" s="834"/>
      <c r="BJ7" s="834"/>
      <c r="BK7" s="834"/>
      <c r="BL7" s="835"/>
      <c r="BM7" s="777"/>
      <c r="BN7" s="777"/>
      <c r="BO7" s="777"/>
      <c r="BP7" s="777"/>
      <c r="BQ7" s="789"/>
      <c r="BR7" s="789"/>
      <c r="BS7" s="777"/>
      <c r="BT7" s="777"/>
      <c r="BU7" s="777"/>
      <c r="BX7" s="797"/>
      <c r="BY7" s="798"/>
      <c r="BZ7" s="799"/>
      <c r="CA7" s="833"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 la Nueva Infraestructura Ciudadela Luis Javier Arroyave Morales etapa 1, ubicada en el Municipio de Medellín.</v>
      </c>
      <c r="CB7" s="834"/>
      <c r="CC7" s="834"/>
      <c r="CD7" s="834"/>
      <c r="CE7" s="834"/>
      <c r="CF7" s="834"/>
      <c r="CG7" s="835"/>
      <c r="CH7" s="777"/>
      <c r="CI7" s="777"/>
      <c r="CJ7" s="777"/>
      <c r="CK7" s="777"/>
      <c r="CL7" s="789"/>
      <c r="CM7" s="789"/>
      <c r="CN7" s="777"/>
      <c r="CO7" s="777"/>
      <c r="CP7" s="777"/>
    </row>
    <row r="8" spans="2:94" ht="149.25" customHeight="1" thickBot="1">
      <c r="B8" s="800"/>
      <c r="C8" s="801"/>
      <c r="D8" s="802"/>
      <c r="E8" s="836"/>
      <c r="F8" s="837"/>
      <c r="G8" s="837"/>
      <c r="H8" s="837"/>
      <c r="I8" s="837"/>
      <c r="J8" s="837"/>
      <c r="K8" s="838"/>
      <c r="M8" s="800"/>
      <c r="N8" s="801"/>
      <c r="O8" s="802"/>
      <c r="P8" s="836"/>
      <c r="Q8" s="837"/>
      <c r="R8" s="837"/>
      <c r="S8" s="837"/>
      <c r="T8" s="837"/>
      <c r="U8" s="837"/>
      <c r="V8" s="838"/>
      <c r="W8" s="777"/>
      <c r="X8" s="777"/>
      <c r="Y8" s="777"/>
      <c r="Z8" s="777"/>
      <c r="AA8" s="789"/>
      <c r="AB8" s="789"/>
      <c r="AC8" s="777"/>
      <c r="AD8" s="777"/>
      <c r="AE8" s="777"/>
      <c r="AH8" s="800"/>
      <c r="AI8" s="801"/>
      <c r="AJ8" s="802"/>
      <c r="AK8" s="836"/>
      <c r="AL8" s="837"/>
      <c r="AM8" s="837"/>
      <c r="AN8" s="837"/>
      <c r="AO8" s="837"/>
      <c r="AP8" s="837"/>
      <c r="AQ8" s="838"/>
      <c r="AR8" s="777"/>
      <c r="AS8" s="777"/>
      <c r="AT8" s="777"/>
      <c r="AU8" s="777"/>
      <c r="AV8" s="789"/>
      <c r="AW8" s="789"/>
      <c r="AX8" s="777"/>
      <c r="AY8" s="777"/>
      <c r="AZ8" s="777"/>
      <c r="BC8" s="800"/>
      <c r="BD8" s="801"/>
      <c r="BE8" s="802"/>
      <c r="BF8" s="836"/>
      <c r="BG8" s="837"/>
      <c r="BH8" s="837"/>
      <c r="BI8" s="837"/>
      <c r="BJ8" s="837"/>
      <c r="BK8" s="837"/>
      <c r="BL8" s="838"/>
      <c r="BM8" s="777"/>
      <c r="BN8" s="777"/>
      <c r="BO8" s="777"/>
      <c r="BP8" s="777"/>
      <c r="BQ8" s="789"/>
      <c r="BR8" s="789"/>
      <c r="BS8" s="777"/>
      <c r="BT8" s="777"/>
      <c r="BU8" s="777"/>
      <c r="BX8" s="800"/>
      <c r="BY8" s="801"/>
      <c r="BZ8" s="802"/>
      <c r="CA8" s="836"/>
      <c r="CB8" s="837"/>
      <c r="CC8" s="837"/>
      <c r="CD8" s="837"/>
      <c r="CE8" s="837"/>
      <c r="CF8" s="837"/>
      <c r="CG8" s="838"/>
      <c r="CH8" s="777"/>
      <c r="CI8" s="777"/>
      <c r="CJ8" s="777"/>
      <c r="CK8" s="777"/>
      <c r="CL8" s="789"/>
      <c r="CM8" s="789"/>
      <c r="CN8" s="777"/>
      <c r="CO8" s="777"/>
      <c r="CP8" s="777"/>
    </row>
    <row r="9" spans="2:94" ht="57" customHeight="1" thickTop="1">
      <c r="B9" s="319" t="s">
        <v>93</v>
      </c>
      <c r="C9" s="320"/>
      <c r="D9" s="321" t="s">
        <v>214</v>
      </c>
      <c r="E9" s="322" t="s">
        <v>215</v>
      </c>
      <c r="F9" s="323" t="s">
        <v>216</v>
      </c>
      <c r="G9" s="323" t="s">
        <v>217</v>
      </c>
      <c r="H9" s="323" t="s">
        <v>218</v>
      </c>
      <c r="I9" s="323" t="s">
        <v>219</v>
      </c>
      <c r="J9" s="323" t="s">
        <v>220</v>
      </c>
      <c r="K9" s="324" t="s">
        <v>221</v>
      </c>
      <c r="M9" s="409" t="s">
        <v>93</v>
      </c>
      <c r="N9" s="320"/>
      <c r="O9" s="321" t="s">
        <v>214</v>
      </c>
      <c r="P9" s="322" t="s">
        <v>215</v>
      </c>
      <c r="Q9" s="323" t="s">
        <v>216</v>
      </c>
      <c r="R9" s="323" t="s">
        <v>217</v>
      </c>
      <c r="S9" s="323" t="s">
        <v>218</v>
      </c>
      <c r="T9" s="323" t="s">
        <v>219</v>
      </c>
      <c r="U9" s="323" t="s">
        <v>220</v>
      </c>
      <c r="V9" s="410" t="s">
        <v>221</v>
      </c>
      <c r="W9" s="777"/>
      <c r="X9" s="777"/>
      <c r="Y9" s="777"/>
      <c r="Z9" s="777"/>
      <c r="AA9" s="789"/>
      <c r="AB9" s="789"/>
      <c r="AC9" s="777"/>
      <c r="AD9" s="777"/>
      <c r="AE9" s="777"/>
      <c r="AH9" s="409"/>
      <c r="AI9" s="320"/>
      <c r="AJ9" s="321"/>
      <c r="AK9" s="322"/>
      <c r="AL9" s="323"/>
      <c r="AM9" s="323"/>
      <c r="AN9" s="323"/>
      <c r="AO9" s="323"/>
      <c r="AP9" s="323"/>
      <c r="AQ9" s="410"/>
      <c r="AR9" s="777"/>
      <c r="AS9" s="777"/>
      <c r="AT9" s="777"/>
      <c r="AU9" s="777"/>
      <c r="AV9" s="789"/>
      <c r="AW9" s="789"/>
      <c r="AX9" s="777"/>
      <c r="AY9" s="777"/>
      <c r="AZ9" s="777"/>
      <c r="BC9" s="319" t="s">
        <v>93</v>
      </c>
      <c r="BD9" s="320"/>
      <c r="BE9" s="321" t="s">
        <v>214</v>
      </c>
      <c r="BF9" s="322" t="s">
        <v>215</v>
      </c>
      <c r="BG9" s="323" t="s">
        <v>216</v>
      </c>
      <c r="BH9" s="323" t="s">
        <v>217</v>
      </c>
      <c r="BI9" s="323" t="s">
        <v>218</v>
      </c>
      <c r="BJ9" s="323" t="s">
        <v>219</v>
      </c>
      <c r="BK9" s="323" t="s">
        <v>220</v>
      </c>
      <c r="BL9" s="324" t="s">
        <v>221</v>
      </c>
      <c r="BM9" s="777"/>
      <c r="BN9" s="777"/>
      <c r="BO9" s="777"/>
      <c r="BP9" s="777"/>
      <c r="BQ9" s="789"/>
      <c r="BR9" s="789"/>
      <c r="BS9" s="777"/>
      <c r="BT9" s="777"/>
      <c r="BU9" s="777"/>
      <c r="BX9" s="319" t="s">
        <v>93</v>
      </c>
      <c r="BY9" s="320"/>
      <c r="BZ9" s="321" t="s">
        <v>214</v>
      </c>
      <c r="CA9" s="322" t="s">
        <v>215</v>
      </c>
      <c r="CB9" s="323" t="s">
        <v>216</v>
      </c>
      <c r="CC9" s="323" t="s">
        <v>217</v>
      </c>
      <c r="CD9" s="323" t="s">
        <v>218</v>
      </c>
      <c r="CE9" s="323" t="s">
        <v>219</v>
      </c>
      <c r="CF9" s="323" t="s">
        <v>220</v>
      </c>
      <c r="CG9" s="324" t="s">
        <v>221</v>
      </c>
      <c r="CH9" s="777"/>
      <c r="CI9" s="777"/>
      <c r="CJ9" s="777"/>
      <c r="CK9" s="777"/>
      <c r="CL9" s="789"/>
      <c r="CM9" s="789"/>
      <c r="CN9" s="777"/>
      <c r="CO9" s="777"/>
      <c r="CP9" s="777"/>
    </row>
    <row r="10" spans="2:94" ht="17" thickBot="1">
      <c r="B10" s="392" t="s">
        <v>248</v>
      </c>
      <c r="C10" s="392" t="s">
        <v>249</v>
      </c>
      <c r="D10" s="812" t="s">
        <v>250</v>
      </c>
      <c r="E10" s="813"/>
      <c r="F10" s="813"/>
      <c r="G10" s="813"/>
      <c r="H10" s="813"/>
      <c r="I10" s="813"/>
      <c r="J10" s="813"/>
      <c r="K10" s="813"/>
      <c r="M10" s="411" t="s">
        <v>248</v>
      </c>
      <c r="N10" s="392" t="s">
        <v>249</v>
      </c>
      <c r="O10" s="812" t="s">
        <v>250</v>
      </c>
      <c r="P10" s="813"/>
      <c r="Q10" s="813"/>
      <c r="R10" s="813"/>
      <c r="S10" s="813"/>
      <c r="T10" s="813"/>
      <c r="U10" s="813"/>
      <c r="V10" s="814"/>
      <c r="W10" s="778"/>
      <c r="X10" s="778"/>
      <c r="Y10" s="778"/>
      <c r="Z10" s="778"/>
      <c r="AA10" s="790"/>
      <c r="AB10" s="790"/>
      <c r="AC10" s="778"/>
      <c r="AD10" s="778"/>
      <c r="AE10" s="778"/>
      <c r="AH10" s="411"/>
      <c r="AI10" s="392"/>
      <c r="AJ10" s="812"/>
      <c r="AK10" s="813"/>
      <c r="AL10" s="813"/>
      <c r="AM10" s="813"/>
      <c r="AN10" s="813"/>
      <c r="AO10" s="813"/>
      <c r="AP10" s="813"/>
      <c r="AQ10" s="814"/>
      <c r="AR10" s="778"/>
      <c r="AS10" s="778"/>
      <c r="AT10" s="778"/>
      <c r="AU10" s="778"/>
      <c r="AV10" s="790"/>
      <c r="AW10" s="790"/>
      <c r="AX10" s="778"/>
      <c r="AY10" s="778"/>
      <c r="AZ10" s="778"/>
      <c r="BC10" s="392" t="s">
        <v>248</v>
      </c>
      <c r="BD10" s="392" t="s">
        <v>249</v>
      </c>
      <c r="BE10" s="812" t="s">
        <v>250</v>
      </c>
      <c r="BF10" s="813"/>
      <c r="BG10" s="813"/>
      <c r="BH10" s="813"/>
      <c r="BI10" s="813"/>
      <c r="BJ10" s="813"/>
      <c r="BK10" s="813"/>
      <c r="BL10" s="813"/>
      <c r="BM10" s="778"/>
      <c r="BN10" s="778"/>
      <c r="BO10" s="778"/>
      <c r="BP10" s="778"/>
      <c r="BQ10" s="790"/>
      <c r="BR10" s="790"/>
      <c r="BS10" s="778"/>
      <c r="BT10" s="778"/>
      <c r="BU10" s="778"/>
      <c r="BX10" s="392" t="s">
        <v>248</v>
      </c>
      <c r="BY10" s="392" t="s">
        <v>249</v>
      </c>
      <c r="BZ10" s="812" t="s">
        <v>250</v>
      </c>
      <c r="CA10" s="813"/>
      <c r="CB10" s="813"/>
      <c r="CC10" s="813"/>
      <c r="CD10" s="813"/>
      <c r="CE10" s="813"/>
      <c r="CF10" s="813"/>
      <c r="CG10" s="813"/>
      <c r="CH10" s="778"/>
      <c r="CI10" s="778"/>
      <c r="CJ10" s="778"/>
      <c r="CK10" s="778"/>
      <c r="CL10" s="790"/>
      <c r="CM10" s="790"/>
      <c r="CN10" s="778"/>
      <c r="CO10" s="778"/>
      <c r="CP10" s="778"/>
    </row>
    <row r="11" spans="2:94" ht="84.75" customHeight="1" thickTop="1">
      <c r="B11" s="325" t="s">
        <v>211</v>
      </c>
      <c r="C11" s="325" t="s">
        <v>251</v>
      </c>
      <c r="D11" s="393" t="s">
        <v>252</v>
      </c>
      <c r="E11" s="394">
        <v>1</v>
      </c>
      <c r="F11" s="328">
        <v>0</v>
      </c>
      <c r="G11" s="329">
        <f>F11*1.035</f>
        <v>0</v>
      </c>
      <c r="H11" s="395">
        <v>0.25</v>
      </c>
      <c r="I11" s="396">
        <v>2</v>
      </c>
      <c r="J11" s="397">
        <v>9</v>
      </c>
      <c r="K11" s="333">
        <f>ROUND(E11*F11*H11*I11,0)+ROUND(E11*G11*H11*J11,0)</f>
        <v>0</v>
      </c>
      <c r="M11" s="412" t="s">
        <v>211</v>
      </c>
      <c r="N11" s="325" t="s">
        <v>251</v>
      </c>
      <c r="O11" s="393" t="s">
        <v>252</v>
      </c>
      <c r="P11" s="394">
        <v>1</v>
      </c>
      <c r="Q11" s="328">
        <v>6000000</v>
      </c>
      <c r="R11" s="329">
        <f>Q11*1.035</f>
        <v>6209999.9999999991</v>
      </c>
      <c r="S11" s="395">
        <v>0.25</v>
      </c>
      <c r="T11" s="396">
        <v>2</v>
      </c>
      <c r="U11" s="397">
        <v>9</v>
      </c>
      <c r="V11" s="413">
        <f>ROUND(P11*Q11*S11*T11,0)+ROUND(P11*R11*S11*U11,0)</f>
        <v>16972500</v>
      </c>
      <c r="W11" s="107">
        <f t="shared" ref="W11:W17" si="0">IFERROR(IF(EXACT(VLOOKUP(M11,OFERTA_0,1,FALSE),M11),1,0),0)</f>
        <v>1</v>
      </c>
      <c r="X11" s="107">
        <f t="shared" ref="X11:X17" si="1">IFERROR(IF(EXACT(VLOOKUP(M11,OFERTA_0,3,FALSE),O11),1,0),0)</f>
        <v>1</v>
      </c>
      <c r="Y11" s="107">
        <f t="shared" ref="Y11:Y17" si="2">IFERROR(IF(EXACT(VLOOKUP(M11,OFERTA_0,4,FALSE),P11),1,0),0)</f>
        <v>1</v>
      </c>
      <c r="Z11" s="107">
        <f t="shared" ref="Z11:Z17" si="3">IFERROR(IF(EXACT(VLOOKUP(M11,OFERTA_0,7,FALSE),S11),1,0),0)</f>
        <v>1</v>
      </c>
      <c r="AA11" s="107">
        <f>IFERROR(IF(R11&lt;=0,0,1),0)</f>
        <v>1</v>
      </c>
      <c r="AB11" s="107">
        <f>IFERROR(IF(V11&lt;=0,0,1),0)</f>
        <v>1</v>
      </c>
      <c r="AC11" s="107">
        <f>PRODUCT(W11:AB11)</f>
        <v>1</v>
      </c>
      <c r="AD11" s="108">
        <f>ROUND(V11,0)</f>
        <v>16972500</v>
      </c>
      <c r="AE11" s="109">
        <f>V11-AD11</f>
        <v>0</v>
      </c>
      <c r="AH11" s="412"/>
      <c r="AI11" s="325"/>
      <c r="AJ11" s="393"/>
      <c r="AK11" s="394"/>
      <c r="AL11" s="328"/>
      <c r="AM11" s="329"/>
      <c r="AN11" s="395"/>
      <c r="AO11" s="396"/>
      <c r="AP11" s="397"/>
      <c r="AQ11" s="413"/>
      <c r="AR11" s="107">
        <f t="shared" ref="AR11:AR17" si="4">IFERROR(IF(EXACT(VLOOKUP(AH11,OFERTA_0,1,FALSE),AH11),1,0),0)</f>
        <v>0</v>
      </c>
      <c r="AS11" s="107">
        <f t="shared" ref="AS11:AS17" si="5">IFERROR(IF(EXACT(VLOOKUP(AH11,OFERTA_0,3,FALSE),AJ11),1,0),0)</f>
        <v>0</v>
      </c>
      <c r="AT11" s="107">
        <f t="shared" ref="AT11:AT17" si="6">IFERROR(IF(EXACT(VLOOKUP(AH11,OFERTA_0,4,FALSE),AK11),1,0),0)</f>
        <v>0</v>
      </c>
      <c r="AU11" s="107">
        <f t="shared" ref="AU11:AU17" si="7">IFERROR(IF(EXACT(VLOOKUP(AH11,OFERTA_0,7,FALSE),AN11),1,0),0)</f>
        <v>0</v>
      </c>
      <c r="AV11" s="107">
        <f>IFERROR(IF(AM11&lt;=0,0,1),0)</f>
        <v>0</v>
      </c>
      <c r="AW11" s="107">
        <f>IFERROR(IF(AQ11&lt;=0,0,1),0)</f>
        <v>0</v>
      </c>
      <c r="AX11" s="107">
        <f>PRODUCT(AR11:AW11)</f>
        <v>0</v>
      </c>
      <c r="AY11" s="108">
        <f>ROUND(AQ11,0)</f>
        <v>0</v>
      </c>
      <c r="AZ11" s="109">
        <f>AQ11-AY11</f>
        <v>0</v>
      </c>
      <c r="BC11" s="325" t="s">
        <v>211</v>
      </c>
      <c r="BD11" s="325" t="s">
        <v>251</v>
      </c>
      <c r="BE11" s="393" t="s">
        <v>252</v>
      </c>
      <c r="BF11" s="394">
        <v>1</v>
      </c>
      <c r="BG11" s="328">
        <v>8700000</v>
      </c>
      <c r="BH11" s="329">
        <f>BG11*1.035</f>
        <v>9004500</v>
      </c>
      <c r="BI11" s="395">
        <v>0.25</v>
      </c>
      <c r="BJ11" s="396">
        <v>2</v>
      </c>
      <c r="BK11" s="397">
        <v>9</v>
      </c>
      <c r="BL11" s="333">
        <f>ROUND(BF11*BG11*BI11*BJ11,0)+ROUND(BF11*BH11*BI11*BK11,0)</f>
        <v>24610125</v>
      </c>
      <c r="BM11" s="107">
        <f t="shared" ref="BM11:BM17" si="8">IFERROR(IF(EXACT(VLOOKUP(BC11,OFERTA_0,1,FALSE),BC11),1,0),0)</f>
        <v>1</v>
      </c>
      <c r="BN11" s="107">
        <f t="shared" ref="BN11:BN17" si="9">IFERROR(IF(EXACT(VLOOKUP(BC11,OFERTA_0,3,FALSE),BE11),1,0),0)</f>
        <v>1</v>
      </c>
      <c r="BO11" s="107">
        <f t="shared" ref="BO11:BO17" si="10">IFERROR(IF(EXACT(VLOOKUP(BC11,OFERTA_0,4,FALSE),BF11),1,0),0)</f>
        <v>1</v>
      </c>
      <c r="BP11" s="107">
        <f t="shared" ref="BP11:BP17" si="11">IFERROR(IF(EXACT(VLOOKUP(BC11,OFERTA_0,7,FALSE),BI11),1,0),0)</f>
        <v>1</v>
      </c>
      <c r="BQ11" s="107">
        <f>IFERROR(IF(BH11&lt;=0,0,1),0)</f>
        <v>1</v>
      </c>
      <c r="BR11" s="107">
        <f>IFERROR(IF(BL11&lt;=0,0,1),0)</f>
        <v>1</v>
      </c>
      <c r="BS11" s="107">
        <f>PRODUCT(BM11:BR11)</f>
        <v>1</v>
      </c>
      <c r="BT11" s="108">
        <f>ROUND(BL11,0)</f>
        <v>24610125</v>
      </c>
      <c r="BU11" s="109">
        <f>BL11-BT11</f>
        <v>0</v>
      </c>
      <c r="BX11" s="325" t="s">
        <v>211</v>
      </c>
      <c r="BY11" s="325" t="s">
        <v>251</v>
      </c>
      <c r="BZ11" s="393" t="s">
        <v>252</v>
      </c>
      <c r="CA11" s="394">
        <v>1</v>
      </c>
      <c r="CB11" s="328">
        <v>8000000</v>
      </c>
      <c r="CC11" s="329">
        <f>CB11*1.035</f>
        <v>8279999.9999999991</v>
      </c>
      <c r="CD11" s="395">
        <v>0.25</v>
      </c>
      <c r="CE11" s="396">
        <v>2</v>
      </c>
      <c r="CF11" s="397">
        <v>9</v>
      </c>
      <c r="CG11" s="333">
        <f>ROUND(CA11*CB11*CD11*CE11,0)+ROUND(CA11*CC11*CD11*CF11,0)</f>
        <v>22630000</v>
      </c>
      <c r="CH11" s="107">
        <f t="shared" ref="CH11:CH17" si="12">IFERROR(IF(EXACT(VLOOKUP(BX11,OFERTA_0,1,FALSE),BX11),1,0),0)</f>
        <v>1</v>
      </c>
      <c r="CI11" s="107">
        <f t="shared" ref="CI11:CI17" si="13">IFERROR(IF(EXACT(VLOOKUP(BX11,OFERTA_0,3,FALSE),BZ11),1,0),0)</f>
        <v>1</v>
      </c>
      <c r="CJ11" s="107">
        <f t="shared" ref="CJ11:CJ17" si="14">IFERROR(IF(EXACT(VLOOKUP(BX11,OFERTA_0,4,FALSE),CA11),1,0),0)</f>
        <v>1</v>
      </c>
      <c r="CK11" s="107">
        <f t="shared" ref="CK11:CK17" si="15">IFERROR(IF(EXACT(VLOOKUP(BX11,OFERTA_0,7,FALSE),CD11),1,0),0)</f>
        <v>1</v>
      </c>
      <c r="CL11" s="107">
        <f>IFERROR(IF(CC11&lt;=0,0,1),0)</f>
        <v>1</v>
      </c>
      <c r="CM11" s="107">
        <f>IFERROR(IF(CG11&lt;=0,0,1),0)</f>
        <v>1</v>
      </c>
      <c r="CN11" s="107">
        <f>PRODUCT(CH11:CM11)</f>
        <v>1</v>
      </c>
      <c r="CO11" s="108">
        <f>ROUND(CG11,0)</f>
        <v>22630000</v>
      </c>
      <c r="CP11" s="109">
        <f>CG11-CO11</f>
        <v>0</v>
      </c>
    </row>
    <row r="12" spans="2:94" ht="68">
      <c r="B12" s="325">
        <v>1.2</v>
      </c>
      <c r="C12" s="325" t="s">
        <v>251</v>
      </c>
      <c r="D12" s="326" t="s">
        <v>260</v>
      </c>
      <c r="E12" s="327">
        <v>1</v>
      </c>
      <c r="F12" s="328">
        <v>0</v>
      </c>
      <c r="G12" s="329">
        <f t="shared" ref="G12:G17" si="16">F12*1.035</f>
        <v>0</v>
      </c>
      <c r="H12" s="330">
        <v>1</v>
      </c>
      <c r="I12" s="331">
        <v>2</v>
      </c>
      <c r="J12" s="332">
        <v>9</v>
      </c>
      <c r="K12" s="333">
        <f t="shared" ref="K12:K21" si="17">ROUND(E12*F12*H12*I12,0)+ROUND(E12*G12*H12*J12,0)</f>
        <v>0</v>
      </c>
      <c r="M12" s="412">
        <v>1.2</v>
      </c>
      <c r="N12" s="325" t="s">
        <v>251</v>
      </c>
      <c r="O12" s="326" t="s">
        <v>260</v>
      </c>
      <c r="P12" s="327">
        <v>1</v>
      </c>
      <c r="Q12" s="328">
        <v>3000000</v>
      </c>
      <c r="R12" s="329">
        <f t="shared" ref="R12:R17" si="18">Q12*1.035</f>
        <v>3104999.9999999995</v>
      </c>
      <c r="S12" s="330">
        <v>1</v>
      </c>
      <c r="T12" s="331">
        <v>2</v>
      </c>
      <c r="U12" s="332">
        <v>9</v>
      </c>
      <c r="V12" s="413">
        <f t="shared" ref="V12:V21" si="19">ROUND(P12*Q12*S12*T12,0)+ROUND(P12*R12*S12*U12,0)</f>
        <v>33945000</v>
      </c>
      <c r="W12" s="107">
        <f t="shared" si="0"/>
        <v>1</v>
      </c>
      <c r="X12" s="107">
        <f t="shared" si="1"/>
        <v>1</v>
      </c>
      <c r="Y12" s="107">
        <f t="shared" si="2"/>
        <v>1</v>
      </c>
      <c r="Z12" s="107">
        <f t="shared" si="3"/>
        <v>1</v>
      </c>
      <c r="AA12" s="107">
        <f t="shared" ref="AA12:AA17" si="20">IFERROR(IF(R12&lt;=0,0,1),0)</f>
        <v>1</v>
      </c>
      <c r="AB12" s="107">
        <f t="shared" ref="AB12:AB17" si="21">IFERROR(IF(V12&lt;=0,0,1),0)</f>
        <v>1</v>
      </c>
      <c r="AC12" s="107">
        <f t="shared" ref="AC12:AC17" si="22">PRODUCT(W12:AB12)</f>
        <v>1</v>
      </c>
      <c r="AD12" s="108">
        <f t="shared" ref="AD12:AD17" si="23">ROUND(V12,0)</f>
        <v>33945000</v>
      </c>
      <c r="AE12" s="109">
        <f t="shared" ref="AE12:AE17" si="24">V12-AD12</f>
        <v>0</v>
      </c>
      <c r="AH12" s="412"/>
      <c r="AI12" s="325"/>
      <c r="AJ12" s="326"/>
      <c r="AK12" s="327"/>
      <c r="AL12" s="328"/>
      <c r="AM12" s="329"/>
      <c r="AN12" s="330"/>
      <c r="AO12" s="331"/>
      <c r="AP12" s="332"/>
      <c r="AQ12" s="413"/>
      <c r="AR12" s="107">
        <f t="shared" si="4"/>
        <v>0</v>
      </c>
      <c r="AS12" s="107">
        <f t="shared" si="5"/>
        <v>0</v>
      </c>
      <c r="AT12" s="107">
        <f t="shared" si="6"/>
        <v>0</v>
      </c>
      <c r="AU12" s="107">
        <f t="shared" si="7"/>
        <v>0</v>
      </c>
      <c r="AV12" s="107">
        <f t="shared" ref="AV12:AV17" si="25">IFERROR(IF(AM12&lt;=0,0,1),0)</f>
        <v>0</v>
      </c>
      <c r="AW12" s="107">
        <f t="shared" ref="AW12:AW17" si="26">IFERROR(IF(AQ12&lt;=0,0,1),0)</f>
        <v>0</v>
      </c>
      <c r="AX12" s="107">
        <f t="shared" ref="AX12:AX17" si="27">PRODUCT(AR12:AW12)</f>
        <v>0</v>
      </c>
      <c r="AY12" s="108">
        <f t="shared" ref="AY12:AY17" si="28">ROUND(AQ12,0)</f>
        <v>0</v>
      </c>
      <c r="AZ12" s="109">
        <f t="shared" ref="AZ12:AZ17" si="29">AQ12-AY12</f>
        <v>0</v>
      </c>
      <c r="BC12" s="325">
        <v>1.2</v>
      </c>
      <c r="BD12" s="325" t="s">
        <v>251</v>
      </c>
      <c r="BE12" s="326" t="s">
        <v>260</v>
      </c>
      <c r="BF12" s="327">
        <v>1</v>
      </c>
      <c r="BG12" s="328">
        <v>3500000</v>
      </c>
      <c r="BH12" s="329">
        <f t="shared" ref="BH12:BH17" si="30">BG12*1.035</f>
        <v>3622499.9999999995</v>
      </c>
      <c r="BI12" s="330">
        <v>1</v>
      </c>
      <c r="BJ12" s="331">
        <v>2</v>
      </c>
      <c r="BK12" s="332">
        <v>9</v>
      </c>
      <c r="BL12" s="333">
        <f t="shared" ref="BL12:BL17" si="31">ROUND(BF12*BG12*BI12*BJ12,0)+ROUND(BF12*BH12*BI12*BK12,0)</f>
        <v>39602500</v>
      </c>
      <c r="BM12" s="107">
        <f t="shared" si="8"/>
        <v>1</v>
      </c>
      <c r="BN12" s="107">
        <f t="shared" si="9"/>
        <v>1</v>
      </c>
      <c r="BO12" s="107">
        <f t="shared" si="10"/>
        <v>1</v>
      </c>
      <c r="BP12" s="107">
        <f t="shared" si="11"/>
        <v>1</v>
      </c>
      <c r="BQ12" s="107">
        <f t="shared" ref="BQ12:BQ17" si="32">IFERROR(IF(BH12&lt;=0,0,1),0)</f>
        <v>1</v>
      </c>
      <c r="BR12" s="107">
        <f t="shared" ref="BR12:BR17" si="33">IFERROR(IF(BL12&lt;=0,0,1),0)</f>
        <v>1</v>
      </c>
      <c r="BS12" s="107">
        <f t="shared" ref="BS12:BS17" si="34">PRODUCT(BM12:BR12)</f>
        <v>1</v>
      </c>
      <c r="BT12" s="108">
        <f t="shared" ref="BT12:BT17" si="35">ROUND(BL12,0)</f>
        <v>39602500</v>
      </c>
      <c r="BU12" s="109">
        <f t="shared" ref="BU12:BU17" si="36">BL12-BT12</f>
        <v>0</v>
      </c>
      <c r="BX12" s="325">
        <v>1.2</v>
      </c>
      <c r="BY12" s="325" t="s">
        <v>251</v>
      </c>
      <c r="BZ12" s="326" t="s">
        <v>253</v>
      </c>
      <c r="CA12" s="327">
        <v>1</v>
      </c>
      <c r="CB12" s="328">
        <v>4250000</v>
      </c>
      <c r="CC12" s="329">
        <f t="shared" ref="CC12:CC17" si="37">CB12*1.035</f>
        <v>4398750</v>
      </c>
      <c r="CD12" s="330">
        <v>1</v>
      </c>
      <c r="CE12" s="331">
        <v>2</v>
      </c>
      <c r="CF12" s="332">
        <v>9</v>
      </c>
      <c r="CG12" s="333">
        <f t="shared" ref="CG12:CG17" si="38">ROUND(CA12*CB12*CD12*CE12,0)+ROUND(CA12*CC12*CD12*CF12,0)</f>
        <v>48088750</v>
      </c>
      <c r="CH12" s="107">
        <f t="shared" si="12"/>
        <v>1</v>
      </c>
      <c r="CI12" s="107">
        <f t="shared" si="13"/>
        <v>1</v>
      </c>
      <c r="CJ12" s="107">
        <f t="shared" si="14"/>
        <v>1</v>
      </c>
      <c r="CK12" s="107">
        <f t="shared" si="15"/>
        <v>1</v>
      </c>
      <c r="CL12" s="107">
        <f t="shared" ref="CL12:CL17" si="39">IFERROR(IF(CC12&lt;=0,0,1),0)</f>
        <v>1</v>
      </c>
      <c r="CM12" s="107">
        <f t="shared" ref="CM12:CM17" si="40">IFERROR(IF(CG12&lt;=0,0,1),0)</f>
        <v>1</v>
      </c>
      <c r="CN12" s="107">
        <f t="shared" ref="CN12:CN17" si="41">PRODUCT(CH12:CM12)</f>
        <v>1</v>
      </c>
      <c r="CO12" s="108">
        <f t="shared" ref="CO12:CO17" si="42">ROUND(CG12,0)</f>
        <v>48088750</v>
      </c>
      <c r="CP12" s="109">
        <f t="shared" ref="CP12:CP17" si="43">CG12-CO12</f>
        <v>0</v>
      </c>
    </row>
    <row r="13" spans="2:94" ht="75.75" customHeight="1">
      <c r="B13" s="325">
        <v>1.3</v>
      </c>
      <c r="C13" s="325" t="s">
        <v>142</v>
      </c>
      <c r="D13" s="326" t="s">
        <v>261</v>
      </c>
      <c r="E13" s="327">
        <v>1</v>
      </c>
      <c r="F13" s="328">
        <v>0</v>
      </c>
      <c r="G13" s="329">
        <f t="shared" si="16"/>
        <v>0</v>
      </c>
      <c r="H13" s="330">
        <v>0.3</v>
      </c>
      <c r="I13" s="331">
        <v>2</v>
      </c>
      <c r="J13" s="332">
        <v>3</v>
      </c>
      <c r="K13" s="333">
        <f t="shared" si="17"/>
        <v>0</v>
      </c>
      <c r="M13" s="412">
        <v>1.3</v>
      </c>
      <c r="N13" s="325" t="s">
        <v>142</v>
      </c>
      <c r="O13" s="326" t="s">
        <v>261</v>
      </c>
      <c r="P13" s="327">
        <v>1</v>
      </c>
      <c r="Q13" s="328">
        <v>3000000</v>
      </c>
      <c r="R13" s="329">
        <f t="shared" si="18"/>
        <v>3104999.9999999995</v>
      </c>
      <c r="S13" s="330">
        <v>0.3</v>
      </c>
      <c r="T13" s="331">
        <v>2</v>
      </c>
      <c r="U13" s="332">
        <v>3</v>
      </c>
      <c r="V13" s="413">
        <f t="shared" si="19"/>
        <v>4594500</v>
      </c>
      <c r="W13" s="107">
        <f t="shared" si="0"/>
        <v>1</v>
      </c>
      <c r="X13" s="107">
        <f t="shared" si="1"/>
        <v>1</v>
      </c>
      <c r="Y13" s="107">
        <f t="shared" si="2"/>
        <v>1</v>
      </c>
      <c r="Z13" s="107">
        <f t="shared" si="3"/>
        <v>1</v>
      </c>
      <c r="AA13" s="107">
        <f t="shared" si="20"/>
        <v>1</v>
      </c>
      <c r="AB13" s="107">
        <f t="shared" si="21"/>
        <v>1</v>
      </c>
      <c r="AC13" s="107">
        <f t="shared" si="22"/>
        <v>1</v>
      </c>
      <c r="AD13" s="108">
        <f t="shared" si="23"/>
        <v>4594500</v>
      </c>
      <c r="AE13" s="109">
        <f t="shared" si="24"/>
        <v>0</v>
      </c>
      <c r="AH13" s="412"/>
      <c r="AI13" s="325"/>
      <c r="AJ13" s="326"/>
      <c r="AK13" s="327"/>
      <c r="AL13" s="328"/>
      <c r="AM13" s="329"/>
      <c r="AN13" s="330"/>
      <c r="AO13" s="331"/>
      <c r="AP13" s="332"/>
      <c r="AQ13" s="413"/>
      <c r="AR13" s="107">
        <f t="shared" si="4"/>
        <v>0</v>
      </c>
      <c r="AS13" s="107">
        <f t="shared" si="5"/>
        <v>0</v>
      </c>
      <c r="AT13" s="107">
        <f t="shared" si="6"/>
        <v>0</v>
      </c>
      <c r="AU13" s="107">
        <f t="shared" si="7"/>
        <v>0</v>
      </c>
      <c r="AV13" s="107">
        <f t="shared" si="25"/>
        <v>0</v>
      </c>
      <c r="AW13" s="107">
        <f t="shared" si="26"/>
        <v>0</v>
      </c>
      <c r="AX13" s="107">
        <f t="shared" si="27"/>
        <v>0</v>
      </c>
      <c r="AY13" s="108">
        <f t="shared" si="28"/>
        <v>0</v>
      </c>
      <c r="AZ13" s="109">
        <f t="shared" si="29"/>
        <v>0</v>
      </c>
      <c r="BC13" s="325">
        <v>1.3</v>
      </c>
      <c r="BD13" s="325" t="s">
        <v>142</v>
      </c>
      <c r="BE13" s="326" t="s">
        <v>261</v>
      </c>
      <c r="BF13" s="327">
        <v>1</v>
      </c>
      <c r="BG13" s="328">
        <v>4552650</v>
      </c>
      <c r="BH13" s="329">
        <f t="shared" si="30"/>
        <v>4711992.75</v>
      </c>
      <c r="BI13" s="330">
        <v>0.3</v>
      </c>
      <c r="BJ13" s="331">
        <v>2</v>
      </c>
      <c r="BK13" s="332">
        <v>3</v>
      </c>
      <c r="BL13" s="333">
        <f t="shared" si="31"/>
        <v>6972383</v>
      </c>
      <c r="BM13" s="107">
        <f t="shared" si="8"/>
        <v>1</v>
      </c>
      <c r="BN13" s="107">
        <f t="shared" si="9"/>
        <v>1</v>
      </c>
      <c r="BO13" s="107">
        <f t="shared" si="10"/>
        <v>1</v>
      </c>
      <c r="BP13" s="107">
        <f t="shared" si="11"/>
        <v>1</v>
      </c>
      <c r="BQ13" s="107">
        <f t="shared" si="32"/>
        <v>1</v>
      </c>
      <c r="BR13" s="107">
        <f t="shared" si="33"/>
        <v>1</v>
      </c>
      <c r="BS13" s="107">
        <f t="shared" si="34"/>
        <v>1</v>
      </c>
      <c r="BT13" s="108">
        <f t="shared" si="35"/>
        <v>6972383</v>
      </c>
      <c r="BU13" s="109">
        <f t="shared" si="36"/>
        <v>0</v>
      </c>
      <c r="BX13" s="325">
        <v>1.3</v>
      </c>
      <c r="BY13" s="325" t="s">
        <v>142</v>
      </c>
      <c r="BZ13" s="326" t="s">
        <v>222</v>
      </c>
      <c r="CA13" s="327">
        <v>1</v>
      </c>
      <c r="CB13" s="328">
        <v>5000000</v>
      </c>
      <c r="CC13" s="329">
        <f t="shared" si="37"/>
        <v>5175000</v>
      </c>
      <c r="CD13" s="330">
        <v>0.3</v>
      </c>
      <c r="CE13" s="331">
        <v>2</v>
      </c>
      <c r="CF13" s="332">
        <v>3</v>
      </c>
      <c r="CG13" s="333">
        <f t="shared" si="38"/>
        <v>7657500</v>
      </c>
      <c r="CH13" s="107">
        <f t="shared" si="12"/>
        <v>1</v>
      </c>
      <c r="CI13" s="107">
        <f t="shared" si="13"/>
        <v>1</v>
      </c>
      <c r="CJ13" s="107">
        <f t="shared" si="14"/>
        <v>1</v>
      </c>
      <c r="CK13" s="107">
        <f t="shared" si="15"/>
        <v>1</v>
      </c>
      <c r="CL13" s="107">
        <f t="shared" si="39"/>
        <v>1</v>
      </c>
      <c r="CM13" s="107">
        <f t="shared" si="40"/>
        <v>1</v>
      </c>
      <c r="CN13" s="107">
        <f t="shared" si="41"/>
        <v>1</v>
      </c>
      <c r="CO13" s="108">
        <f t="shared" si="42"/>
        <v>7657500</v>
      </c>
      <c r="CP13" s="109">
        <f t="shared" si="43"/>
        <v>0</v>
      </c>
    </row>
    <row r="14" spans="2:94" ht="52.5" customHeight="1">
      <c r="B14" s="325">
        <v>1.4</v>
      </c>
      <c r="C14" s="325" t="s">
        <v>142</v>
      </c>
      <c r="D14" s="326" t="s">
        <v>223</v>
      </c>
      <c r="E14" s="327">
        <v>1</v>
      </c>
      <c r="F14" s="328">
        <v>0</v>
      </c>
      <c r="G14" s="329">
        <f t="shared" si="16"/>
        <v>0</v>
      </c>
      <c r="H14" s="330">
        <v>0.1</v>
      </c>
      <c r="I14" s="331">
        <v>2</v>
      </c>
      <c r="J14" s="332">
        <v>4</v>
      </c>
      <c r="K14" s="333">
        <f t="shared" si="17"/>
        <v>0</v>
      </c>
      <c r="M14" s="412">
        <v>1.4</v>
      </c>
      <c r="N14" s="325" t="s">
        <v>142</v>
      </c>
      <c r="O14" s="326" t="s">
        <v>223</v>
      </c>
      <c r="P14" s="327">
        <v>1</v>
      </c>
      <c r="Q14" s="328">
        <v>3000000</v>
      </c>
      <c r="R14" s="329">
        <f t="shared" si="18"/>
        <v>3104999.9999999995</v>
      </c>
      <c r="S14" s="330">
        <v>0.1</v>
      </c>
      <c r="T14" s="331">
        <v>2</v>
      </c>
      <c r="U14" s="332">
        <v>4</v>
      </c>
      <c r="V14" s="413">
        <f t="shared" si="19"/>
        <v>1842000</v>
      </c>
      <c r="W14" s="107">
        <f t="shared" si="0"/>
        <v>1</v>
      </c>
      <c r="X14" s="107">
        <f t="shared" si="1"/>
        <v>1</v>
      </c>
      <c r="Y14" s="107">
        <f t="shared" si="2"/>
        <v>1</v>
      </c>
      <c r="Z14" s="107">
        <f t="shared" si="3"/>
        <v>1</v>
      </c>
      <c r="AA14" s="107">
        <f t="shared" si="20"/>
        <v>1</v>
      </c>
      <c r="AB14" s="107">
        <f t="shared" si="21"/>
        <v>1</v>
      </c>
      <c r="AC14" s="107">
        <f t="shared" si="22"/>
        <v>1</v>
      </c>
      <c r="AD14" s="108">
        <f t="shared" si="23"/>
        <v>1842000</v>
      </c>
      <c r="AE14" s="109">
        <f t="shared" si="24"/>
        <v>0</v>
      </c>
      <c r="AH14" s="412"/>
      <c r="AI14" s="325"/>
      <c r="AJ14" s="326"/>
      <c r="AK14" s="327"/>
      <c r="AL14" s="328"/>
      <c r="AM14" s="329"/>
      <c r="AN14" s="330"/>
      <c r="AO14" s="331"/>
      <c r="AP14" s="332"/>
      <c r="AQ14" s="413"/>
      <c r="AR14" s="107">
        <f t="shared" si="4"/>
        <v>0</v>
      </c>
      <c r="AS14" s="107">
        <f t="shared" si="5"/>
        <v>0</v>
      </c>
      <c r="AT14" s="107">
        <f t="shared" si="6"/>
        <v>0</v>
      </c>
      <c r="AU14" s="107">
        <f t="shared" si="7"/>
        <v>0</v>
      </c>
      <c r="AV14" s="107">
        <f t="shared" si="25"/>
        <v>0</v>
      </c>
      <c r="AW14" s="107">
        <f t="shared" si="26"/>
        <v>0</v>
      </c>
      <c r="AX14" s="107">
        <f t="shared" si="27"/>
        <v>0</v>
      </c>
      <c r="AY14" s="108">
        <f t="shared" si="28"/>
        <v>0</v>
      </c>
      <c r="AZ14" s="109">
        <f t="shared" si="29"/>
        <v>0</v>
      </c>
      <c r="BC14" s="325">
        <v>1.4</v>
      </c>
      <c r="BD14" s="325" t="s">
        <v>142</v>
      </c>
      <c r="BE14" s="326" t="s">
        <v>223</v>
      </c>
      <c r="BF14" s="327">
        <v>1</v>
      </c>
      <c r="BG14" s="328">
        <v>4500000</v>
      </c>
      <c r="BH14" s="329">
        <f t="shared" si="30"/>
        <v>4657500</v>
      </c>
      <c r="BI14" s="330">
        <v>0.1</v>
      </c>
      <c r="BJ14" s="331">
        <v>2</v>
      </c>
      <c r="BK14" s="332">
        <v>4</v>
      </c>
      <c r="BL14" s="333">
        <f t="shared" si="31"/>
        <v>2763000</v>
      </c>
      <c r="BM14" s="107">
        <f t="shared" si="8"/>
        <v>1</v>
      </c>
      <c r="BN14" s="107">
        <f t="shared" si="9"/>
        <v>1</v>
      </c>
      <c r="BO14" s="107">
        <f t="shared" si="10"/>
        <v>1</v>
      </c>
      <c r="BP14" s="107">
        <f t="shared" si="11"/>
        <v>1</v>
      </c>
      <c r="BQ14" s="107">
        <f t="shared" si="32"/>
        <v>1</v>
      </c>
      <c r="BR14" s="107">
        <f t="shared" si="33"/>
        <v>1</v>
      </c>
      <c r="BS14" s="107">
        <f t="shared" si="34"/>
        <v>1</v>
      </c>
      <c r="BT14" s="108">
        <f t="shared" si="35"/>
        <v>2763000</v>
      </c>
      <c r="BU14" s="109">
        <f t="shared" si="36"/>
        <v>0</v>
      </c>
      <c r="BX14" s="325">
        <v>1.4</v>
      </c>
      <c r="BY14" s="325" t="s">
        <v>142</v>
      </c>
      <c r="BZ14" s="326" t="s">
        <v>223</v>
      </c>
      <c r="CA14" s="327">
        <v>1</v>
      </c>
      <c r="CB14" s="328">
        <v>6000000</v>
      </c>
      <c r="CC14" s="329">
        <f t="shared" si="37"/>
        <v>6209999.9999999991</v>
      </c>
      <c r="CD14" s="330">
        <v>0.1</v>
      </c>
      <c r="CE14" s="331">
        <v>2</v>
      </c>
      <c r="CF14" s="332">
        <v>4</v>
      </c>
      <c r="CG14" s="333">
        <f t="shared" si="38"/>
        <v>3684000</v>
      </c>
      <c r="CH14" s="107">
        <f t="shared" si="12"/>
        <v>1</v>
      </c>
      <c r="CI14" s="107">
        <f t="shared" si="13"/>
        <v>1</v>
      </c>
      <c r="CJ14" s="107">
        <f t="shared" si="14"/>
        <v>1</v>
      </c>
      <c r="CK14" s="107">
        <f t="shared" si="15"/>
        <v>1</v>
      </c>
      <c r="CL14" s="107">
        <f t="shared" si="39"/>
        <v>1</v>
      </c>
      <c r="CM14" s="107">
        <f t="shared" si="40"/>
        <v>1</v>
      </c>
      <c r="CN14" s="107">
        <f t="shared" si="41"/>
        <v>1</v>
      </c>
      <c r="CO14" s="108">
        <f t="shared" si="42"/>
        <v>3684000</v>
      </c>
      <c r="CP14" s="109">
        <f t="shared" si="43"/>
        <v>0</v>
      </c>
    </row>
    <row r="15" spans="2:94" ht="75.75" customHeight="1">
      <c r="B15" s="325" t="s">
        <v>212</v>
      </c>
      <c r="C15" s="325" t="s">
        <v>141</v>
      </c>
      <c r="D15" s="336" t="s">
        <v>262</v>
      </c>
      <c r="E15" s="398">
        <v>1</v>
      </c>
      <c r="F15" s="328">
        <v>0</v>
      </c>
      <c r="G15" s="329">
        <f t="shared" si="16"/>
        <v>0</v>
      </c>
      <c r="H15" s="335">
        <v>0.5</v>
      </c>
      <c r="I15" s="331">
        <v>2</v>
      </c>
      <c r="J15" s="332">
        <v>8</v>
      </c>
      <c r="K15" s="333">
        <f t="shared" si="17"/>
        <v>0</v>
      </c>
      <c r="M15" s="412" t="s">
        <v>212</v>
      </c>
      <c r="N15" s="325" t="s">
        <v>141</v>
      </c>
      <c r="O15" s="336" t="s">
        <v>262</v>
      </c>
      <c r="P15" s="398">
        <v>1</v>
      </c>
      <c r="Q15" s="328">
        <v>3000000</v>
      </c>
      <c r="R15" s="329">
        <f t="shared" si="18"/>
        <v>3104999.9999999995</v>
      </c>
      <c r="S15" s="335">
        <v>0.5</v>
      </c>
      <c r="T15" s="331">
        <v>2</v>
      </c>
      <c r="U15" s="332">
        <v>8</v>
      </c>
      <c r="V15" s="413">
        <f t="shared" si="19"/>
        <v>15420000</v>
      </c>
      <c r="W15" s="107">
        <f t="shared" si="0"/>
        <v>1</v>
      </c>
      <c r="X15" s="107">
        <f t="shared" si="1"/>
        <v>1</v>
      </c>
      <c r="Y15" s="107">
        <f t="shared" si="2"/>
        <v>1</v>
      </c>
      <c r="Z15" s="107">
        <f t="shared" si="3"/>
        <v>1</v>
      </c>
      <c r="AA15" s="107">
        <f t="shared" si="20"/>
        <v>1</v>
      </c>
      <c r="AB15" s="107">
        <f t="shared" si="21"/>
        <v>1</v>
      </c>
      <c r="AC15" s="107">
        <f t="shared" si="22"/>
        <v>1</v>
      </c>
      <c r="AD15" s="108">
        <f t="shared" si="23"/>
        <v>15420000</v>
      </c>
      <c r="AE15" s="109">
        <f t="shared" si="24"/>
        <v>0</v>
      </c>
      <c r="AH15" s="412"/>
      <c r="AI15" s="325"/>
      <c r="AJ15" s="336"/>
      <c r="AK15" s="398"/>
      <c r="AL15" s="328"/>
      <c r="AM15" s="329"/>
      <c r="AN15" s="335"/>
      <c r="AO15" s="331"/>
      <c r="AP15" s="332"/>
      <c r="AQ15" s="413"/>
      <c r="AR15" s="107">
        <f t="shared" si="4"/>
        <v>0</v>
      </c>
      <c r="AS15" s="107">
        <f t="shared" si="5"/>
        <v>0</v>
      </c>
      <c r="AT15" s="107">
        <f t="shared" si="6"/>
        <v>0</v>
      </c>
      <c r="AU15" s="107">
        <f t="shared" si="7"/>
        <v>0</v>
      </c>
      <c r="AV15" s="107">
        <f t="shared" si="25"/>
        <v>0</v>
      </c>
      <c r="AW15" s="107">
        <f t="shared" si="26"/>
        <v>0</v>
      </c>
      <c r="AX15" s="107">
        <f t="shared" si="27"/>
        <v>0</v>
      </c>
      <c r="AY15" s="108">
        <f t="shared" si="28"/>
        <v>0</v>
      </c>
      <c r="AZ15" s="109">
        <f t="shared" si="29"/>
        <v>0</v>
      </c>
      <c r="BC15" s="325" t="s">
        <v>212</v>
      </c>
      <c r="BD15" s="325" t="s">
        <v>141</v>
      </c>
      <c r="BE15" s="336" t="s">
        <v>262</v>
      </c>
      <c r="BF15" s="398">
        <v>1</v>
      </c>
      <c r="BG15" s="328">
        <f>3500000*2</f>
        <v>7000000</v>
      </c>
      <c r="BH15" s="329">
        <f t="shared" si="30"/>
        <v>7244999.9999999991</v>
      </c>
      <c r="BI15" s="335">
        <v>0.5</v>
      </c>
      <c r="BJ15" s="331">
        <v>2</v>
      </c>
      <c r="BK15" s="332">
        <v>8</v>
      </c>
      <c r="BL15" s="333">
        <f t="shared" si="31"/>
        <v>35980000</v>
      </c>
      <c r="BM15" s="107">
        <f t="shared" si="8"/>
        <v>1</v>
      </c>
      <c r="BN15" s="107">
        <f t="shared" si="9"/>
        <v>1</v>
      </c>
      <c r="BO15" s="107">
        <f t="shared" si="10"/>
        <v>1</v>
      </c>
      <c r="BP15" s="107">
        <f t="shared" si="11"/>
        <v>1</v>
      </c>
      <c r="BQ15" s="107">
        <f t="shared" si="32"/>
        <v>1</v>
      </c>
      <c r="BR15" s="107">
        <f t="shared" si="33"/>
        <v>1</v>
      </c>
      <c r="BS15" s="107">
        <f t="shared" si="34"/>
        <v>1</v>
      </c>
      <c r="BT15" s="108">
        <f t="shared" si="35"/>
        <v>35980000</v>
      </c>
      <c r="BU15" s="109">
        <f t="shared" si="36"/>
        <v>0</v>
      </c>
      <c r="BX15" s="325" t="s">
        <v>212</v>
      </c>
      <c r="BY15" s="325" t="s">
        <v>141</v>
      </c>
      <c r="BZ15" s="336" t="s">
        <v>254</v>
      </c>
      <c r="CA15" s="398">
        <v>1</v>
      </c>
      <c r="CB15" s="328">
        <v>4500000</v>
      </c>
      <c r="CC15" s="329">
        <f t="shared" si="37"/>
        <v>4657500</v>
      </c>
      <c r="CD15" s="335">
        <v>0.5</v>
      </c>
      <c r="CE15" s="331">
        <v>2</v>
      </c>
      <c r="CF15" s="332">
        <v>8</v>
      </c>
      <c r="CG15" s="333">
        <f t="shared" si="38"/>
        <v>23130000</v>
      </c>
      <c r="CH15" s="107">
        <f t="shared" si="12"/>
        <v>1</v>
      </c>
      <c r="CI15" s="107">
        <f t="shared" si="13"/>
        <v>1</v>
      </c>
      <c r="CJ15" s="107">
        <f t="shared" si="14"/>
        <v>1</v>
      </c>
      <c r="CK15" s="107">
        <f t="shared" si="15"/>
        <v>1</v>
      </c>
      <c r="CL15" s="107">
        <f t="shared" si="39"/>
        <v>1</v>
      </c>
      <c r="CM15" s="107">
        <f t="shared" si="40"/>
        <v>1</v>
      </c>
      <c r="CN15" s="107">
        <f t="shared" si="41"/>
        <v>1</v>
      </c>
      <c r="CO15" s="108">
        <f t="shared" si="42"/>
        <v>23130000</v>
      </c>
      <c r="CP15" s="109">
        <f t="shared" si="43"/>
        <v>0</v>
      </c>
    </row>
    <row r="16" spans="2:94" ht="52.5" customHeight="1">
      <c r="B16" s="325">
        <v>1.6</v>
      </c>
      <c r="C16" s="325" t="s">
        <v>141</v>
      </c>
      <c r="D16" s="326" t="s">
        <v>263</v>
      </c>
      <c r="E16" s="327">
        <v>1</v>
      </c>
      <c r="F16" s="328">
        <v>0</v>
      </c>
      <c r="G16" s="329">
        <f t="shared" si="16"/>
        <v>0</v>
      </c>
      <c r="H16" s="330">
        <v>1</v>
      </c>
      <c r="I16" s="331">
        <v>2</v>
      </c>
      <c r="J16" s="332">
        <v>8</v>
      </c>
      <c r="K16" s="333">
        <f t="shared" si="17"/>
        <v>0</v>
      </c>
      <c r="M16" s="412">
        <v>1.6</v>
      </c>
      <c r="N16" s="325" t="s">
        <v>141</v>
      </c>
      <c r="O16" s="326" t="s">
        <v>263</v>
      </c>
      <c r="P16" s="327">
        <v>1</v>
      </c>
      <c r="Q16" s="328">
        <v>2500000</v>
      </c>
      <c r="R16" s="329">
        <f t="shared" si="18"/>
        <v>2587500</v>
      </c>
      <c r="S16" s="330">
        <v>1</v>
      </c>
      <c r="T16" s="331">
        <v>2</v>
      </c>
      <c r="U16" s="332">
        <v>8</v>
      </c>
      <c r="V16" s="413">
        <f t="shared" si="19"/>
        <v>25700000</v>
      </c>
      <c r="W16" s="107">
        <f t="shared" si="0"/>
        <v>1</v>
      </c>
      <c r="X16" s="107">
        <f t="shared" si="1"/>
        <v>1</v>
      </c>
      <c r="Y16" s="107">
        <f t="shared" si="2"/>
        <v>1</v>
      </c>
      <c r="Z16" s="107">
        <f t="shared" si="3"/>
        <v>1</v>
      </c>
      <c r="AA16" s="107">
        <f t="shared" si="20"/>
        <v>1</v>
      </c>
      <c r="AB16" s="107">
        <f t="shared" si="21"/>
        <v>1</v>
      </c>
      <c r="AC16" s="107">
        <f t="shared" si="22"/>
        <v>1</v>
      </c>
      <c r="AD16" s="108">
        <f t="shared" si="23"/>
        <v>25700000</v>
      </c>
      <c r="AE16" s="109">
        <f t="shared" si="24"/>
        <v>0</v>
      </c>
      <c r="AH16" s="412"/>
      <c r="AI16" s="325"/>
      <c r="AJ16" s="326"/>
      <c r="AK16" s="327"/>
      <c r="AL16" s="328"/>
      <c r="AM16" s="329"/>
      <c r="AN16" s="330"/>
      <c r="AO16" s="331"/>
      <c r="AP16" s="332"/>
      <c r="AQ16" s="413"/>
      <c r="AR16" s="107">
        <f t="shared" si="4"/>
        <v>0</v>
      </c>
      <c r="AS16" s="107">
        <f t="shared" si="5"/>
        <v>0</v>
      </c>
      <c r="AT16" s="107">
        <f t="shared" si="6"/>
        <v>0</v>
      </c>
      <c r="AU16" s="107">
        <f t="shared" si="7"/>
        <v>0</v>
      </c>
      <c r="AV16" s="107">
        <f t="shared" si="25"/>
        <v>0</v>
      </c>
      <c r="AW16" s="107">
        <f t="shared" si="26"/>
        <v>0</v>
      </c>
      <c r="AX16" s="107">
        <f t="shared" si="27"/>
        <v>0</v>
      </c>
      <c r="AY16" s="108">
        <f t="shared" si="28"/>
        <v>0</v>
      </c>
      <c r="AZ16" s="109">
        <f t="shared" si="29"/>
        <v>0</v>
      </c>
      <c r="BC16" s="325">
        <v>1.6</v>
      </c>
      <c r="BD16" s="325" t="s">
        <v>141</v>
      </c>
      <c r="BE16" s="326" t="s">
        <v>263</v>
      </c>
      <c r="BF16" s="327">
        <v>1</v>
      </c>
      <c r="BG16" s="328">
        <v>2529250</v>
      </c>
      <c r="BH16" s="329">
        <f t="shared" si="30"/>
        <v>2617773.75</v>
      </c>
      <c r="BI16" s="330">
        <v>1</v>
      </c>
      <c r="BJ16" s="331">
        <v>2</v>
      </c>
      <c r="BK16" s="332">
        <v>8</v>
      </c>
      <c r="BL16" s="333">
        <f t="shared" si="31"/>
        <v>26000690</v>
      </c>
      <c r="BM16" s="107">
        <f t="shared" si="8"/>
        <v>1</v>
      </c>
      <c r="BN16" s="107">
        <f t="shared" si="9"/>
        <v>1</v>
      </c>
      <c r="BO16" s="107">
        <f t="shared" si="10"/>
        <v>1</v>
      </c>
      <c r="BP16" s="107">
        <f t="shared" si="11"/>
        <v>1</v>
      </c>
      <c r="BQ16" s="107">
        <f t="shared" si="32"/>
        <v>1</v>
      </c>
      <c r="BR16" s="107">
        <f t="shared" si="33"/>
        <v>1</v>
      </c>
      <c r="BS16" s="107">
        <f t="shared" si="34"/>
        <v>1</v>
      </c>
      <c r="BT16" s="108">
        <f t="shared" si="35"/>
        <v>26000690</v>
      </c>
      <c r="BU16" s="109">
        <f t="shared" si="36"/>
        <v>0</v>
      </c>
      <c r="BX16" s="325">
        <v>1.6</v>
      </c>
      <c r="BY16" s="325" t="s">
        <v>141</v>
      </c>
      <c r="BZ16" s="399" t="s">
        <v>255</v>
      </c>
      <c r="CA16" s="327">
        <v>1</v>
      </c>
      <c r="CB16" s="328">
        <v>2750000</v>
      </c>
      <c r="CC16" s="329">
        <f t="shared" si="37"/>
        <v>2846250</v>
      </c>
      <c r="CD16" s="330">
        <v>1</v>
      </c>
      <c r="CE16" s="331">
        <v>2</v>
      </c>
      <c r="CF16" s="332">
        <v>8</v>
      </c>
      <c r="CG16" s="333">
        <f t="shared" si="38"/>
        <v>28270000</v>
      </c>
      <c r="CH16" s="107">
        <f t="shared" si="12"/>
        <v>1</v>
      </c>
      <c r="CI16" s="107">
        <f t="shared" si="13"/>
        <v>1</v>
      </c>
      <c r="CJ16" s="107">
        <f t="shared" si="14"/>
        <v>1</v>
      </c>
      <c r="CK16" s="107">
        <f t="shared" si="15"/>
        <v>1</v>
      </c>
      <c r="CL16" s="107">
        <f t="shared" si="39"/>
        <v>1</v>
      </c>
      <c r="CM16" s="107">
        <f t="shared" si="40"/>
        <v>1</v>
      </c>
      <c r="CN16" s="107">
        <f t="shared" si="41"/>
        <v>1</v>
      </c>
      <c r="CO16" s="108">
        <f t="shared" si="42"/>
        <v>28270000</v>
      </c>
      <c r="CP16" s="109">
        <f t="shared" si="43"/>
        <v>0</v>
      </c>
    </row>
    <row r="17" spans="1:94" ht="63.75" customHeight="1" thickBot="1">
      <c r="B17" s="325">
        <v>1.7</v>
      </c>
      <c r="C17" s="325" t="s">
        <v>141</v>
      </c>
      <c r="D17" s="326" t="s">
        <v>264</v>
      </c>
      <c r="E17" s="327">
        <v>1</v>
      </c>
      <c r="F17" s="328">
        <v>0</v>
      </c>
      <c r="G17" s="329">
        <f t="shared" si="16"/>
        <v>0</v>
      </c>
      <c r="H17" s="330">
        <v>1</v>
      </c>
      <c r="I17" s="331">
        <v>2</v>
      </c>
      <c r="J17" s="332">
        <v>8</v>
      </c>
      <c r="K17" s="333">
        <f t="shared" si="17"/>
        <v>0</v>
      </c>
      <c r="M17" s="414">
        <v>1.7</v>
      </c>
      <c r="N17" s="415" t="s">
        <v>141</v>
      </c>
      <c r="O17" s="416" t="s">
        <v>264</v>
      </c>
      <c r="P17" s="417">
        <v>1</v>
      </c>
      <c r="Q17" s="418">
        <v>2500000</v>
      </c>
      <c r="R17" s="419">
        <f t="shared" si="18"/>
        <v>2587500</v>
      </c>
      <c r="S17" s="420">
        <v>1</v>
      </c>
      <c r="T17" s="421">
        <v>2</v>
      </c>
      <c r="U17" s="422">
        <v>8</v>
      </c>
      <c r="V17" s="423">
        <f t="shared" si="19"/>
        <v>25700000</v>
      </c>
      <c r="W17" s="107">
        <f t="shared" si="0"/>
        <v>1</v>
      </c>
      <c r="X17" s="107">
        <f t="shared" si="1"/>
        <v>1</v>
      </c>
      <c r="Y17" s="107">
        <f t="shared" si="2"/>
        <v>1</v>
      </c>
      <c r="Z17" s="107">
        <f t="shared" si="3"/>
        <v>1</v>
      </c>
      <c r="AA17" s="107">
        <f t="shared" si="20"/>
        <v>1</v>
      </c>
      <c r="AB17" s="107">
        <f t="shared" si="21"/>
        <v>1</v>
      </c>
      <c r="AC17" s="107">
        <f t="shared" si="22"/>
        <v>1</v>
      </c>
      <c r="AD17" s="108">
        <f t="shared" si="23"/>
        <v>25700000</v>
      </c>
      <c r="AE17" s="109">
        <f t="shared" si="24"/>
        <v>0</v>
      </c>
      <c r="AH17" s="414"/>
      <c r="AI17" s="415"/>
      <c r="AJ17" s="416"/>
      <c r="AK17" s="417"/>
      <c r="AL17" s="418"/>
      <c r="AM17" s="419"/>
      <c r="AN17" s="420"/>
      <c r="AO17" s="421"/>
      <c r="AP17" s="422"/>
      <c r="AQ17" s="423"/>
      <c r="AR17" s="107">
        <f t="shared" si="4"/>
        <v>0</v>
      </c>
      <c r="AS17" s="107">
        <f t="shared" si="5"/>
        <v>0</v>
      </c>
      <c r="AT17" s="107">
        <f t="shared" si="6"/>
        <v>0</v>
      </c>
      <c r="AU17" s="107">
        <f t="shared" si="7"/>
        <v>0</v>
      </c>
      <c r="AV17" s="107">
        <f t="shared" si="25"/>
        <v>0</v>
      </c>
      <c r="AW17" s="107">
        <f t="shared" si="26"/>
        <v>0</v>
      </c>
      <c r="AX17" s="107">
        <f t="shared" si="27"/>
        <v>0</v>
      </c>
      <c r="AY17" s="108">
        <f t="shared" si="28"/>
        <v>0</v>
      </c>
      <c r="AZ17" s="109">
        <f t="shared" si="29"/>
        <v>0</v>
      </c>
      <c r="BC17" s="325">
        <v>1.7</v>
      </c>
      <c r="BD17" s="325" t="s">
        <v>141</v>
      </c>
      <c r="BE17" s="326" t="s">
        <v>264</v>
      </c>
      <c r="BF17" s="327">
        <v>1</v>
      </c>
      <c r="BG17" s="328">
        <v>3500000</v>
      </c>
      <c r="BH17" s="329">
        <f t="shared" si="30"/>
        <v>3622499.9999999995</v>
      </c>
      <c r="BI17" s="330">
        <v>1</v>
      </c>
      <c r="BJ17" s="331">
        <v>2</v>
      </c>
      <c r="BK17" s="332">
        <v>8</v>
      </c>
      <c r="BL17" s="333">
        <f t="shared" si="31"/>
        <v>35980000</v>
      </c>
      <c r="BM17" s="107">
        <f t="shared" si="8"/>
        <v>1</v>
      </c>
      <c r="BN17" s="107">
        <f t="shared" si="9"/>
        <v>1</v>
      </c>
      <c r="BO17" s="107">
        <f t="shared" si="10"/>
        <v>1</v>
      </c>
      <c r="BP17" s="107">
        <f t="shared" si="11"/>
        <v>1</v>
      </c>
      <c r="BQ17" s="107">
        <f t="shared" si="32"/>
        <v>1</v>
      </c>
      <c r="BR17" s="107">
        <f t="shared" si="33"/>
        <v>1</v>
      </c>
      <c r="BS17" s="107">
        <f t="shared" si="34"/>
        <v>1</v>
      </c>
      <c r="BT17" s="108">
        <f t="shared" si="35"/>
        <v>35980000</v>
      </c>
      <c r="BU17" s="109">
        <f t="shared" si="36"/>
        <v>0</v>
      </c>
      <c r="BX17" s="325">
        <v>1.7</v>
      </c>
      <c r="BY17" s="325" t="s">
        <v>141</v>
      </c>
      <c r="BZ17" s="326" t="s">
        <v>256</v>
      </c>
      <c r="CA17" s="327">
        <v>1</v>
      </c>
      <c r="CB17" s="328">
        <v>4000000</v>
      </c>
      <c r="CC17" s="329">
        <f t="shared" si="37"/>
        <v>4139999.9999999995</v>
      </c>
      <c r="CD17" s="330">
        <v>1</v>
      </c>
      <c r="CE17" s="331">
        <v>2</v>
      </c>
      <c r="CF17" s="332">
        <v>8</v>
      </c>
      <c r="CG17" s="333">
        <f t="shared" si="38"/>
        <v>41120000</v>
      </c>
      <c r="CH17" s="107">
        <f t="shared" si="12"/>
        <v>1</v>
      </c>
      <c r="CI17" s="107">
        <f t="shared" si="13"/>
        <v>1</v>
      </c>
      <c r="CJ17" s="107">
        <f t="shared" si="14"/>
        <v>1</v>
      </c>
      <c r="CK17" s="107">
        <f t="shared" si="15"/>
        <v>1</v>
      </c>
      <c r="CL17" s="107">
        <f t="shared" si="39"/>
        <v>1</v>
      </c>
      <c r="CM17" s="107">
        <f t="shared" si="40"/>
        <v>1</v>
      </c>
      <c r="CN17" s="107">
        <f t="shared" si="41"/>
        <v>1</v>
      </c>
      <c r="CO17" s="108">
        <f t="shared" si="42"/>
        <v>41120000</v>
      </c>
      <c r="CP17" s="109">
        <f t="shared" si="43"/>
        <v>0</v>
      </c>
    </row>
    <row r="18" spans="1:94" ht="33" customHeight="1">
      <c r="B18" s="400"/>
      <c r="C18" s="401"/>
      <c r="D18" s="803" t="s">
        <v>257</v>
      </c>
      <c r="E18" s="804"/>
      <c r="F18" s="804"/>
      <c r="G18" s="804"/>
      <c r="H18" s="804"/>
      <c r="I18" s="804"/>
      <c r="J18" s="804"/>
      <c r="K18" s="805"/>
      <c r="M18" s="424"/>
      <c r="N18" s="425"/>
      <c r="O18" s="809" t="s">
        <v>257</v>
      </c>
      <c r="P18" s="810"/>
      <c r="Q18" s="810"/>
      <c r="R18" s="810"/>
      <c r="S18" s="810"/>
      <c r="T18" s="810"/>
      <c r="U18" s="810"/>
      <c r="V18" s="811"/>
      <c r="W18" s="783"/>
      <c r="X18" s="784"/>
      <c r="Y18" s="784"/>
      <c r="Z18" s="784"/>
      <c r="AA18" s="784"/>
      <c r="AB18" s="784"/>
      <c r="AC18" s="784"/>
      <c r="AD18" s="784"/>
      <c r="AE18" s="785"/>
      <c r="AH18" s="424"/>
      <c r="AI18" s="425"/>
      <c r="AJ18" s="809"/>
      <c r="AK18" s="810"/>
      <c r="AL18" s="810"/>
      <c r="AM18" s="810"/>
      <c r="AN18" s="810"/>
      <c r="AO18" s="810"/>
      <c r="AP18" s="810"/>
      <c r="AQ18" s="811"/>
      <c r="AR18" s="783"/>
      <c r="AS18" s="784"/>
      <c r="AT18" s="784"/>
      <c r="AU18" s="784"/>
      <c r="AV18" s="784"/>
      <c r="AW18" s="784"/>
      <c r="AX18" s="784"/>
      <c r="AY18" s="784"/>
      <c r="AZ18" s="785"/>
      <c r="BC18" s="400"/>
      <c r="BD18" s="401"/>
      <c r="BE18" s="803" t="s">
        <v>257</v>
      </c>
      <c r="BF18" s="804"/>
      <c r="BG18" s="804"/>
      <c r="BH18" s="804"/>
      <c r="BI18" s="804"/>
      <c r="BJ18" s="804"/>
      <c r="BK18" s="804"/>
      <c r="BL18" s="805"/>
      <c r="BM18" s="783"/>
      <c r="BN18" s="784"/>
      <c r="BO18" s="784"/>
      <c r="BP18" s="784"/>
      <c r="BQ18" s="784"/>
      <c r="BR18" s="784"/>
      <c r="BS18" s="784"/>
      <c r="BT18" s="784"/>
      <c r="BU18" s="785"/>
      <c r="BX18" s="400"/>
      <c r="BY18" s="401"/>
      <c r="BZ18" s="803" t="s">
        <v>257</v>
      </c>
      <c r="CA18" s="804"/>
      <c r="CB18" s="804"/>
      <c r="CC18" s="804"/>
      <c r="CD18" s="804"/>
      <c r="CE18" s="804"/>
      <c r="CF18" s="804"/>
      <c r="CG18" s="805"/>
      <c r="CH18" s="783"/>
      <c r="CI18" s="784"/>
      <c r="CJ18" s="784"/>
      <c r="CK18" s="784"/>
      <c r="CL18" s="784"/>
      <c r="CM18" s="784"/>
      <c r="CN18" s="784"/>
      <c r="CO18" s="784"/>
      <c r="CP18" s="785"/>
    </row>
    <row r="19" spans="1:94" ht="79.5" customHeight="1">
      <c r="B19" s="325">
        <v>1.8</v>
      </c>
      <c r="C19" s="325" t="s">
        <v>142</v>
      </c>
      <c r="D19" s="334" t="s">
        <v>224</v>
      </c>
      <c r="E19" s="327">
        <v>1</v>
      </c>
      <c r="F19" s="328">
        <v>0</v>
      </c>
      <c r="G19" s="329">
        <f>F19*1.035</f>
        <v>0</v>
      </c>
      <c r="H19" s="335">
        <v>0.1</v>
      </c>
      <c r="I19" s="331">
        <v>2</v>
      </c>
      <c r="J19" s="332">
        <v>8</v>
      </c>
      <c r="K19" s="333">
        <f t="shared" si="17"/>
        <v>0</v>
      </c>
      <c r="M19" s="412">
        <v>1.8</v>
      </c>
      <c r="N19" s="325" t="s">
        <v>142</v>
      </c>
      <c r="O19" s="334" t="s">
        <v>224</v>
      </c>
      <c r="P19" s="327">
        <v>1</v>
      </c>
      <c r="Q19" s="328">
        <v>8000000</v>
      </c>
      <c r="R19" s="329">
        <f>Q19*1.035</f>
        <v>8279999.9999999991</v>
      </c>
      <c r="S19" s="335">
        <v>0.1</v>
      </c>
      <c r="T19" s="331">
        <v>2</v>
      </c>
      <c r="U19" s="332">
        <v>8</v>
      </c>
      <c r="V19" s="413">
        <f t="shared" si="19"/>
        <v>8224000</v>
      </c>
      <c r="W19" s="107">
        <f>IFERROR(IF(EXACT(VLOOKUP(M19,OFERTA_0,1,FALSE),M19),1,0),0)</f>
        <v>1</v>
      </c>
      <c r="X19" s="107">
        <f>IFERROR(IF(EXACT(VLOOKUP(M19,OFERTA_0,3,FALSE),O19),1,0),0)</f>
        <v>1</v>
      </c>
      <c r="Y19" s="107">
        <f>IFERROR(IF(EXACT(VLOOKUP(M19,OFERTA_0,4,FALSE),P19),1,0),0)</f>
        <v>1</v>
      </c>
      <c r="Z19" s="107">
        <f>IFERROR(IF(EXACT(VLOOKUP(M19,OFERTA_0,7,FALSE),S19),1,0),0)</f>
        <v>1</v>
      </c>
      <c r="AA19" s="107">
        <f t="shared" ref="AA19:AA21" si="44">IFERROR(IF(R19&lt;=0,0,1),0)</f>
        <v>1</v>
      </c>
      <c r="AB19" s="107">
        <f t="shared" ref="AB19:AB22" si="45">IFERROR(IF(V19&lt;=0,0,1),0)</f>
        <v>1</v>
      </c>
      <c r="AC19" s="107">
        <f t="shared" ref="AC19:AC22" si="46">PRODUCT(W19:AB19)</f>
        <v>1</v>
      </c>
      <c r="AD19" s="108">
        <f t="shared" ref="AD19:AD22" si="47">ROUND(V19,0)</f>
        <v>8224000</v>
      </c>
      <c r="AE19" s="109">
        <f t="shared" ref="AE19:AE22" si="48">V19-AD19</f>
        <v>0</v>
      </c>
      <c r="AH19" s="412"/>
      <c r="AI19" s="325"/>
      <c r="AJ19" s="334"/>
      <c r="AK19" s="327"/>
      <c r="AL19" s="328"/>
      <c r="AM19" s="329"/>
      <c r="AN19" s="335"/>
      <c r="AO19" s="331"/>
      <c r="AP19" s="332"/>
      <c r="AQ19" s="413">
        <f t="shared" ref="AQ19:AQ21" si="49">ROUND(AK19*AL19*AN19*AO19,0)+ROUND(AK19*AM19*AN19*AP19,0)</f>
        <v>0</v>
      </c>
      <c r="AR19" s="107">
        <f>IFERROR(IF(EXACT(VLOOKUP(AH19,OFERTA_0,1,FALSE),AH19),1,0),0)</f>
        <v>0</v>
      </c>
      <c r="AS19" s="107">
        <f>IFERROR(IF(EXACT(VLOOKUP(AH19,OFERTA_0,3,FALSE),AJ19),1,0),0)</f>
        <v>0</v>
      </c>
      <c r="AT19" s="107">
        <f>IFERROR(IF(EXACT(VLOOKUP(AH19,OFERTA_0,4,FALSE),AK19),1,0),0)</f>
        <v>0</v>
      </c>
      <c r="AU19" s="107">
        <f>IFERROR(IF(EXACT(VLOOKUP(AH19,OFERTA_0,7,FALSE),AN19),1,0),0)</f>
        <v>0</v>
      </c>
      <c r="AV19" s="107">
        <f t="shared" ref="AV19:AV21" si="50">IFERROR(IF(AM19&lt;=0,0,1),0)</f>
        <v>0</v>
      </c>
      <c r="AW19" s="107">
        <f t="shared" ref="AW19:AW22" si="51">IFERROR(IF(AQ19&lt;=0,0,1),0)</f>
        <v>0</v>
      </c>
      <c r="AX19" s="107">
        <f t="shared" ref="AX19:AX22" si="52">PRODUCT(AR19:AW19)</f>
        <v>0</v>
      </c>
      <c r="AY19" s="108">
        <f t="shared" ref="AY19:AY22" si="53">ROUND(AQ19,0)</f>
        <v>0</v>
      </c>
      <c r="AZ19" s="109">
        <f t="shared" ref="AZ19:AZ22" si="54">AQ19-AY19</f>
        <v>0</v>
      </c>
      <c r="BC19" s="325">
        <v>1.8</v>
      </c>
      <c r="BD19" s="325" t="s">
        <v>142</v>
      </c>
      <c r="BE19" s="334" t="s">
        <v>224</v>
      </c>
      <c r="BF19" s="327">
        <v>1</v>
      </c>
      <c r="BG19" s="328">
        <v>12235000</v>
      </c>
      <c r="BH19" s="329">
        <f>BG19*1.035</f>
        <v>12663224.999999998</v>
      </c>
      <c r="BI19" s="335">
        <v>0.1</v>
      </c>
      <c r="BJ19" s="331">
        <v>2</v>
      </c>
      <c r="BK19" s="332">
        <v>8</v>
      </c>
      <c r="BL19" s="333">
        <f t="shared" ref="BL19:BL21" si="55">ROUND(BF19*BG19*BI19*BJ19,0)+ROUND(BF19*BH19*BI19*BK19,0)</f>
        <v>12577580</v>
      </c>
      <c r="BM19" s="107">
        <f>IFERROR(IF(EXACT(VLOOKUP(BC19,OFERTA_0,1,FALSE),BC19),1,0),0)</f>
        <v>1</v>
      </c>
      <c r="BN19" s="107">
        <f>IFERROR(IF(EXACT(VLOOKUP(BC19,OFERTA_0,3,FALSE),BE19),1,0),0)</f>
        <v>1</v>
      </c>
      <c r="BO19" s="107">
        <f>IFERROR(IF(EXACT(VLOOKUP(BC19,OFERTA_0,4,FALSE),BF19),1,0),0)</f>
        <v>1</v>
      </c>
      <c r="BP19" s="107">
        <f>IFERROR(IF(EXACT(VLOOKUP(BC19,OFERTA_0,7,FALSE),BI19),1,0),0)</f>
        <v>1</v>
      </c>
      <c r="BQ19" s="107">
        <f t="shared" ref="BQ19:BQ21" si="56">IFERROR(IF(BH19&lt;=0,0,1),0)</f>
        <v>1</v>
      </c>
      <c r="BR19" s="107">
        <f t="shared" ref="BR19:BR22" si="57">IFERROR(IF(BL19&lt;=0,0,1),0)</f>
        <v>1</v>
      </c>
      <c r="BS19" s="107">
        <f t="shared" ref="BS19:BS22" si="58">PRODUCT(BM19:BR19)</f>
        <v>1</v>
      </c>
      <c r="BT19" s="108">
        <f t="shared" ref="BT19:BT22" si="59">ROUND(BL19,0)</f>
        <v>12577580</v>
      </c>
      <c r="BU19" s="109">
        <f t="shared" ref="BU19:BU22" si="60">BL19-BT19</f>
        <v>0</v>
      </c>
      <c r="BX19" s="325">
        <v>1.8</v>
      </c>
      <c r="BY19" s="325" t="s">
        <v>142</v>
      </c>
      <c r="BZ19" s="334" t="s">
        <v>224</v>
      </c>
      <c r="CA19" s="327">
        <v>1</v>
      </c>
      <c r="CB19" s="328">
        <v>6000000</v>
      </c>
      <c r="CC19" s="329">
        <f>CB19*1.035</f>
        <v>6209999.9999999991</v>
      </c>
      <c r="CD19" s="335">
        <v>0.1</v>
      </c>
      <c r="CE19" s="331">
        <v>2</v>
      </c>
      <c r="CF19" s="332">
        <v>8</v>
      </c>
      <c r="CG19" s="333">
        <f t="shared" ref="CG19:CG21" si="61">ROUND(CA19*CB19*CD19*CE19,0)+ROUND(CA19*CC19*CD19*CF19,0)</f>
        <v>6168000</v>
      </c>
      <c r="CH19" s="107">
        <f>IFERROR(IF(EXACT(VLOOKUP(BX19,OFERTA_0,1,FALSE),BX19),1,0),0)</f>
        <v>1</v>
      </c>
      <c r="CI19" s="107">
        <f>IFERROR(IF(EXACT(VLOOKUP(BX19,OFERTA_0,3,FALSE),BZ19),1,0),0)</f>
        <v>1</v>
      </c>
      <c r="CJ19" s="107">
        <f>IFERROR(IF(EXACT(VLOOKUP(BX19,OFERTA_0,4,FALSE),CA19),1,0),0)</f>
        <v>1</v>
      </c>
      <c r="CK19" s="107">
        <f>IFERROR(IF(EXACT(VLOOKUP(BX19,OFERTA_0,7,FALSE),CD19),1,0),0)</f>
        <v>1</v>
      </c>
      <c r="CL19" s="107">
        <f t="shared" ref="CL19:CL21" si="62">IFERROR(IF(CC19&lt;=0,0,1),0)</f>
        <v>1</v>
      </c>
      <c r="CM19" s="107">
        <f t="shared" ref="CM19:CM22" si="63">IFERROR(IF(CG19&lt;=0,0,1),0)</f>
        <v>1</v>
      </c>
      <c r="CN19" s="107">
        <f t="shared" ref="CN19:CN22" si="64">PRODUCT(CH19:CM19)</f>
        <v>1</v>
      </c>
      <c r="CO19" s="108">
        <f t="shared" ref="CO19:CO22" si="65">ROUND(CG19,0)</f>
        <v>6168000</v>
      </c>
      <c r="CP19" s="109">
        <f t="shared" ref="CP19:CP22" si="66">CG19-CO19</f>
        <v>0</v>
      </c>
    </row>
    <row r="20" spans="1:94" s="188" customFormat="1" ht="86.25" customHeight="1">
      <c r="A20" s="186"/>
      <c r="B20" s="325">
        <v>1.9</v>
      </c>
      <c r="C20" s="325" t="s">
        <v>142</v>
      </c>
      <c r="D20" s="336" t="s">
        <v>225</v>
      </c>
      <c r="E20" s="327">
        <v>1</v>
      </c>
      <c r="F20" s="328">
        <v>0</v>
      </c>
      <c r="G20" s="329">
        <f t="shared" ref="G20:G21" si="67">F20*1.035</f>
        <v>0</v>
      </c>
      <c r="H20" s="335">
        <v>0.1</v>
      </c>
      <c r="I20" s="331">
        <v>2</v>
      </c>
      <c r="J20" s="332"/>
      <c r="K20" s="333">
        <f t="shared" si="17"/>
        <v>0</v>
      </c>
      <c r="M20" s="412">
        <v>1.9</v>
      </c>
      <c r="N20" s="325" t="s">
        <v>142</v>
      </c>
      <c r="O20" s="336" t="s">
        <v>225</v>
      </c>
      <c r="P20" s="327">
        <v>1</v>
      </c>
      <c r="Q20" s="328">
        <v>8000000</v>
      </c>
      <c r="R20" s="329">
        <f t="shared" ref="R20:R21" si="68">Q20*1.035</f>
        <v>8279999.9999999991</v>
      </c>
      <c r="S20" s="335">
        <v>0.1</v>
      </c>
      <c r="T20" s="331">
        <v>2</v>
      </c>
      <c r="U20" s="332"/>
      <c r="V20" s="413">
        <f t="shared" si="19"/>
        <v>1600000</v>
      </c>
      <c r="W20" s="107">
        <f>IFERROR(IF(EXACT(VLOOKUP(M20,OFERTA_0,1,FALSE),M20),1,0),0)</f>
        <v>1</v>
      </c>
      <c r="X20" s="107">
        <f>IFERROR(IF(EXACT(VLOOKUP(M20,OFERTA_0,3,FALSE),O20),1,0),0)</f>
        <v>1</v>
      </c>
      <c r="Y20" s="107">
        <f>IFERROR(IF(EXACT(VLOOKUP(M20,OFERTA_0,4,FALSE),P20),1,0),0)</f>
        <v>1</v>
      </c>
      <c r="Z20" s="107">
        <f>IFERROR(IF(EXACT(VLOOKUP(M20,OFERTA_0,7,FALSE),S20),1,0),0)</f>
        <v>1</v>
      </c>
      <c r="AA20" s="107">
        <f t="shared" si="44"/>
        <v>1</v>
      </c>
      <c r="AB20" s="107">
        <f t="shared" si="45"/>
        <v>1</v>
      </c>
      <c r="AC20" s="107">
        <f t="shared" si="46"/>
        <v>1</v>
      </c>
      <c r="AD20" s="108">
        <f t="shared" si="47"/>
        <v>1600000</v>
      </c>
      <c r="AE20" s="109">
        <f t="shared" si="48"/>
        <v>0</v>
      </c>
      <c r="AH20" s="412"/>
      <c r="AI20" s="325"/>
      <c r="AJ20" s="336"/>
      <c r="AK20" s="327"/>
      <c r="AL20" s="328"/>
      <c r="AM20" s="329"/>
      <c r="AN20" s="335"/>
      <c r="AO20" s="331"/>
      <c r="AP20" s="332"/>
      <c r="AQ20" s="413">
        <f t="shared" si="49"/>
        <v>0</v>
      </c>
      <c r="AR20" s="107">
        <f>IFERROR(IF(EXACT(VLOOKUP(AH20,OFERTA_0,1,FALSE),AH20),1,0),0)</f>
        <v>0</v>
      </c>
      <c r="AS20" s="107">
        <f>IFERROR(IF(EXACT(VLOOKUP(AH20,OFERTA_0,3,FALSE),AJ20),1,0),0)</f>
        <v>0</v>
      </c>
      <c r="AT20" s="107">
        <f>IFERROR(IF(EXACT(VLOOKUP(AH20,OFERTA_0,4,FALSE),AK20),1,0),0)</f>
        <v>0</v>
      </c>
      <c r="AU20" s="107">
        <f>IFERROR(IF(EXACT(VLOOKUP(AH20,OFERTA_0,7,FALSE),AN20),1,0),0)</f>
        <v>0</v>
      </c>
      <c r="AV20" s="107">
        <f t="shared" si="50"/>
        <v>0</v>
      </c>
      <c r="AW20" s="107">
        <f t="shared" si="51"/>
        <v>0</v>
      </c>
      <c r="AX20" s="107">
        <f t="shared" si="52"/>
        <v>0</v>
      </c>
      <c r="AY20" s="108">
        <f t="shared" si="53"/>
        <v>0</v>
      </c>
      <c r="AZ20" s="109">
        <f t="shared" si="54"/>
        <v>0</v>
      </c>
      <c r="BC20" s="325">
        <v>1.9</v>
      </c>
      <c r="BD20" s="325" t="s">
        <v>142</v>
      </c>
      <c r="BE20" s="336" t="s">
        <v>225</v>
      </c>
      <c r="BF20" s="327">
        <v>1</v>
      </c>
      <c r="BG20" s="328">
        <v>6000000</v>
      </c>
      <c r="BH20" s="329">
        <f t="shared" ref="BH20:BH21" si="69">BG20*1.035</f>
        <v>6209999.9999999991</v>
      </c>
      <c r="BI20" s="335">
        <v>0.1</v>
      </c>
      <c r="BJ20" s="331">
        <v>2</v>
      </c>
      <c r="BK20" s="332"/>
      <c r="BL20" s="333">
        <f t="shared" si="55"/>
        <v>1200000</v>
      </c>
      <c r="BM20" s="107">
        <f>IFERROR(IF(EXACT(VLOOKUP(BC20,OFERTA_0,1,FALSE),BC20),1,0),0)</f>
        <v>1</v>
      </c>
      <c r="BN20" s="107">
        <f>IFERROR(IF(EXACT(VLOOKUP(BC20,OFERTA_0,3,FALSE),BE20),1,0),0)</f>
        <v>1</v>
      </c>
      <c r="BO20" s="107">
        <f>IFERROR(IF(EXACT(VLOOKUP(BC20,OFERTA_0,4,FALSE),BF20),1,0),0)</f>
        <v>1</v>
      </c>
      <c r="BP20" s="107">
        <f>IFERROR(IF(EXACT(VLOOKUP(BC20,OFERTA_0,7,FALSE),BI20),1,0),0)</f>
        <v>1</v>
      </c>
      <c r="BQ20" s="107">
        <f t="shared" si="56"/>
        <v>1</v>
      </c>
      <c r="BR20" s="107">
        <f t="shared" si="57"/>
        <v>1</v>
      </c>
      <c r="BS20" s="107">
        <f t="shared" si="58"/>
        <v>1</v>
      </c>
      <c r="BT20" s="108">
        <f t="shared" si="59"/>
        <v>1200000</v>
      </c>
      <c r="BU20" s="109">
        <f t="shared" si="60"/>
        <v>0</v>
      </c>
      <c r="BX20" s="325">
        <v>1.9</v>
      </c>
      <c r="BY20" s="325" t="s">
        <v>142</v>
      </c>
      <c r="BZ20" s="336" t="s">
        <v>225</v>
      </c>
      <c r="CA20" s="327">
        <v>1</v>
      </c>
      <c r="CB20" s="328">
        <v>8000000</v>
      </c>
      <c r="CC20" s="329">
        <f t="shared" ref="CC20:CC21" si="70">CB20*1.035</f>
        <v>8279999.9999999991</v>
      </c>
      <c r="CD20" s="335">
        <v>0.1</v>
      </c>
      <c r="CE20" s="331">
        <v>2</v>
      </c>
      <c r="CF20" s="332"/>
      <c r="CG20" s="333">
        <f t="shared" si="61"/>
        <v>1600000</v>
      </c>
      <c r="CH20" s="107">
        <f>IFERROR(IF(EXACT(VLOOKUP(BX20,OFERTA_0,1,FALSE),BX20),1,0),0)</f>
        <v>1</v>
      </c>
      <c r="CI20" s="107">
        <f>IFERROR(IF(EXACT(VLOOKUP(BX20,OFERTA_0,3,FALSE),BZ20),1,0),0)</f>
        <v>1</v>
      </c>
      <c r="CJ20" s="107">
        <f>IFERROR(IF(EXACT(VLOOKUP(BX20,OFERTA_0,4,FALSE),CA20),1,0),0)</f>
        <v>1</v>
      </c>
      <c r="CK20" s="107">
        <f>IFERROR(IF(EXACT(VLOOKUP(BX20,OFERTA_0,7,FALSE),CD20),1,0),0)</f>
        <v>1</v>
      </c>
      <c r="CL20" s="107">
        <f t="shared" si="62"/>
        <v>1</v>
      </c>
      <c r="CM20" s="107">
        <f t="shared" si="63"/>
        <v>1</v>
      </c>
      <c r="CN20" s="107">
        <f t="shared" si="64"/>
        <v>1</v>
      </c>
      <c r="CO20" s="108">
        <f t="shared" si="65"/>
        <v>1600000</v>
      </c>
      <c r="CP20" s="109">
        <f t="shared" si="66"/>
        <v>0</v>
      </c>
    </row>
    <row r="21" spans="1:94" s="188" customFormat="1" ht="76.5" customHeight="1">
      <c r="A21" s="186"/>
      <c r="B21" s="325" t="s">
        <v>213</v>
      </c>
      <c r="C21" s="325" t="s">
        <v>141</v>
      </c>
      <c r="D21" s="336" t="s">
        <v>258</v>
      </c>
      <c r="E21" s="327">
        <v>1</v>
      </c>
      <c r="F21" s="328">
        <v>0</v>
      </c>
      <c r="G21" s="329">
        <f t="shared" si="67"/>
        <v>0</v>
      </c>
      <c r="H21" s="335">
        <v>1</v>
      </c>
      <c r="I21" s="331">
        <v>2</v>
      </c>
      <c r="J21" s="332">
        <v>8</v>
      </c>
      <c r="K21" s="333">
        <f t="shared" si="17"/>
        <v>0</v>
      </c>
      <c r="M21" s="412" t="s">
        <v>213</v>
      </c>
      <c r="N21" s="325" t="s">
        <v>141</v>
      </c>
      <c r="O21" s="336" t="s">
        <v>258</v>
      </c>
      <c r="P21" s="327">
        <v>1</v>
      </c>
      <c r="Q21" s="328">
        <v>3000000</v>
      </c>
      <c r="R21" s="329">
        <f t="shared" si="68"/>
        <v>3104999.9999999995</v>
      </c>
      <c r="S21" s="335">
        <v>1</v>
      </c>
      <c r="T21" s="331">
        <v>2</v>
      </c>
      <c r="U21" s="332">
        <v>8</v>
      </c>
      <c r="V21" s="413">
        <f t="shared" si="19"/>
        <v>30840000</v>
      </c>
      <c r="W21" s="107">
        <f>IFERROR(IF(EXACT(VLOOKUP(M21,OFERTA_0,1,FALSE),M21),1,0),0)</f>
        <v>1</v>
      </c>
      <c r="X21" s="107">
        <f>IFERROR(IF(EXACT(VLOOKUP(M21,OFERTA_0,3,FALSE),O21),1,0),0)</f>
        <v>1</v>
      </c>
      <c r="Y21" s="107">
        <f>IFERROR(IF(EXACT(VLOOKUP(M21,OFERTA_0,4,FALSE),P21),1,0),0)</f>
        <v>1</v>
      </c>
      <c r="Z21" s="107">
        <f>IFERROR(IF(EXACT(VLOOKUP(M21,OFERTA_0,7,FALSE),S21),1,0),0)</f>
        <v>1</v>
      </c>
      <c r="AA21" s="107">
        <f t="shared" si="44"/>
        <v>1</v>
      </c>
      <c r="AB21" s="107">
        <f t="shared" si="45"/>
        <v>1</v>
      </c>
      <c r="AC21" s="107">
        <f t="shared" si="46"/>
        <v>1</v>
      </c>
      <c r="AD21" s="108">
        <f t="shared" si="47"/>
        <v>30840000</v>
      </c>
      <c r="AE21" s="109">
        <f t="shared" si="48"/>
        <v>0</v>
      </c>
      <c r="AH21" s="412"/>
      <c r="AI21" s="325"/>
      <c r="AJ21" s="336"/>
      <c r="AK21" s="327"/>
      <c r="AL21" s="328"/>
      <c r="AM21" s="329"/>
      <c r="AN21" s="335"/>
      <c r="AO21" s="331"/>
      <c r="AP21" s="332"/>
      <c r="AQ21" s="413">
        <f t="shared" si="49"/>
        <v>0</v>
      </c>
      <c r="AR21" s="107">
        <f>IFERROR(IF(EXACT(VLOOKUP(AH21,OFERTA_0,1,FALSE),AH21),1,0),0)</f>
        <v>0</v>
      </c>
      <c r="AS21" s="107">
        <f>IFERROR(IF(EXACT(VLOOKUP(AH21,OFERTA_0,3,FALSE),AJ21),1,0),0)</f>
        <v>0</v>
      </c>
      <c r="AT21" s="107">
        <f>IFERROR(IF(EXACT(VLOOKUP(AH21,OFERTA_0,4,FALSE),AK21),1,0),0)</f>
        <v>0</v>
      </c>
      <c r="AU21" s="107">
        <f>IFERROR(IF(EXACT(VLOOKUP(AH21,OFERTA_0,7,FALSE),AN21),1,0),0)</f>
        <v>0</v>
      </c>
      <c r="AV21" s="107">
        <f t="shared" si="50"/>
        <v>0</v>
      </c>
      <c r="AW21" s="107">
        <f t="shared" si="51"/>
        <v>0</v>
      </c>
      <c r="AX21" s="107">
        <f t="shared" si="52"/>
        <v>0</v>
      </c>
      <c r="AY21" s="108">
        <f t="shared" si="53"/>
        <v>0</v>
      </c>
      <c r="AZ21" s="109">
        <f t="shared" si="54"/>
        <v>0</v>
      </c>
      <c r="BC21" s="325" t="s">
        <v>213</v>
      </c>
      <c r="BD21" s="325" t="s">
        <v>141</v>
      </c>
      <c r="BE21" s="336" t="s">
        <v>258</v>
      </c>
      <c r="BF21" s="327">
        <v>1</v>
      </c>
      <c r="BG21" s="328">
        <v>3000000</v>
      </c>
      <c r="BH21" s="329">
        <f t="shared" si="69"/>
        <v>3104999.9999999995</v>
      </c>
      <c r="BI21" s="335">
        <v>1</v>
      </c>
      <c r="BJ21" s="331">
        <v>2</v>
      </c>
      <c r="BK21" s="332">
        <v>8</v>
      </c>
      <c r="BL21" s="333">
        <f t="shared" si="55"/>
        <v>30840000</v>
      </c>
      <c r="BM21" s="107">
        <f>IFERROR(IF(EXACT(VLOOKUP(BC21,OFERTA_0,1,FALSE),BC21),1,0),0)</f>
        <v>1</v>
      </c>
      <c r="BN21" s="107">
        <f>IFERROR(IF(EXACT(VLOOKUP(BC21,OFERTA_0,3,FALSE),BE21),1,0),0)</f>
        <v>1</v>
      </c>
      <c r="BO21" s="107">
        <f>IFERROR(IF(EXACT(VLOOKUP(BC21,OFERTA_0,4,FALSE),BF21),1,0),0)</f>
        <v>1</v>
      </c>
      <c r="BP21" s="107">
        <f>IFERROR(IF(EXACT(VLOOKUP(BC21,OFERTA_0,7,FALSE),BI21),1,0),0)</f>
        <v>1</v>
      </c>
      <c r="BQ21" s="107">
        <f t="shared" si="56"/>
        <v>1</v>
      </c>
      <c r="BR21" s="107">
        <f t="shared" si="57"/>
        <v>1</v>
      </c>
      <c r="BS21" s="107">
        <f t="shared" si="58"/>
        <v>1</v>
      </c>
      <c r="BT21" s="108">
        <f t="shared" si="59"/>
        <v>30840000</v>
      </c>
      <c r="BU21" s="109">
        <f t="shared" si="60"/>
        <v>0</v>
      </c>
      <c r="BX21" s="325" t="s">
        <v>213</v>
      </c>
      <c r="BY21" s="325" t="s">
        <v>141</v>
      </c>
      <c r="BZ21" s="336" t="s">
        <v>258</v>
      </c>
      <c r="CA21" s="327">
        <v>1</v>
      </c>
      <c r="CB21" s="328">
        <v>4500000</v>
      </c>
      <c r="CC21" s="329">
        <f t="shared" si="70"/>
        <v>4657500</v>
      </c>
      <c r="CD21" s="335">
        <v>1</v>
      </c>
      <c r="CE21" s="331">
        <v>2</v>
      </c>
      <c r="CF21" s="332">
        <v>8</v>
      </c>
      <c r="CG21" s="333">
        <f t="shared" si="61"/>
        <v>46260000</v>
      </c>
      <c r="CH21" s="107">
        <f>IFERROR(IF(EXACT(VLOOKUP(BX21,OFERTA_0,1,FALSE),BX21),1,0),0)</f>
        <v>1</v>
      </c>
      <c r="CI21" s="107">
        <f>IFERROR(IF(EXACT(VLOOKUP(BX21,OFERTA_0,3,FALSE),BZ21),1,0),0)</f>
        <v>1</v>
      </c>
      <c r="CJ21" s="107">
        <f>IFERROR(IF(EXACT(VLOOKUP(BX21,OFERTA_0,4,FALSE),CA21),1,0),0)</f>
        <v>1</v>
      </c>
      <c r="CK21" s="107">
        <f>IFERROR(IF(EXACT(VLOOKUP(BX21,OFERTA_0,7,FALSE),CD21),1,0),0)</f>
        <v>1</v>
      </c>
      <c r="CL21" s="107">
        <f t="shared" si="62"/>
        <v>1</v>
      </c>
      <c r="CM21" s="107">
        <f t="shared" si="63"/>
        <v>1</v>
      </c>
      <c r="CN21" s="107">
        <f t="shared" si="64"/>
        <v>1</v>
      </c>
      <c r="CO21" s="108">
        <f t="shared" si="65"/>
        <v>46260000</v>
      </c>
      <c r="CP21" s="109">
        <f t="shared" si="66"/>
        <v>0</v>
      </c>
    </row>
    <row r="22" spans="1:94" s="188" customFormat="1" ht="25.5" customHeight="1">
      <c r="A22" s="186"/>
      <c r="B22" s="779" t="s">
        <v>259</v>
      </c>
      <c r="C22" s="780"/>
      <c r="D22" s="781"/>
      <c r="E22" s="781"/>
      <c r="F22" s="781"/>
      <c r="G22" s="781"/>
      <c r="H22" s="781"/>
      <c r="I22" s="782"/>
      <c r="J22" s="402"/>
      <c r="K22" s="403">
        <f>SUM(K11:K21)</f>
        <v>0</v>
      </c>
      <c r="M22" s="808" t="s">
        <v>259</v>
      </c>
      <c r="N22" s="780"/>
      <c r="O22" s="781"/>
      <c r="P22" s="781"/>
      <c r="Q22" s="781"/>
      <c r="R22" s="781"/>
      <c r="S22" s="781"/>
      <c r="T22" s="782"/>
      <c r="U22" s="402"/>
      <c r="V22" s="426">
        <f>SUM(V11:V21)</f>
        <v>164838000</v>
      </c>
      <c r="W22" s="107">
        <f>IFERROR(IF(EXACT(VLOOKUP(M22,OFERTA_0,1,FALSE),M22),1,0),0)</f>
        <v>1</v>
      </c>
      <c r="X22" s="107">
        <f>IFERROR(IF(EXACT(VLOOKUP(M22,OFERTA_0,3,FALSE),O22),1,0),0)</f>
        <v>1</v>
      </c>
      <c r="Y22" s="107">
        <f>IFERROR(IF(EXACT(VLOOKUP(M22,OFERTA_0,4,FALSE),P22),1,0),0)</f>
        <v>1</v>
      </c>
      <c r="Z22" s="107">
        <f>IFERROR(IF(EXACT(VLOOKUP(M22,OFERTA_0,7,FALSE),S22),1,0),0)</f>
        <v>1</v>
      </c>
      <c r="AA22" s="107">
        <v>1</v>
      </c>
      <c r="AB22" s="107">
        <f t="shared" si="45"/>
        <v>1</v>
      </c>
      <c r="AC22" s="107">
        <f t="shared" si="46"/>
        <v>1</v>
      </c>
      <c r="AD22" s="108">
        <f t="shared" si="47"/>
        <v>164838000</v>
      </c>
      <c r="AE22" s="109">
        <f t="shared" si="48"/>
        <v>0</v>
      </c>
      <c r="AH22" s="808"/>
      <c r="AI22" s="780"/>
      <c r="AJ22" s="781"/>
      <c r="AK22" s="781"/>
      <c r="AL22" s="781"/>
      <c r="AM22" s="781"/>
      <c r="AN22" s="781"/>
      <c r="AO22" s="782"/>
      <c r="AP22" s="402"/>
      <c r="AQ22" s="426">
        <f>SUM(AQ11:AQ21)</f>
        <v>0</v>
      </c>
      <c r="AR22" s="107">
        <f>IFERROR(IF(EXACT(VLOOKUP(AH22,OFERTA_0,1,FALSE),AH22),1,0),0)</f>
        <v>0</v>
      </c>
      <c r="AS22" s="107">
        <f>IFERROR(IF(EXACT(VLOOKUP(AH22,OFERTA_0,3,FALSE),AJ22),1,0),0)</f>
        <v>0</v>
      </c>
      <c r="AT22" s="107">
        <f>IFERROR(IF(EXACT(VLOOKUP(AH22,OFERTA_0,4,FALSE),AK22),1,0),0)</f>
        <v>0</v>
      </c>
      <c r="AU22" s="107">
        <f>IFERROR(IF(EXACT(VLOOKUP(AH22,OFERTA_0,7,FALSE),AN22),1,0),0)</f>
        <v>0</v>
      </c>
      <c r="AV22" s="107">
        <v>1</v>
      </c>
      <c r="AW22" s="107">
        <f t="shared" si="51"/>
        <v>0</v>
      </c>
      <c r="AX22" s="107">
        <f t="shared" si="52"/>
        <v>0</v>
      </c>
      <c r="AY22" s="108">
        <f t="shared" si="53"/>
        <v>0</v>
      </c>
      <c r="AZ22" s="109">
        <f t="shared" si="54"/>
        <v>0</v>
      </c>
      <c r="BC22" s="779" t="s">
        <v>259</v>
      </c>
      <c r="BD22" s="780"/>
      <c r="BE22" s="781"/>
      <c r="BF22" s="781"/>
      <c r="BG22" s="781"/>
      <c r="BH22" s="781"/>
      <c r="BI22" s="781"/>
      <c r="BJ22" s="782"/>
      <c r="BK22" s="402"/>
      <c r="BL22" s="403">
        <f>SUM(BL11:BL21)</f>
        <v>216526278</v>
      </c>
      <c r="BM22" s="107">
        <f>IFERROR(IF(EXACT(VLOOKUP(BC22,OFERTA_0,1,FALSE),BC22),1,0),0)</f>
        <v>1</v>
      </c>
      <c r="BN22" s="107">
        <f>IFERROR(IF(EXACT(VLOOKUP(BC22,OFERTA_0,3,FALSE),BE22),1,0),0)</f>
        <v>1</v>
      </c>
      <c r="BO22" s="107">
        <f>IFERROR(IF(EXACT(VLOOKUP(BC22,OFERTA_0,4,FALSE),BF22),1,0),0)</f>
        <v>1</v>
      </c>
      <c r="BP22" s="107">
        <f>IFERROR(IF(EXACT(VLOOKUP(BC22,OFERTA_0,7,FALSE),BI22),1,0),0)</f>
        <v>1</v>
      </c>
      <c r="BQ22" s="107">
        <v>1</v>
      </c>
      <c r="BR22" s="107">
        <f t="shared" si="57"/>
        <v>1</v>
      </c>
      <c r="BS22" s="107">
        <f t="shared" si="58"/>
        <v>1</v>
      </c>
      <c r="BT22" s="108">
        <f t="shared" si="59"/>
        <v>216526278</v>
      </c>
      <c r="BU22" s="109">
        <f t="shared" si="60"/>
        <v>0</v>
      </c>
      <c r="BX22" s="779" t="s">
        <v>259</v>
      </c>
      <c r="BY22" s="780"/>
      <c r="BZ22" s="781"/>
      <c r="CA22" s="781"/>
      <c r="CB22" s="781"/>
      <c r="CC22" s="781"/>
      <c r="CD22" s="781"/>
      <c r="CE22" s="782"/>
      <c r="CF22" s="402"/>
      <c r="CG22" s="403">
        <f>SUM(CG11:CG21)</f>
        <v>228608250</v>
      </c>
      <c r="CH22" s="107">
        <f>IFERROR(IF(EXACT(VLOOKUP(BX22,OFERTA_0,1,FALSE),BX22),1,0),0)</f>
        <v>1</v>
      </c>
      <c r="CI22" s="107">
        <f>IFERROR(IF(EXACT(VLOOKUP(BX22,OFERTA_0,3,FALSE),BZ22),1,0),0)</f>
        <v>1</v>
      </c>
      <c r="CJ22" s="107">
        <f>IFERROR(IF(EXACT(VLOOKUP(BX22,OFERTA_0,4,FALSE),CA22),1,0),0)</f>
        <v>1</v>
      </c>
      <c r="CK22" s="107">
        <f>IFERROR(IF(EXACT(VLOOKUP(BX22,OFERTA_0,7,FALSE),CD22),1,0),0)</f>
        <v>1</v>
      </c>
      <c r="CL22" s="107">
        <v>1</v>
      </c>
      <c r="CM22" s="107">
        <f t="shared" si="63"/>
        <v>1</v>
      </c>
      <c r="CN22" s="107">
        <f t="shared" si="64"/>
        <v>1</v>
      </c>
      <c r="CO22" s="108">
        <f t="shared" si="65"/>
        <v>228608250</v>
      </c>
      <c r="CP22" s="109">
        <f t="shared" si="66"/>
        <v>0</v>
      </c>
    </row>
    <row r="23" spans="1:94" s="188" customFormat="1">
      <c r="A23" s="186"/>
      <c r="B23" s="337"/>
      <c r="C23" s="338"/>
      <c r="D23" s="339"/>
      <c r="E23" s="339"/>
      <c r="F23" s="339"/>
      <c r="G23" s="339"/>
      <c r="H23" s="339"/>
      <c r="I23" s="340"/>
      <c r="J23" s="339"/>
      <c r="K23" s="341"/>
      <c r="M23" s="427"/>
      <c r="N23" s="338"/>
      <c r="O23" s="339"/>
      <c r="P23" s="339"/>
      <c r="Q23" s="339"/>
      <c r="R23" s="339"/>
      <c r="S23" s="339"/>
      <c r="T23" s="340"/>
      <c r="U23" s="339"/>
      <c r="V23" s="428"/>
      <c r="W23" s="783"/>
      <c r="X23" s="784"/>
      <c r="Y23" s="784"/>
      <c r="Z23" s="784"/>
      <c r="AA23" s="784"/>
      <c r="AB23" s="784"/>
      <c r="AC23" s="784"/>
      <c r="AD23" s="784"/>
      <c r="AE23" s="785"/>
      <c r="AH23" s="427"/>
      <c r="AI23" s="338"/>
      <c r="AJ23" s="339"/>
      <c r="AK23" s="339"/>
      <c r="AL23" s="339"/>
      <c r="AM23" s="339"/>
      <c r="AN23" s="339"/>
      <c r="AO23" s="340"/>
      <c r="AP23" s="339"/>
      <c r="AQ23" s="428"/>
      <c r="AR23" s="783"/>
      <c r="AS23" s="784"/>
      <c r="AT23" s="784"/>
      <c r="AU23" s="784"/>
      <c r="AV23" s="784"/>
      <c r="AW23" s="784"/>
      <c r="AX23" s="784"/>
      <c r="AY23" s="784"/>
      <c r="AZ23" s="785"/>
      <c r="BC23" s="427"/>
      <c r="BD23" s="338"/>
      <c r="BE23" s="339"/>
      <c r="BF23" s="339"/>
      <c r="BG23" s="339"/>
      <c r="BH23" s="339"/>
      <c r="BI23" s="339"/>
      <c r="BJ23" s="340"/>
      <c r="BK23" s="339"/>
      <c r="BL23" s="428"/>
      <c r="BM23" s="783"/>
      <c r="BN23" s="784"/>
      <c r="BO23" s="784"/>
      <c r="BP23" s="784"/>
      <c r="BQ23" s="784"/>
      <c r="BR23" s="784"/>
      <c r="BS23" s="784"/>
      <c r="BT23" s="784"/>
      <c r="BU23" s="785"/>
      <c r="BX23" s="427"/>
      <c r="BY23" s="338"/>
      <c r="BZ23" s="339"/>
      <c r="CA23" s="339"/>
      <c r="CB23" s="339"/>
      <c r="CC23" s="339"/>
      <c r="CD23" s="339"/>
      <c r="CE23" s="340"/>
      <c r="CF23" s="339"/>
      <c r="CG23" s="428"/>
      <c r="CH23" s="783"/>
      <c r="CI23" s="784"/>
      <c r="CJ23" s="784"/>
      <c r="CK23" s="784"/>
      <c r="CL23" s="784"/>
      <c r="CM23" s="784"/>
      <c r="CN23" s="784"/>
      <c r="CO23" s="784"/>
      <c r="CP23" s="785"/>
    </row>
    <row r="24" spans="1:94" s="188" customFormat="1">
      <c r="A24" s="186"/>
      <c r="B24" s="342"/>
      <c r="C24" s="343"/>
      <c r="D24" s="786" t="s">
        <v>226</v>
      </c>
      <c r="E24" s="763"/>
      <c r="F24" s="763"/>
      <c r="G24" s="763"/>
      <c r="H24" s="763"/>
      <c r="I24" s="764"/>
      <c r="J24" s="344"/>
      <c r="K24" s="345">
        <f>+K22</f>
        <v>0</v>
      </c>
      <c r="M24" s="429"/>
      <c r="N24" s="343"/>
      <c r="O24" s="786" t="s">
        <v>226</v>
      </c>
      <c r="P24" s="763"/>
      <c r="Q24" s="763"/>
      <c r="R24" s="763"/>
      <c r="S24" s="763"/>
      <c r="T24" s="764"/>
      <c r="U24" s="344"/>
      <c r="V24" s="430">
        <f>+V22</f>
        <v>164838000</v>
      </c>
      <c r="W24" s="783"/>
      <c r="X24" s="784"/>
      <c r="Y24" s="784"/>
      <c r="Z24" s="784"/>
      <c r="AA24" s="784"/>
      <c r="AB24" s="784"/>
      <c r="AC24" s="784"/>
      <c r="AD24" s="784"/>
      <c r="AE24" s="785"/>
      <c r="AH24" s="429"/>
      <c r="AI24" s="343"/>
      <c r="AJ24" s="786"/>
      <c r="AK24" s="763"/>
      <c r="AL24" s="763"/>
      <c r="AM24" s="763"/>
      <c r="AN24" s="763"/>
      <c r="AO24" s="764"/>
      <c r="AP24" s="344"/>
      <c r="AQ24" s="430">
        <f>+AQ22</f>
        <v>0</v>
      </c>
      <c r="AR24" s="783"/>
      <c r="AS24" s="784"/>
      <c r="AT24" s="784"/>
      <c r="AU24" s="784"/>
      <c r="AV24" s="784"/>
      <c r="AW24" s="784"/>
      <c r="AX24" s="784"/>
      <c r="AY24" s="784"/>
      <c r="AZ24" s="785"/>
      <c r="BC24" s="342"/>
      <c r="BD24" s="343"/>
      <c r="BE24" s="786" t="s">
        <v>226</v>
      </c>
      <c r="BF24" s="763"/>
      <c r="BG24" s="763"/>
      <c r="BH24" s="763"/>
      <c r="BI24" s="763"/>
      <c r="BJ24" s="764"/>
      <c r="BK24" s="344"/>
      <c r="BL24" s="345">
        <f>+BL22</f>
        <v>216526278</v>
      </c>
      <c r="BM24" s="783"/>
      <c r="BN24" s="784"/>
      <c r="BO24" s="784"/>
      <c r="BP24" s="784"/>
      <c r="BQ24" s="784"/>
      <c r="BR24" s="784"/>
      <c r="BS24" s="784"/>
      <c r="BT24" s="784"/>
      <c r="BU24" s="785"/>
      <c r="BX24" s="342"/>
      <c r="BY24" s="343"/>
      <c r="BZ24" s="786" t="s">
        <v>226</v>
      </c>
      <c r="CA24" s="763"/>
      <c r="CB24" s="763"/>
      <c r="CC24" s="763"/>
      <c r="CD24" s="763"/>
      <c r="CE24" s="764"/>
      <c r="CF24" s="344"/>
      <c r="CG24" s="345">
        <f>+CG22</f>
        <v>228608250</v>
      </c>
      <c r="CH24" s="783"/>
      <c r="CI24" s="784"/>
      <c r="CJ24" s="784"/>
      <c r="CK24" s="784"/>
      <c r="CL24" s="784"/>
      <c r="CM24" s="784"/>
      <c r="CN24" s="784"/>
      <c r="CO24" s="784"/>
      <c r="CP24" s="785"/>
    </row>
    <row r="25" spans="1:94" s="188" customFormat="1" ht="15.75" customHeight="1">
      <c r="A25" s="186"/>
      <c r="B25" s="346"/>
      <c r="C25" s="347"/>
      <c r="D25" s="348"/>
      <c r="E25" s="347"/>
      <c r="F25" s="349"/>
      <c r="G25" s="350"/>
      <c r="H25" s="787" t="s">
        <v>227</v>
      </c>
      <c r="I25" s="764"/>
      <c r="J25" s="344"/>
      <c r="K25" s="351">
        <v>0</v>
      </c>
      <c r="M25" s="431"/>
      <c r="N25" s="347"/>
      <c r="O25" s="348"/>
      <c r="P25" s="347"/>
      <c r="Q25" s="349"/>
      <c r="R25" s="350"/>
      <c r="S25" s="787" t="s">
        <v>227</v>
      </c>
      <c r="T25" s="764"/>
      <c r="U25" s="344"/>
      <c r="V25" s="432">
        <v>2.4</v>
      </c>
      <c r="W25" s="783"/>
      <c r="X25" s="784"/>
      <c r="Y25" s="784"/>
      <c r="Z25" s="784"/>
      <c r="AA25" s="784"/>
      <c r="AB25" s="784"/>
      <c r="AC25" s="784"/>
      <c r="AD25" s="784"/>
      <c r="AE25" s="785"/>
      <c r="AH25" s="431"/>
      <c r="AI25" s="347"/>
      <c r="AJ25" s="348"/>
      <c r="AK25" s="347"/>
      <c r="AL25" s="349"/>
      <c r="AM25" s="350"/>
      <c r="AN25" s="787"/>
      <c r="AO25" s="764"/>
      <c r="AP25" s="344"/>
      <c r="AQ25" s="432"/>
      <c r="AR25" s="783"/>
      <c r="AS25" s="784"/>
      <c r="AT25" s="784"/>
      <c r="AU25" s="784"/>
      <c r="AV25" s="784"/>
      <c r="AW25" s="784"/>
      <c r="AX25" s="784"/>
      <c r="AY25" s="784"/>
      <c r="AZ25" s="785"/>
      <c r="BC25" s="346"/>
      <c r="BD25" s="347"/>
      <c r="BE25" s="348"/>
      <c r="BF25" s="347"/>
      <c r="BG25" s="349"/>
      <c r="BH25" s="350"/>
      <c r="BI25" s="787" t="s">
        <v>227</v>
      </c>
      <c r="BJ25" s="764"/>
      <c r="BK25" s="344"/>
      <c r="BL25" s="351">
        <v>2.56</v>
      </c>
      <c r="BM25" s="783"/>
      <c r="BN25" s="784"/>
      <c r="BO25" s="784"/>
      <c r="BP25" s="784"/>
      <c r="BQ25" s="784"/>
      <c r="BR25" s="784"/>
      <c r="BS25" s="784"/>
      <c r="BT25" s="784"/>
      <c r="BU25" s="785"/>
      <c r="BX25" s="346"/>
      <c r="BY25" s="347"/>
      <c r="BZ25" s="348"/>
      <c r="CA25" s="347"/>
      <c r="CB25" s="349"/>
      <c r="CC25" s="350"/>
      <c r="CD25" s="787" t="s">
        <v>227</v>
      </c>
      <c r="CE25" s="764"/>
      <c r="CF25" s="344"/>
      <c r="CG25" s="351">
        <v>2.4</v>
      </c>
      <c r="CH25" s="783"/>
      <c r="CI25" s="784"/>
      <c r="CJ25" s="784"/>
      <c r="CK25" s="784"/>
      <c r="CL25" s="784"/>
      <c r="CM25" s="784"/>
      <c r="CN25" s="784"/>
      <c r="CO25" s="784"/>
      <c r="CP25" s="785"/>
    </row>
    <row r="26" spans="1:94" s="188" customFormat="1">
      <c r="A26" s="186"/>
      <c r="B26" s="352"/>
      <c r="C26" s="353"/>
      <c r="D26" s="762" t="s">
        <v>228</v>
      </c>
      <c r="E26" s="763"/>
      <c r="F26" s="763"/>
      <c r="G26" s="763"/>
      <c r="H26" s="763"/>
      <c r="I26" s="764"/>
      <c r="J26" s="344"/>
      <c r="K26" s="345">
        <f>ROUND(K24*K25,0)</f>
        <v>0</v>
      </c>
      <c r="M26" s="433"/>
      <c r="N26" s="353"/>
      <c r="O26" s="762" t="s">
        <v>228</v>
      </c>
      <c r="P26" s="763"/>
      <c r="Q26" s="763"/>
      <c r="R26" s="763"/>
      <c r="S26" s="763"/>
      <c r="T26" s="764"/>
      <c r="U26" s="344"/>
      <c r="V26" s="430">
        <f>ROUND(V24*V25,0)</f>
        <v>395611200</v>
      </c>
      <c r="W26" s="783"/>
      <c r="X26" s="784"/>
      <c r="Y26" s="784"/>
      <c r="Z26" s="784"/>
      <c r="AA26" s="784"/>
      <c r="AB26" s="784"/>
      <c r="AC26" s="784"/>
      <c r="AD26" s="784"/>
      <c r="AE26" s="785"/>
      <c r="AH26" s="433"/>
      <c r="AI26" s="353"/>
      <c r="AJ26" s="762"/>
      <c r="AK26" s="763"/>
      <c r="AL26" s="763"/>
      <c r="AM26" s="763"/>
      <c r="AN26" s="763"/>
      <c r="AO26" s="764"/>
      <c r="AP26" s="344"/>
      <c r="AQ26" s="430">
        <f>ROUND(AQ24*AQ25,0)</f>
        <v>0</v>
      </c>
      <c r="AR26" s="783"/>
      <c r="AS26" s="784"/>
      <c r="AT26" s="784"/>
      <c r="AU26" s="784"/>
      <c r="AV26" s="784"/>
      <c r="AW26" s="784"/>
      <c r="AX26" s="784"/>
      <c r="AY26" s="784"/>
      <c r="AZ26" s="785"/>
      <c r="BC26" s="352"/>
      <c r="BD26" s="353"/>
      <c r="BE26" s="762" t="s">
        <v>228</v>
      </c>
      <c r="BF26" s="763"/>
      <c r="BG26" s="763"/>
      <c r="BH26" s="763"/>
      <c r="BI26" s="763"/>
      <c r="BJ26" s="764"/>
      <c r="BK26" s="344"/>
      <c r="BL26" s="345">
        <f>ROUND(BL24*BL25,0)</f>
        <v>554307272</v>
      </c>
      <c r="BM26" s="783"/>
      <c r="BN26" s="784"/>
      <c r="BO26" s="784"/>
      <c r="BP26" s="784"/>
      <c r="BQ26" s="784"/>
      <c r="BR26" s="784"/>
      <c r="BS26" s="784"/>
      <c r="BT26" s="784"/>
      <c r="BU26" s="785"/>
      <c r="BX26" s="352"/>
      <c r="BY26" s="353"/>
      <c r="BZ26" s="762" t="s">
        <v>228</v>
      </c>
      <c r="CA26" s="763"/>
      <c r="CB26" s="763"/>
      <c r="CC26" s="763"/>
      <c r="CD26" s="763"/>
      <c r="CE26" s="764"/>
      <c r="CF26" s="344"/>
      <c r="CG26" s="345">
        <f>ROUND(CG24*CG25,0)</f>
        <v>548659800</v>
      </c>
      <c r="CH26" s="783"/>
      <c r="CI26" s="784"/>
      <c r="CJ26" s="784"/>
      <c r="CK26" s="784"/>
      <c r="CL26" s="784"/>
      <c r="CM26" s="784"/>
      <c r="CN26" s="784"/>
      <c r="CO26" s="784"/>
      <c r="CP26" s="785"/>
    </row>
    <row r="27" spans="1:94" s="188" customFormat="1">
      <c r="A27" s="186"/>
      <c r="B27" s="352"/>
      <c r="C27" s="353"/>
      <c r="D27" s="391"/>
      <c r="E27" s="344"/>
      <c r="F27" s="344"/>
      <c r="G27" s="344"/>
      <c r="H27" s="344"/>
      <c r="I27" s="388"/>
      <c r="J27" s="344"/>
      <c r="K27" s="345"/>
      <c r="M27" s="433"/>
      <c r="N27" s="353"/>
      <c r="O27" s="391"/>
      <c r="P27" s="344"/>
      <c r="Q27" s="344"/>
      <c r="R27" s="344"/>
      <c r="S27" s="344"/>
      <c r="T27" s="388"/>
      <c r="U27" s="344"/>
      <c r="V27" s="806"/>
      <c r="W27" s="806"/>
      <c r="X27" s="806"/>
      <c r="Y27" s="806"/>
      <c r="Z27" s="806"/>
      <c r="AA27" s="806"/>
      <c r="AB27" s="806"/>
      <c r="AC27" s="806"/>
      <c r="AD27" s="806"/>
      <c r="AE27" s="807"/>
      <c r="AH27" s="433"/>
      <c r="AI27" s="353"/>
      <c r="AJ27" s="391"/>
      <c r="AK27" s="344"/>
      <c r="AL27" s="344"/>
      <c r="AM27" s="344"/>
      <c r="AN27" s="344"/>
      <c r="AO27" s="388"/>
      <c r="AP27" s="344"/>
      <c r="AQ27" s="806"/>
      <c r="AR27" s="806"/>
      <c r="AS27" s="806"/>
      <c r="AT27" s="806"/>
      <c r="AU27" s="806"/>
      <c r="AV27" s="806"/>
      <c r="AW27" s="806"/>
      <c r="AX27" s="806"/>
      <c r="AY27" s="806"/>
      <c r="AZ27" s="807"/>
      <c r="BC27" s="454"/>
      <c r="BD27" s="455"/>
      <c r="BE27" s="456"/>
      <c r="BF27" s="457"/>
      <c r="BG27" s="457"/>
      <c r="BH27" s="344"/>
      <c r="BI27" s="344"/>
      <c r="BJ27" s="388"/>
      <c r="BK27" s="344"/>
      <c r="BL27" s="806"/>
      <c r="BM27" s="806"/>
      <c r="BN27" s="806"/>
      <c r="BO27" s="806"/>
      <c r="BP27" s="806"/>
      <c r="BQ27" s="806"/>
      <c r="BR27" s="806"/>
      <c r="BS27" s="806"/>
      <c r="BT27" s="806"/>
      <c r="BU27" s="807"/>
      <c r="BX27" s="454"/>
      <c r="BY27" s="455"/>
      <c r="BZ27" s="456"/>
      <c r="CA27" s="457"/>
      <c r="CB27" s="457"/>
      <c r="CC27" s="344"/>
      <c r="CD27" s="344"/>
      <c r="CE27" s="388"/>
      <c r="CF27" s="344"/>
      <c r="CG27" s="806"/>
      <c r="CH27" s="806"/>
      <c r="CI27" s="806"/>
      <c r="CJ27" s="806"/>
      <c r="CK27" s="806"/>
      <c r="CL27" s="806"/>
      <c r="CM27" s="806"/>
      <c r="CN27" s="806"/>
      <c r="CO27" s="806"/>
      <c r="CP27" s="807"/>
    </row>
    <row r="28" spans="1:94" s="188" customFormat="1" ht="34">
      <c r="A28" s="186"/>
      <c r="B28" s="356" t="s">
        <v>93</v>
      </c>
      <c r="C28" s="357"/>
      <c r="D28" s="358" t="s">
        <v>229</v>
      </c>
      <c r="E28" s="359" t="s">
        <v>230</v>
      </c>
      <c r="F28" s="360" t="s">
        <v>215</v>
      </c>
      <c r="G28" s="360"/>
      <c r="H28" s="360" t="s">
        <v>231</v>
      </c>
      <c r="I28" s="360" t="s">
        <v>232</v>
      </c>
      <c r="J28" s="361"/>
      <c r="K28" s="362" t="s">
        <v>233</v>
      </c>
      <c r="M28" s="436" t="s">
        <v>93</v>
      </c>
      <c r="N28" s="357"/>
      <c r="O28" s="358" t="s">
        <v>229</v>
      </c>
      <c r="P28" s="359" t="s">
        <v>230</v>
      </c>
      <c r="Q28" s="360" t="s">
        <v>215</v>
      </c>
      <c r="R28" s="360"/>
      <c r="S28" s="360" t="s">
        <v>231</v>
      </c>
      <c r="T28" s="360" t="s">
        <v>232</v>
      </c>
      <c r="U28" s="361"/>
      <c r="V28" s="437" t="s">
        <v>233</v>
      </c>
      <c r="W28" s="783"/>
      <c r="X28" s="784"/>
      <c r="Y28" s="784"/>
      <c r="Z28" s="784"/>
      <c r="AA28" s="784"/>
      <c r="AB28" s="784"/>
      <c r="AC28" s="784"/>
      <c r="AD28" s="784"/>
      <c r="AE28" s="785"/>
      <c r="AH28" s="436"/>
      <c r="AI28" s="357"/>
      <c r="AJ28" s="358"/>
      <c r="AK28" s="359"/>
      <c r="AL28" s="360"/>
      <c r="AM28" s="360"/>
      <c r="AN28" s="360"/>
      <c r="AO28" s="360"/>
      <c r="AP28" s="361"/>
      <c r="AQ28" s="437"/>
      <c r="AR28" s="783"/>
      <c r="AS28" s="784"/>
      <c r="AT28" s="784"/>
      <c r="AU28" s="784"/>
      <c r="AV28" s="784"/>
      <c r="AW28" s="784"/>
      <c r="AX28" s="784"/>
      <c r="AY28" s="784"/>
      <c r="AZ28" s="785"/>
      <c r="BC28" s="356" t="s">
        <v>93</v>
      </c>
      <c r="BD28" s="357"/>
      <c r="BE28" s="358" t="s">
        <v>229</v>
      </c>
      <c r="BF28" s="359" t="s">
        <v>230</v>
      </c>
      <c r="BG28" s="360" t="s">
        <v>215</v>
      </c>
      <c r="BH28" s="360"/>
      <c r="BI28" s="360" t="s">
        <v>231</v>
      </c>
      <c r="BJ28" s="360" t="s">
        <v>232</v>
      </c>
      <c r="BK28" s="361"/>
      <c r="BL28" s="362" t="s">
        <v>233</v>
      </c>
      <c r="BM28" s="783"/>
      <c r="BN28" s="784"/>
      <c r="BO28" s="784"/>
      <c r="BP28" s="784"/>
      <c r="BQ28" s="784"/>
      <c r="BR28" s="784"/>
      <c r="BS28" s="784"/>
      <c r="BT28" s="784"/>
      <c r="BU28" s="785"/>
      <c r="BX28" s="356" t="s">
        <v>93</v>
      </c>
      <c r="BY28" s="357"/>
      <c r="BZ28" s="358" t="s">
        <v>229</v>
      </c>
      <c r="CA28" s="359" t="s">
        <v>230</v>
      </c>
      <c r="CB28" s="360" t="s">
        <v>215</v>
      </c>
      <c r="CC28" s="360"/>
      <c r="CD28" s="360" t="s">
        <v>231</v>
      </c>
      <c r="CE28" s="360" t="s">
        <v>232</v>
      </c>
      <c r="CF28" s="361"/>
      <c r="CG28" s="362" t="s">
        <v>233</v>
      </c>
      <c r="CH28" s="783"/>
      <c r="CI28" s="784"/>
      <c r="CJ28" s="784"/>
      <c r="CK28" s="784"/>
      <c r="CL28" s="784"/>
      <c r="CM28" s="784"/>
      <c r="CN28" s="784"/>
      <c r="CO28" s="784"/>
      <c r="CP28" s="785"/>
    </row>
    <row r="29" spans="1:94" s="188" customFormat="1">
      <c r="A29" s="186"/>
      <c r="B29" s="363" t="s">
        <v>234</v>
      </c>
      <c r="C29" s="364"/>
      <c r="D29" s="365" t="s">
        <v>235</v>
      </c>
      <c r="E29" s="366"/>
      <c r="F29" s="366"/>
      <c r="G29" s="366"/>
      <c r="H29" s="366"/>
      <c r="I29" s="366"/>
      <c r="J29" s="366"/>
      <c r="K29" s="367"/>
      <c r="M29" s="438" t="s">
        <v>234</v>
      </c>
      <c r="N29" s="364"/>
      <c r="O29" s="365" t="s">
        <v>235</v>
      </c>
      <c r="P29" s="366"/>
      <c r="Q29" s="366"/>
      <c r="R29" s="366"/>
      <c r="S29" s="366"/>
      <c r="T29" s="366"/>
      <c r="U29" s="366"/>
      <c r="V29" s="439"/>
      <c r="W29" s="783"/>
      <c r="X29" s="784"/>
      <c r="Y29" s="784"/>
      <c r="Z29" s="784"/>
      <c r="AA29" s="784"/>
      <c r="AB29" s="784"/>
      <c r="AC29" s="784"/>
      <c r="AD29" s="784"/>
      <c r="AE29" s="785"/>
      <c r="AH29" s="438"/>
      <c r="AI29" s="364"/>
      <c r="AJ29" s="365"/>
      <c r="AK29" s="366"/>
      <c r="AL29" s="366"/>
      <c r="AM29" s="366"/>
      <c r="AN29" s="366"/>
      <c r="AO29" s="366"/>
      <c r="AP29" s="366"/>
      <c r="AQ29" s="439"/>
      <c r="AR29" s="783"/>
      <c r="AS29" s="784"/>
      <c r="AT29" s="784"/>
      <c r="AU29" s="784"/>
      <c r="AV29" s="784"/>
      <c r="AW29" s="784"/>
      <c r="AX29" s="784"/>
      <c r="AY29" s="784"/>
      <c r="AZ29" s="785"/>
      <c r="BC29" s="363" t="s">
        <v>234</v>
      </c>
      <c r="BD29" s="364"/>
      <c r="BE29" s="365" t="s">
        <v>235</v>
      </c>
      <c r="BF29" s="366"/>
      <c r="BG29" s="366"/>
      <c r="BH29" s="366"/>
      <c r="BI29" s="366"/>
      <c r="BJ29" s="366"/>
      <c r="BK29" s="366"/>
      <c r="BL29" s="367"/>
      <c r="BM29" s="783"/>
      <c r="BN29" s="784"/>
      <c r="BO29" s="784"/>
      <c r="BP29" s="784"/>
      <c r="BQ29" s="784"/>
      <c r="BR29" s="784"/>
      <c r="BS29" s="784"/>
      <c r="BT29" s="784"/>
      <c r="BU29" s="785"/>
      <c r="BX29" s="363" t="s">
        <v>234</v>
      </c>
      <c r="BY29" s="364"/>
      <c r="BZ29" s="365" t="s">
        <v>235</v>
      </c>
      <c r="CA29" s="366"/>
      <c r="CB29" s="366"/>
      <c r="CC29" s="366"/>
      <c r="CD29" s="366"/>
      <c r="CE29" s="366"/>
      <c r="CF29" s="366"/>
      <c r="CG29" s="367"/>
      <c r="CH29" s="783"/>
      <c r="CI29" s="784"/>
      <c r="CJ29" s="784"/>
      <c r="CK29" s="784"/>
      <c r="CL29" s="784"/>
      <c r="CM29" s="784"/>
      <c r="CN29" s="784"/>
      <c r="CO29" s="784"/>
      <c r="CP29" s="785"/>
    </row>
    <row r="30" spans="1:94" s="188" customFormat="1" ht="17">
      <c r="A30" s="186"/>
      <c r="B30" s="368" t="s">
        <v>236</v>
      </c>
      <c r="C30" s="369"/>
      <c r="D30" s="370" t="s">
        <v>237</v>
      </c>
      <c r="E30" s="371" t="s">
        <v>238</v>
      </c>
      <c r="F30" s="371">
        <v>1</v>
      </c>
      <c r="G30" s="371"/>
      <c r="H30" s="372">
        <v>3600000</v>
      </c>
      <c r="I30" s="373"/>
      <c r="J30" s="374"/>
      <c r="K30" s="375">
        <f>ROUND(F30*H30,0)</f>
        <v>3600000</v>
      </c>
      <c r="M30" s="440" t="s">
        <v>236</v>
      </c>
      <c r="N30" s="369"/>
      <c r="O30" s="370" t="s">
        <v>237</v>
      </c>
      <c r="P30" s="371" t="s">
        <v>238</v>
      </c>
      <c r="Q30" s="371">
        <v>1</v>
      </c>
      <c r="R30" s="371"/>
      <c r="S30" s="372">
        <v>3600000</v>
      </c>
      <c r="T30" s="373">
        <v>8</v>
      </c>
      <c r="U30" s="374"/>
      <c r="V30" s="441">
        <f>S30*T30*Q30</f>
        <v>28800000</v>
      </c>
      <c r="W30" s="107">
        <f>IFERROR(IF(EXACT(VLOOKUP(M30,OFERTA_0,1,FALSE),M30),1,0),0)</f>
        <v>1</v>
      </c>
      <c r="X30" s="107">
        <f>IFERROR(IF(EXACT(VLOOKUP(M30,OFERTA_0,3,FALSE),O30),1,0),0)</f>
        <v>1</v>
      </c>
      <c r="Y30" s="107">
        <f>IFERROR(IF(EXACT(VLOOKUP(M30,OFERTA_0,4,FALSE),P30),1,0),0)</f>
        <v>1</v>
      </c>
      <c r="Z30" s="107">
        <f>IFERROR(IF(EXACT(VLOOKUP(M30,OFERTA_0,7,FALSE),S30),1,0),0)</f>
        <v>1</v>
      </c>
      <c r="AA30" s="107">
        <f t="shared" ref="AA30" si="71">IFERROR(IF(R30&lt;=0,0,1),0)</f>
        <v>0</v>
      </c>
      <c r="AB30" s="107">
        <f t="shared" ref="AB30" si="72">IFERROR(IF(V30&lt;=0,0,1),0)</f>
        <v>1</v>
      </c>
      <c r="AC30" s="107">
        <f t="shared" ref="AC30" si="73">PRODUCT(W30:AB30)</f>
        <v>0</v>
      </c>
      <c r="AD30" s="458">
        <f t="shared" ref="AD30:AD31" si="74">ROUND(V30,0)</f>
        <v>28800000</v>
      </c>
      <c r="AE30" s="109">
        <f t="shared" ref="AE30:AE31" si="75">V30-AD30</f>
        <v>0</v>
      </c>
      <c r="AH30" s="440"/>
      <c r="AI30" s="369"/>
      <c r="AJ30" s="370"/>
      <c r="AK30" s="371"/>
      <c r="AL30" s="371"/>
      <c r="AM30" s="371"/>
      <c r="AN30" s="372"/>
      <c r="AO30" s="373"/>
      <c r="AP30" s="374"/>
      <c r="AQ30" s="441"/>
      <c r="AR30" s="107">
        <f>IFERROR(IF(EXACT(VLOOKUP(AH30,OFERTA_0,1,FALSE),AH30),1,0),0)</f>
        <v>0</v>
      </c>
      <c r="AS30" s="107">
        <f>IFERROR(IF(EXACT(VLOOKUP(AH30,OFERTA_0,3,FALSE),AJ30),1,0),0)</f>
        <v>0</v>
      </c>
      <c r="AT30" s="107">
        <f>IFERROR(IF(EXACT(VLOOKUP(AH30,OFERTA_0,4,FALSE),AK30),1,0),0)</f>
        <v>0</v>
      </c>
      <c r="AU30" s="107">
        <f>IFERROR(IF(EXACT(VLOOKUP(AH30,OFERTA_0,7,FALSE),AN30),1,0),0)</f>
        <v>0</v>
      </c>
      <c r="AV30" s="107">
        <f t="shared" ref="AV30" si="76">IFERROR(IF(AM30&lt;=0,0,1),0)</f>
        <v>0</v>
      </c>
      <c r="AW30" s="107">
        <f t="shared" ref="AW30:AW33" si="77">IFERROR(IF(AQ30&lt;=0,0,1),0)</f>
        <v>0</v>
      </c>
      <c r="AX30" s="107">
        <f t="shared" ref="AX30:AX33" si="78">PRODUCT(AR30:AW30)</f>
        <v>0</v>
      </c>
      <c r="AY30" s="108">
        <f t="shared" ref="AY30:AY33" si="79">ROUND(AQ30,0)</f>
        <v>0</v>
      </c>
      <c r="AZ30" s="109">
        <f t="shared" ref="AZ30:AZ33" si="80">AQ30-AY30</f>
        <v>0</v>
      </c>
      <c r="BC30" s="368" t="s">
        <v>236</v>
      </c>
      <c r="BD30" s="369"/>
      <c r="BE30" s="370" t="s">
        <v>237</v>
      </c>
      <c r="BF30" s="371" t="s">
        <v>238</v>
      </c>
      <c r="BG30" s="371">
        <v>1</v>
      </c>
      <c r="BH30" s="371"/>
      <c r="BI30" s="372">
        <v>3600000</v>
      </c>
      <c r="BJ30" s="373"/>
      <c r="BK30" s="374"/>
      <c r="BL30" s="375">
        <f>ROUND(BG30*BI30,0)</f>
        <v>3600000</v>
      </c>
      <c r="BM30" s="107">
        <f>IFERROR(IF(EXACT(VLOOKUP(BC30,OFERTA_0,1,FALSE),BC30),1,0),0)</f>
        <v>1</v>
      </c>
      <c r="BN30" s="107">
        <f>IFERROR(IF(EXACT(VLOOKUP(BC30,OFERTA_0,3,FALSE),BE30),1,0),0)</f>
        <v>1</v>
      </c>
      <c r="BO30" s="107">
        <f>IFERROR(IF(EXACT(VLOOKUP(BC30,OFERTA_0,4,FALSE),BF30),1,0),0)</f>
        <v>1</v>
      </c>
      <c r="BP30" s="107">
        <f>IFERROR(IF(EXACT(VLOOKUP(BC30,OFERTA_0,7,FALSE),BI30),1,0),0)</f>
        <v>1</v>
      </c>
      <c r="BQ30" s="107">
        <f>IFERROR(IF(BI30&lt;=0,0,1),0)</f>
        <v>1</v>
      </c>
      <c r="BR30" s="107">
        <f t="shared" ref="BR30:BR33" si="81">IFERROR(IF(BL30&lt;=0,0,1),0)</f>
        <v>1</v>
      </c>
      <c r="BS30" s="107">
        <f t="shared" ref="BS30:BS33" si="82">PRODUCT(BM30:BR30)</f>
        <v>1</v>
      </c>
      <c r="BT30" s="108">
        <f t="shared" ref="BT30:BT33" si="83">ROUND(BL30,0)</f>
        <v>3600000</v>
      </c>
      <c r="BU30" s="109">
        <f t="shared" ref="BU30:BU33" si="84">BL30-BT30</f>
        <v>0</v>
      </c>
      <c r="BX30" s="368" t="s">
        <v>236</v>
      </c>
      <c r="BY30" s="369"/>
      <c r="BZ30" s="370" t="s">
        <v>237</v>
      </c>
      <c r="CA30" s="371" t="s">
        <v>238</v>
      </c>
      <c r="CB30" s="371">
        <v>1</v>
      </c>
      <c r="CC30" s="371"/>
      <c r="CD30" s="372">
        <v>3600000</v>
      </c>
      <c r="CE30" s="373"/>
      <c r="CF30" s="374"/>
      <c r="CG30" s="375">
        <f>ROUND(CB30*CD30,0)</f>
        <v>3600000</v>
      </c>
      <c r="CH30" s="107">
        <f>IFERROR(IF(EXACT(VLOOKUP(BX30,OFERTA_0,1,FALSE),BX30),1,0),0)</f>
        <v>1</v>
      </c>
      <c r="CI30" s="107">
        <f>IFERROR(IF(EXACT(VLOOKUP(BX30,OFERTA_0,3,FALSE),BZ30),1,0),0)</f>
        <v>1</v>
      </c>
      <c r="CJ30" s="107">
        <f>IFERROR(IF(EXACT(VLOOKUP(BX30,OFERTA_0,4,FALSE),CA30),1,0),0)</f>
        <v>1</v>
      </c>
      <c r="CK30" s="107">
        <f>IFERROR(IF(EXACT(VLOOKUP(BX30,OFERTA_0,7,FALSE),CD30),1,0),0)</f>
        <v>1</v>
      </c>
      <c r="CL30" s="107">
        <f>IFERROR(IF(CD30&lt;=0,0,1),0)</f>
        <v>1</v>
      </c>
      <c r="CM30" s="107">
        <f t="shared" ref="CM30:CM33" si="85">IFERROR(IF(CG30&lt;=0,0,1),0)</f>
        <v>1</v>
      </c>
      <c r="CN30" s="107">
        <f t="shared" ref="CN30:CN33" si="86">PRODUCT(CH30:CM30)</f>
        <v>1</v>
      </c>
      <c r="CO30" s="108">
        <f t="shared" ref="CO30:CO33" si="87">ROUND(CG30,0)</f>
        <v>3600000</v>
      </c>
      <c r="CP30" s="109">
        <f t="shared" ref="CP30:CP33" si="88">CG30-CO30</f>
        <v>0</v>
      </c>
    </row>
    <row r="31" spans="1:94" s="188" customFormat="1" ht="17">
      <c r="A31" s="186"/>
      <c r="B31" s="368">
        <v>2.2000000000000002</v>
      </c>
      <c r="C31" s="369"/>
      <c r="D31" s="370" t="s">
        <v>239</v>
      </c>
      <c r="E31" s="371" t="s">
        <v>240</v>
      </c>
      <c r="F31" s="371">
        <f>20</f>
        <v>20</v>
      </c>
      <c r="G31" s="371"/>
      <c r="H31" s="372">
        <v>100000</v>
      </c>
      <c r="I31" s="373"/>
      <c r="J31" s="374"/>
      <c r="K31" s="375">
        <f>H31*F31</f>
        <v>2000000</v>
      </c>
      <c r="M31" s="440">
        <v>2.2000000000000002</v>
      </c>
      <c r="N31" s="369"/>
      <c r="O31" s="370" t="s">
        <v>239</v>
      </c>
      <c r="P31" s="371" t="s">
        <v>240</v>
      </c>
      <c r="Q31" s="371">
        <f>20</f>
        <v>20</v>
      </c>
      <c r="R31" s="371"/>
      <c r="S31" s="372">
        <v>100000</v>
      </c>
      <c r="T31" s="373">
        <v>8</v>
      </c>
      <c r="U31" s="374"/>
      <c r="V31" s="441">
        <f t="shared" ref="V31:V32" si="89">S31*T31*Q31</f>
        <v>16000000</v>
      </c>
      <c r="W31" s="107">
        <f>IFERROR(IF(EXACT(VLOOKUP(M31,OFERTA_0,1,FALSE),M31),1,0),0)</f>
        <v>1</v>
      </c>
      <c r="X31" s="107">
        <f>IFERROR(IF(EXACT(VLOOKUP(M31,OFERTA_0,3,FALSE),O31),1,0),0)</f>
        <v>1</v>
      </c>
      <c r="Y31" s="107">
        <f>IFERROR(IF(EXACT(VLOOKUP(M31,OFERTA_0,4,FALSE),P31),1,0),0)</f>
        <v>1</v>
      </c>
      <c r="Z31" s="107">
        <f>IFERROR(IF(EXACT(VLOOKUP(M31,OFERTA_0,5,FALSE),Q31),1,0),0)</f>
        <v>1</v>
      </c>
      <c r="AA31" s="107">
        <f>IFERROR(IF(R31&lt;=0,0,1),0)</f>
        <v>0</v>
      </c>
      <c r="AB31" s="107">
        <f t="shared" ref="AB31" si="90">IFERROR(IF(V31&lt;=0,0,1),0)</f>
        <v>1</v>
      </c>
      <c r="AC31" s="107">
        <f t="shared" ref="AC31" si="91">PRODUCT(W31:AB31)</f>
        <v>0</v>
      </c>
      <c r="AD31" s="458">
        <f t="shared" si="74"/>
        <v>16000000</v>
      </c>
      <c r="AE31" s="109">
        <f t="shared" si="75"/>
        <v>0</v>
      </c>
      <c r="AH31" s="440"/>
      <c r="AI31" s="369"/>
      <c r="AJ31" s="370"/>
      <c r="AK31" s="371"/>
      <c r="AL31" s="371"/>
      <c r="AM31" s="371"/>
      <c r="AN31" s="372"/>
      <c r="AO31" s="373"/>
      <c r="AP31" s="374"/>
      <c r="AQ31" s="441"/>
      <c r="AR31" s="107">
        <f>IFERROR(IF(EXACT(VLOOKUP(AH31,OFERTA_0,1,FALSE),AH31),1,0),0)</f>
        <v>0</v>
      </c>
      <c r="AS31" s="107">
        <f>IFERROR(IF(EXACT(VLOOKUP(AH31,OFERTA_0,3,FALSE),AJ31),1,0),0)</f>
        <v>0</v>
      </c>
      <c r="AT31" s="107">
        <f>IFERROR(IF(EXACT(VLOOKUP(AH31,OFERTA_0,4,FALSE),AK31),1,0),0)</f>
        <v>0</v>
      </c>
      <c r="AU31" s="107">
        <f>IFERROR(IF(EXACT(VLOOKUP(AH31,OFERTA_0,5,FALSE),AL31),1,0),0)</f>
        <v>0</v>
      </c>
      <c r="AV31" s="107">
        <f>IFERROR(IF(AM31&lt;=0,0,1),0)</f>
        <v>0</v>
      </c>
      <c r="AW31" s="107">
        <f t="shared" si="77"/>
        <v>0</v>
      </c>
      <c r="AX31" s="107">
        <f t="shared" si="78"/>
        <v>0</v>
      </c>
      <c r="AY31" s="108">
        <f t="shared" si="79"/>
        <v>0</v>
      </c>
      <c r="AZ31" s="109">
        <f t="shared" si="80"/>
        <v>0</v>
      </c>
      <c r="BC31" s="368">
        <v>2.2000000000000002</v>
      </c>
      <c r="BD31" s="369"/>
      <c r="BE31" s="370" t="s">
        <v>239</v>
      </c>
      <c r="BF31" s="371" t="s">
        <v>240</v>
      </c>
      <c r="BG31" s="371">
        <f>20</f>
        <v>20</v>
      </c>
      <c r="BH31" s="371"/>
      <c r="BI31" s="372">
        <v>100000</v>
      </c>
      <c r="BJ31" s="373"/>
      <c r="BK31" s="374"/>
      <c r="BL31" s="375">
        <f>BI31*BG31</f>
        <v>2000000</v>
      </c>
      <c r="BM31" s="107">
        <f>IFERROR(IF(EXACT(VLOOKUP(BC31,OFERTA_0,1,FALSE),BC31),1,0),0)</f>
        <v>1</v>
      </c>
      <c r="BN31" s="107">
        <f>IFERROR(IF(EXACT(VLOOKUP(BC31,OFERTA_0,3,FALSE),BE31),1,0),0)</f>
        <v>1</v>
      </c>
      <c r="BO31" s="107">
        <f>IFERROR(IF(EXACT(VLOOKUP(BC31,OFERTA_0,4,FALSE),BF31),1,0),0)</f>
        <v>1</v>
      </c>
      <c r="BP31" s="107">
        <f>IFERROR(IF(EXACT(VLOOKUP(BC31,OFERTA_0,5,FALSE),BG31),1,0),0)</f>
        <v>1</v>
      </c>
      <c r="BQ31" s="107">
        <f t="shared" ref="BQ31" si="92">IFERROR(IF(BI31&lt;=0,0,1),0)</f>
        <v>1</v>
      </c>
      <c r="BR31" s="107">
        <f t="shared" si="81"/>
        <v>1</v>
      </c>
      <c r="BS31" s="107">
        <f t="shared" si="82"/>
        <v>1</v>
      </c>
      <c r="BT31" s="108">
        <f t="shared" si="83"/>
        <v>2000000</v>
      </c>
      <c r="BU31" s="109">
        <f t="shared" si="84"/>
        <v>0</v>
      </c>
      <c r="BX31" s="368">
        <v>2.2000000000000002</v>
      </c>
      <c r="BY31" s="369"/>
      <c r="BZ31" s="370" t="s">
        <v>239</v>
      </c>
      <c r="CA31" s="371" t="s">
        <v>240</v>
      </c>
      <c r="CB31" s="371">
        <f>20</f>
        <v>20</v>
      </c>
      <c r="CC31" s="371"/>
      <c r="CD31" s="372">
        <v>100000</v>
      </c>
      <c r="CE31" s="373"/>
      <c r="CF31" s="374"/>
      <c r="CG31" s="375">
        <f>CD31*CB31</f>
        <v>2000000</v>
      </c>
      <c r="CH31" s="107">
        <f>IFERROR(IF(EXACT(VLOOKUP(BX31,OFERTA_0,1,FALSE),BX31),1,0),0)</f>
        <v>1</v>
      </c>
      <c r="CI31" s="107">
        <f>IFERROR(IF(EXACT(VLOOKUP(BX31,OFERTA_0,3,FALSE),BZ31),1,0),0)</f>
        <v>1</v>
      </c>
      <c r="CJ31" s="107">
        <f>IFERROR(IF(EXACT(VLOOKUP(BX31,OFERTA_0,4,FALSE),CA31),1,0),0)</f>
        <v>1</v>
      </c>
      <c r="CK31" s="107">
        <f>IFERROR(IF(EXACT(VLOOKUP(BX31,OFERTA_0,5,FALSE),CB31),1,0),0)</f>
        <v>1</v>
      </c>
      <c r="CL31" s="107">
        <f t="shared" ref="CL31" si="93">IFERROR(IF(CD31&lt;=0,0,1),0)</f>
        <v>1</v>
      </c>
      <c r="CM31" s="107">
        <f t="shared" si="85"/>
        <v>1</v>
      </c>
      <c r="CN31" s="107">
        <f t="shared" si="86"/>
        <v>1</v>
      </c>
      <c r="CO31" s="108">
        <f t="shared" si="87"/>
        <v>2000000</v>
      </c>
      <c r="CP31" s="109">
        <f t="shared" si="88"/>
        <v>0</v>
      </c>
    </row>
    <row r="32" spans="1:94" ht="15.75" customHeight="1">
      <c r="B32" s="368">
        <v>2.2999999999999998</v>
      </c>
      <c r="C32" s="369"/>
      <c r="D32" s="370" t="s">
        <v>241</v>
      </c>
      <c r="E32" s="371" t="s">
        <v>242</v>
      </c>
      <c r="F32" s="376">
        <v>10</v>
      </c>
      <c r="G32" s="371"/>
      <c r="H32" s="372">
        <v>120000</v>
      </c>
      <c r="I32" s="373"/>
      <c r="J32" s="374"/>
      <c r="K32" s="375">
        <f>+F32*H32</f>
        <v>1200000</v>
      </c>
      <c r="M32" s="440">
        <v>2.2999999999999998</v>
      </c>
      <c r="N32" s="369"/>
      <c r="O32" s="370" t="s">
        <v>241</v>
      </c>
      <c r="P32" s="371" t="s">
        <v>242</v>
      </c>
      <c r="Q32" s="376">
        <v>50</v>
      </c>
      <c r="R32" s="371"/>
      <c r="S32" s="372">
        <v>120000</v>
      </c>
      <c r="T32" s="373">
        <v>1</v>
      </c>
      <c r="U32" s="374"/>
      <c r="V32" s="441">
        <f t="shared" si="89"/>
        <v>6000000</v>
      </c>
      <c r="W32" s="107">
        <f>IFERROR(IF(EXACT(VLOOKUP(M32,OFERTA_0,1,FALSE),M32),1,0),0)</f>
        <v>1</v>
      </c>
      <c r="X32" s="107">
        <f>IFERROR(IF(EXACT(VLOOKUP(M32,OFERTA_0,3,FALSE),O32),1,0),0)</f>
        <v>1</v>
      </c>
      <c r="Y32" s="107">
        <f>IFERROR(IF(EXACT(VLOOKUP(M32,OFERTA_0,4,FALSE),P32),1,0),0)</f>
        <v>1</v>
      </c>
      <c r="Z32" s="107">
        <f>IFERROR(IF(EXACT(VLOOKUP(M32,OFERTA_0,5,FALSE),Q32),1,0),0)</f>
        <v>0</v>
      </c>
      <c r="AA32" s="107">
        <f>IFERROR(IF(S32&lt;=0,0,1),0)</f>
        <v>1</v>
      </c>
      <c r="AB32" s="107">
        <f t="shared" ref="AB32:AB33" si="94">IFERROR(IF(V32&lt;=0,0,1),0)</f>
        <v>1</v>
      </c>
      <c r="AC32" s="107">
        <f t="shared" ref="AC32:AC33" si="95">PRODUCT(W32:AB32)</f>
        <v>0</v>
      </c>
      <c r="AD32" s="458">
        <f t="shared" ref="AD32:AD33" si="96">ROUND(V32,0)</f>
        <v>6000000</v>
      </c>
      <c r="AE32" s="109">
        <f t="shared" ref="AE32:AE33" si="97">V32-AD32</f>
        <v>0</v>
      </c>
      <c r="AH32" s="440"/>
      <c r="AI32" s="369"/>
      <c r="AJ32" s="370"/>
      <c r="AK32" s="371"/>
      <c r="AL32" s="376"/>
      <c r="AM32" s="371"/>
      <c r="AN32" s="372"/>
      <c r="AO32" s="373"/>
      <c r="AP32" s="374"/>
      <c r="AQ32" s="441"/>
      <c r="AR32" s="107">
        <f>IFERROR(IF(EXACT(VLOOKUP(AH32,OFERTA_0,1,FALSE),AH32),1,0),0)</f>
        <v>0</v>
      </c>
      <c r="AS32" s="107">
        <f>IFERROR(IF(EXACT(VLOOKUP(AH32,OFERTA_0,3,FALSE),AJ32),1,0),0)</f>
        <v>0</v>
      </c>
      <c r="AT32" s="107">
        <f>IFERROR(IF(EXACT(VLOOKUP(AH32,OFERTA_0,4,FALSE),AK32),1,0),0)</f>
        <v>0</v>
      </c>
      <c r="AU32" s="107">
        <f>IFERROR(IF(EXACT(VLOOKUP(AH32,OFERTA_0,5,FALSE),AL32),1,0),0)</f>
        <v>0</v>
      </c>
      <c r="AV32" s="107">
        <f>IFERROR(IF(AM32&lt;=0,0,1),0)</f>
        <v>0</v>
      </c>
      <c r="AW32" s="107">
        <f t="shared" si="77"/>
        <v>0</v>
      </c>
      <c r="AX32" s="107">
        <f t="shared" si="78"/>
        <v>0</v>
      </c>
      <c r="AY32" s="108">
        <f t="shared" si="79"/>
        <v>0</v>
      </c>
      <c r="AZ32" s="109">
        <f t="shared" si="80"/>
        <v>0</v>
      </c>
      <c r="BC32" s="368">
        <v>2.2999999999999998</v>
      </c>
      <c r="BD32" s="369"/>
      <c r="BE32" s="370" t="s">
        <v>241</v>
      </c>
      <c r="BF32" s="371" t="s">
        <v>242</v>
      </c>
      <c r="BG32" s="376">
        <v>10</v>
      </c>
      <c r="BH32" s="371"/>
      <c r="BI32" s="372">
        <v>120000</v>
      </c>
      <c r="BJ32" s="373"/>
      <c r="BK32" s="374"/>
      <c r="BL32" s="375">
        <f>+BG32*BI32</f>
        <v>1200000</v>
      </c>
      <c r="BM32" s="107">
        <f>IFERROR(IF(EXACT(VLOOKUP(BC32,OFERTA_0,1,FALSE),BC32),1,0),0)</f>
        <v>1</v>
      </c>
      <c r="BN32" s="107">
        <f>IFERROR(IF(EXACT(VLOOKUP(BC32,OFERTA_0,3,FALSE),BE32),1,0),0)</f>
        <v>1</v>
      </c>
      <c r="BO32" s="107">
        <f>IFERROR(IF(EXACT(VLOOKUP(BC32,OFERTA_0,4,FALSE),BF32),1,0),0)</f>
        <v>1</v>
      </c>
      <c r="BP32" s="107">
        <f>IFERROR(IF(EXACT(VLOOKUP(BC32,OFERTA_0,5,FALSE),BG32),1,0),0)</f>
        <v>1</v>
      </c>
      <c r="BQ32" s="107">
        <f>IFERROR(IF(BI32&lt;=0,0,1),0)</f>
        <v>1</v>
      </c>
      <c r="BR32" s="107">
        <f t="shared" si="81"/>
        <v>1</v>
      </c>
      <c r="BS32" s="107">
        <f t="shared" si="82"/>
        <v>1</v>
      </c>
      <c r="BT32" s="108">
        <f t="shared" si="83"/>
        <v>1200000</v>
      </c>
      <c r="BU32" s="109">
        <f t="shared" si="84"/>
        <v>0</v>
      </c>
      <c r="BX32" s="368">
        <v>2.2999999999999998</v>
      </c>
      <c r="BY32" s="369"/>
      <c r="BZ32" s="370" t="s">
        <v>241</v>
      </c>
      <c r="CA32" s="371" t="s">
        <v>242</v>
      </c>
      <c r="CB32" s="376">
        <v>10</v>
      </c>
      <c r="CC32" s="371"/>
      <c r="CD32" s="372">
        <v>120000</v>
      </c>
      <c r="CE32" s="373"/>
      <c r="CF32" s="374"/>
      <c r="CG32" s="375">
        <f>+CB32*CD32</f>
        <v>1200000</v>
      </c>
      <c r="CH32" s="107">
        <f>IFERROR(IF(EXACT(VLOOKUP(BX32,OFERTA_0,1,FALSE),BX32),1,0),0)</f>
        <v>1</v>
      </c>
      <c r="CI32" s="107">
        <f>IFERROR(IF(EXACT(VLOOKUP(BX32,OFERTA_0,3,FALSE),BZ32),1,0),0)</f>
        <v>1</v>
      </c>
      <c r="CJ32" s="107">
        <f>IFERROR(IF(EXACT(VLOOKUP(BX32,OFERTA_0,4,FALSE),CA32),1,0),0)</f>
        <v>1</v>
      </c>
      <c r="CK32" s="107">
        <f>IFERROR(IF(EXACT(VLOOKUP(BX32,OFERTA_0,5,FALSE),CB32),1,0),0)</f>
        <v>1</v>
      </c>
      <c r="CL32" s="107">
        <f>IFERROR(IF(CD32&lt;=0,0,1),0)</f>
        <v>1</v>
      </c>
      <c r="CM32" s="107">
        <f t="shared" si="85"/>
        <v>1</v>
      </c>
      <c r="CN32" s="107">
        <f t="shared" si="86"/>
        <v>1</v>
      </c>
      <c r="CO32" s="108">
        <f t="shared" si="87"/>
        <v>1200000</v>
      </c>
      <c r="CP32" s="109">
        <f t="shared" si="88"/>
        <v>0</v>
      </c>
    </row>
    <row r="33" spans="1:15825" ht="15.75" customHeight="1">
      <c r="B33" s="352"/>
      <c r="C33" s="353"/>
      <c r="D33" s="762" t="s">
        <v>243</v>
      </c>
      <c r="E33" s="763"/>
      <c r="F33" s="763"/>
      <c r="G33" s="763"/>
      <c r="H33" s="763"/>
      <c r="I33" s="764"/>
      <c r="J33" s="344"/>
      <c r="K33" s="377">
        <f>SUM(K30:K32)</f>
        <v>6800000</v>
      </c>
      <c r="M33" s="433"/>
      <c r="N33" s="353"/>
      <c r="O33" s="762" t="s">
        <v>243</v>
      </c>
      <c r="P33" s="763"/>
      <c r="Q33" s="763"/>
      <c r="R33" s="763"/>
      <c r="S33" s="763"/>
      <c r="T33" s="764"/>
      <c r="U33" s="344"/>
      <c r="V33" s="442">
        <f>SUM(V30:V32)</f>
        <v>50800000</v>
      </c>
      <c r="W33" s="107"/>
      <c r="X33" s="107"/>
      <c r="Y33" s="107"/>
      <c r="Z33" s="107"/>
      <c r="AA33" s="107"/>
      <c r="AB33" s="107">
        <f t="shared" si="94"/>
        <v>1</v>
      </c>
      <c r="AC33" s="107">
        <f t="shared" si="95"/>
        <v>1</v>
      </c>
      <c r="AD33" s="458">
        <f t="shared" si="96"/>
        <v>50800000</v>
      </c>
      <c r="AE33" s="109">
        <f t="shared" si="97"/>
        <v>0</v>
      </c>
      <c r="AH33" s="433"/>
      <c r="AI33" s="353"/>
      <c r="AJ33" s="762"/>
      <c r="AK33" s="763"/>
      <c r="AL33" s="763"/>
      <c r="AM33" s="763"/>
      <c r="AN33" s="763"/>
      <c r="AO33" s="764"/>
      <c r="AP33" s="344"/>
      <c r="AQ33" s="442"/>
      <c r="AR33" s="107">
        <f>IFERROR(IF(EXACT(VLOOKUP(AH33,OFERTA_0,1,FALSE),AH33),1,0),0)</f>
        <v>0</v>
      </c>
      <c r="AS33" s="107">
        <f>IFERROR(IF(EXACT(VLOOKUP(AH33,OFERTA_0,3,FALSE),AJ33),1,0),0)</f>
        <v>0</v>
      </c>
      <c r="AT33" s="107">
        <f>IFERROR(IF(EXACT(VLOOKUP(AH33,OFERTA_0,4,FALSE),AK33),1,0),0)</f>
        <v>0</v>
      </c>
      <c r="AU33" s="107">
        <f>IFERROR(IF(EXACT(VLOOKUP(AH33,OFERTA_0,5,FALSE),AL33),1,0),0)</f>
        <v>0</v>
      </c>
      <c r="AV33" s="107">
        <f>IFERROR(IF(AM33&lt;=0,0,1),0)</f>
        <v>0</v>
      </c>
      <c r="AW33" s="107">
        <f t="shared" si="77"/>
        <v>0</v>
      </c>
      <c r="AX33" s="107">
        <f t="shared" si="78"/>
        <v>0</v>
      </c>
      <c r="AY33" s="108">
        <f t="shared" si="79"/>
        <v>0</v>
      </c>
      <c r="AZ33" s="109">
        <f t="shared" si="80"/>
        <v>0</v>
      </c>
      <c r="BC33" s="352"/>
      <c r="BD33" s="353"/>
      <c r="BE33" s="762" t="s">
        <v>243</v>
      </c>
      <c r="BF33" s="763"/>
      <c r="BG33" s="763"/>
      <c r="BH33" s="763"/>
      <c r="BI33" s="763"/>
      <c r="BJ33" s="764"/>
      <c r="BK33" s="344"/>
      <c r="BL33" s="377">
        <f>SUM(BL30:BL32)</f>
        <v>6800000</v>
      </c>
      <c r="BM33" s="107"/>
      <c r="BN33" s="107"/>
      <c r="BO33" s="107"/>
      <c r="BP33" s="107"/>
      <c r="BQ33" s="107"/>
      <c r="BR33" s="107">
        <f t="shared" si="81"/>
        <v>1</v>
      </c>
      <c r="BS33" s="107">
        <f t="shared" si="82"/>
        <v>1</v>
      </c>
      <c r="BT33" s="108">
        <f t="shared" si="83"/>
        <v>6800000</v>
      </c>
      <c r="BU33" s="109">
        <f t="shared" si="84"/>
        <v>0</v>
      </c>
      <c r="BX33" s="352"/>
      <c r="BY33" s="353"/>
      <c r="BZ33" s="762" t="s">
        <v>243</v>
      </c>
      <c r="CA33" s="763"/>
      <c r="CB33" s="763"/>
      <c r="CC33" s="763"/>
      <c r="CD33" s="763"/>
      <c r="CE33" s="764"/>
      <c r="CF33" s="344"/>
      <c r="CG33" s="377">
        <f>SUM(CG30:CG32)</f>
        <v>6800000</v>
      </c>
      <c r="CH33" s="107"/>
      <c r="CI33" s="107"/>
      <c r="CJ33" s="107"/>
      <c r="CK33" s="107"/>
      <c r="CL33" s="107"/>
      <c r="CM33" s="107">
        <f t="shared" si="85"/>
        <v>1</v>
      </c>
      <c r="CN33" s="107">
        <f t="shared" si="86"/>
        <v>1</v>
      </c>
      <c r="CO33" s="108">
        <f t="shared" si="87"/>
        <v>6800000</v>
      </c>
      <c r="CP33" s="109">
        <f t="shared" si="88"/>
        <v>0</v>
      </c>
    </row>
    <row r="34" spans="1:15825" ht="15.75" customHeight="1">
      <c r="B34" s="378"/>
      <c r="C34" s="379"/>
      <c r="D34" s="354"/>
      <c r="E34" s="354"/>
      <c r="F34" s="354"/>
      <c r="G34" s="354"/>
      <c r="H34" s="354"/>
      <c r="I34" s="354"/>
      <c r="J34" s="354"/>
      <c r="K34" s="355"/>
      <c r="M34" s="443"/>
      <c r="N34" s="444"/>
      <c r="O34" s="434"/>
      <c r="P34" s="434"/>
      <c r="Q34" s="434"/>
      <c r="R34" s="434"/>
      <c r="S34" s="434"/>
      <c r="T34" s="434"/>
      <c r="U34" s="434"/>
      <c r="V34" s="435"/>
      <c r="W34" s="78"/>
      <c r="X34" s="78"/>
      <c r="Y34" s="78"/>
      <c r="Z34" s="78"/>
      <c r="AA34" s="78"/>
      <c r="AB34" s="78"/>
      <c r="AC34" s="78"/>
      <c r="AD34" s="78"/>
      <c r="AE34" s="78"/>
      <c r="AH34" s="443"/>
      <c r="AI34" s="444"/>
      <c r="AJ34" s="434"/>
      <c r="AK34" s="434"/>
      <c r="AL34" s="434"/>
      <c r="AM34" s="434"/>
      <c r="AN34" s="434"/>
      <c r="AO34" s="434"/>
      <c r="AP34" s="434"/>
      <c r="AQ34" s="435"/>
      <c r="AR34" s="78"/>
      <c r="AS34" s="78"/>
      <c r="AT34" s="78"/>
      <c r="AU34" s="78"/>
      <c r="AV34" s="78"/>
      <c r="AW34" s="78"/>
      <c r="AX34" s="78"/>
      <c r="AY34" s="78"/>
      <c r="AZ34" s="78"/>
      <c r="BC34" s="443"/>
      <c r="BD34" s="444"/>
      <c r="BE34" s="434"/>
      <c r="BF34" s="434"/>
      <c r="BG34" s="434"/>
      <c r="BH34" s="434"/>
      <c r="BI34" s="434"/>
      <c r="BJ34" s="434"/>
      <c r="BK34" s="434"/>
      <c r="BL34" s="435"/>
      <c r="BM34" s="78"/>
      <c r="BN34" s="78"/>
      <c r="BO34" s="78"/>
      <c r="BP34" s="78"/>
      <c r="BQ34" s="78"/>
      <c r="BR34" s="78"/>
      <c r="BS34" s="78"/>
      <c r="BT34" s="78"/>
      <c r="BU34" s="78"/>
      <c r="BX34" s="378"/>
      <c r="BY34" s="379"/>
      <c r="BZ34" s="354"/>
      <c r="CA34" s="354"/>
      <c r="CB34" s="354"/>
      <c r="CC34" s="354"/>
      <c r="CD34" s="354"/>
      <c r="CE34" s="354"/>
      <c r="CF34" s="354"/>
      <c r="CG34" s="355"/>
      <c r="CH34" s="78"/>
      <c r="CI34" s="78"/>
      <c r="CJ34" s="78"/>
      <c r="CK34" s="78"/>
      <c r="CL34" s="78"/>
      <c r="CM34" s="78"/>
      <c r="CN34" s="78"/>
      <c r="CO34" s="78"/>
      <c r="CP34" s="78"/>
    </row>
    <row r="35" spans="1:15825" ht="15.75" customHeight="1">
      <c r="B35" s="363" t="s">
        <v>150</v>
      </c>
      <c r="C35" s="364"/>
      <c r="D35" s="762" t="s">
        <v>244</v>
      </c>
      <c r="E35" s="763"/>
      <c r="F35" s="763"/>
      <c r="G35" s="763"/>
      <c r="H35" s="763"/>
      <c r="I35" s="764"/>
      <c r="J35" s="344"/>
      <c r="K35" s="380">
        <f>+ROUND(K26+K33,0)</f>
        <v>6800000</v>
      </c>
      <c r="M35" s="438" t="s">
        <v>150</v>
      </c>
      <c r="N35" s="364"/>
      <c r="O35" s="762" t="s">
        <v>244</v>
      </c>
      <c r="P35" s="763"/>
      <c r="Q35" s="763"/>
      <c r="R35" s="763"/>
      <c r="S35" s="763"/>
      <c r="T35" s="764"/>
      <c r="U35" s="344"/>
      <c r="V35" s="445">
        <f>+ROUND(V26+V33,0)</f>
        <v>446411200</v>
      </c>
      <c r="W35" s="78"/>
      <c r="X35" s="78"/>
      <c r="Y35" s="78"/>
      <c r="Z35" s="78"/>
      <c r="AA35" s="78"/>
      <c r="AB35" s="78"/>
      <c r="AC35" s="78"/>
      <c r="AD35" s="452" t="s">
        <v>67</v>
      </c>
      <c r="AE35" s="453">
        <f>SUM(AE30:AE33,AE11:AE17,AE19:AE22)/V40</f>
        <v>0</v>
      </c>
      <c r="AH35" s="438"/>
      <c r="AI35" s="364"/>
      <c r="AJ35" s="762"/>
      <c r="AK35" s="763"/>
      <c r="AL35" s="763"/>
      <c r="AM35" s="763"/>
      <c r="AN35" s="763"/>
      <c r="AO35" s="764"/>
      <c r="AP35" s="344"/>
      <c r="AQ35" s="445"/>
      <c r="AR35" s="78"/>
      <c r="AS35" s="78"/>
      <c r="AT35" s="78"/>
      <c r="AU35" s="78"/>
      <c r="AV35" s="78"/>
      <c r="AW35" s="78"/>
      <c r="AX35" s="78"/>
      <c r="AY35" s="452" t="s">
        <v>67</v>
      </c>
      <c r="AZ35" s="453" t="e">
        <f>SUM(AZ30:AZ33,AZ11:AZ17,AZ19:AZ22)/AQ40</f>
        <v>#DIV/0!</v>
      </c>
      <c r="BC35" s="363" t="s">
        <v>150</v>
      </c>
      <c r="BD35" s="364"/>
      <c r="BE35" s="762" t="s">
        <v>244</v>
      </c>
      <c r="BF35" s="763"/>
      <c r="BG35" s="763"/>
      <c r="BH35" s="763"/>
      <c r="BI35" s="763"/>
      <c r="BJ35" s="764"/>
      <c r="BK35" s="344"/>
      <c r="BL35" s="380">
        <f>+ROUND(BL26+BL33,0)</f>
        <v>561107272</v>
      </c>
      <c r="BM35" s="78"/>
      <c r="BN35" s="78"/>
      <c r="BO35" s="78"/>
      <c r="BP35" s="78"/>
      <c r="BQ35" s="78"/>
      <c r="BR35" s="78"/>
      <c r="BS35" s="78"/>
      <c r="BT35" s="452" t="s">
        <v>67</v>
      </c>
      <c r="BU35" s="453">
        <f>SUM(BU30:BU33,BU11:BU17,BU19:BU22)/BL40</f>
        <v>0</v>
      </c>
      <c r="BX35" s="363" t="s">
        <v>150</v>
      </c>
      <c r="BY35" s="364"/>
      <c r="BZ35" s="762" t="s">
        <v>244</v>
      </c>
      <c r="CA35" s="763"/>
      <c r="CB35" s="763"/>
      <c r="CC35" s="763"/>
      <c r="CD35" s="763"/>
      <c r="CE35" s="764"/>
      <c r="CF35" s="344"/>
      <c r="CG35" s="380">
        <f>+ROUND(CG26+CG33,0)</f>
        <v>555459800</v>
      </c>
      <c r="CH35" s="78"/>
      <c r="CI35" s="78"/>
      <c r="CJ35" s="78"/>
      <c r="CK35" s="78"/>
      <c r="CL35" s="78"/>
      <c r="CM35" s="78"/>
      <c r="CN35" s="78"/>
      <c r="CO35" s="452" t="s">
        <v>67</v>
      </c>
      <c r="CP35" s="453">
        <f>SUM(CP30:CP33,CP11:CP17,CP19:CP22)/CG40</f>
        <v>0</v>
      </c>
    </row>
    <row r="36" spans="1:15825" ht="15.75" customHeight="1">
      <c r="B36" s="363"/>
      <c r="C36" s="364"/>
      <c r="D36" s="762" t="s">
        <v>245</v>
      </c>
      <c r="E36" s="763"/>
      <c r="F36" s="763"/>
      <c r="G36" s="763"/>
      <c r="H36" s="763"/>
      <c r="I36" s="764"/>
      <c r="J36" s="344"/>
      <c r="K36" s="380">
        <f>+ROUND(K35*0.19,4)</f>
        <v>1292000</v>
      </c>
      <c r="M36" s="438"/>
      <c r="N36" s="364"/>
      <c r="O36" s="762" t="s">
        <v>245</v>
      </c>
      <c r="P36" s="763"/>
      <c r="Q36" s="763"/>
      <c r="R36" s="763"/>
      <c r="S36" s="763"/>
      <c r="T36" s="764"/>
      <c r="U36" s="344"/>
      <c r="V36" s="445">
        <f>+ROUND(V35*0.19,4)</f>
        <v>84818128</v>
      </c>
      <c r="W36" s="78"/>
      <c r="X36" s="78"/>
      <c r="Y36" s="78"/>
      <c r="Z36" s="78"/>
      <c r="AA36" s="78"/>
      <c r="AB36" s="78"/>
      <c r="AC36" s="78"/>
      <c r="AD36" s="78"/>
      <c r="AE36" s="78"/>
      <c r="AH36" s="438"/>
      <c r="AI36" s="364"/>
      <c r="AJ36" s="762"/>
      <c r="AK36" s="763"/>
      <c r="AL36" s="763"/>
      <c r="AM36" s="763"/>
      <c r="AN36" s="763"/>
      <c r="AO36" s="764"/>
      <c r="AP36" s="344"/>
      <c r="AQ36" s="445"/>
      <c r="AR36" s="78"/>
      <c r="AS36" s="78"/>
      <c r="AT36" s="78"/>
      <c r="AU36" s="78"/>
      <c r="AV36" s="78"/>
      <c r="AW36" s="78"/>
      <c r="AX36" s="78"/>
      <c r="AY36" s="78"/>
      <c r="AZ36" s="78"/>
      <c r="BC36" s="363"/>
      <c r="BD36" s="364"/>
      <c r="BE36" s="762" t="s">
        <v>245</v>
      </c>
      <c r="BF36" s="763"/>
      <c r="BG36" s="763"/>
      <c r="BH36" s="763"/>
      <c r="BI36" s="763"/>
      <c r="BJ36" s="764"/>
      <c r="BK36" s="344"/>
      <c r="BL36" s="380">
        <f>+ROUND(BL35*0.19,4)</f>
        <v>106610381.68000001</v>
      </c>
      <c r="BM36" s="78"/>
      <c r="BN36" s="78"/>
      <c r="BO36" s="78"/>
      <c r="BP36" s="78"/>
      <c r="BQ36" s="78"/>
      <c r="BR36" s="78"/>
      <c r="BS36" s="78"/>
      <c r="BT36" s="78"/>
      <c r="BU36" s="78"/>
      <c r="BX36" s="363"/>
      <c r="BY36" s="364"/>
      <c r="BZ36" s="762" t="s">
        <v>245</v>
      </c>
      <c r="CA36" s="763"/>
      <c r="CB36" s="763"/>
      <c r="CC36" s="763"/>
      <c r="CD36" s="763"/>
      <c r="CE36" s="764"/>
      <c r="CF36" s="344"/>
      <c r="CG36" s="380">
        <f>+ROUND(CG35*0.19,4)</f>
        <v>105537362</v>
      </c>
      <c r="CH36" s="78"/>
      <c r="CI36" s="78"/>
      <c r="CJ36" s="78"/>
      <c r="CK36" s="78"/>
      <c r="CL36" s="78"/>
      <c r="CM36" s="78"/>
      <c r="CN36" s="78"/>
      <c r="CO36" s="78"/>
      <c r="CP36" s="78"/>
    </row>
    <row r="37" spans="1:15825" ht="15.75" customHeight="1" thickBot="1">
      <c r="B37" s="381"/>
      <c r="C37" s="382"/>
      <c r="D37" s="791" t="s">
        <v>246</v>
      </c>
      <c r="E37" s="792"/>
      <c r="F37" s="792"/>
      <c r="G37" s="792"/>
      <c r="H37" s="792"/>
      <c r="I37" s="793"/>
      <c r="J37" s="383"/>
      <c r="K37" s="384">
        <f>+K36+K35</f>
        <v>8092000</v>
      </c>
      <c r="M37" s="446"/>
      <c r="N37" s="382"/>
      <c r="O37" s="791" t="s">
        <v>246</v>
      </c>
      <c r="P37" s="792"/>
      <c r="Q37" s="792"/>
      <c r="R37" s="792"/>
      <c r="S37" s="792"/>
      <c r="T37" s="793"/>
      <c r="U37" s="383"/>
      <c r="V37" s="447">
        <f>+V36+V35</f>
        <v>531229328</v>
      </c>
      <c r="W37" s="78"/>
      <c r="X37" s="78"/>
      <c r="Y37" s="78"/>
      <c r="Z37" s="78"/>
      <c r="AA37" s="78"/>
      <c r="AB37" s="78"/>
      <c r="AC37" s="78"/>
      <c r="AD37" s="208"/>
      <c r="AE37" s="78"/>
      <c r="AH37" s="446"/>
      <c r="AI37" s="382"/>
      <c r="AJ37" s="791"/>
      <c r="AK37" s="792"/>
      <c r="AL37" s="792"/>
      <c r="AM37" s="792"/>
      <c r="AN37" s="792"/>
      <c r="AO37" s="793"/>
      <c r="AP37" s="383"/>
      <c r="AQ37" s="447"/>
      <c r="AR37" s="78"/>
      <c r="AS37" s="78"/>
      <c r="AT37" s="78"/>
      <c r="AU37" s="78"/>
      <c r="AV37" s="78"/>
      <c r="AW37" s="78"/>
      <c r="AX37" s="78"/>
      <c r="AY37" s="208"/>
      <c r="AZ37" s="78"/>
      <c r="BC37" s="381"/>
      <c r="BD37" s="382"/>
      <c r="BE37" s="791" t="s">
        <v>246</v>
      </c>
      <c r="BF37" s="792"/>
      <c r="BG37" s="792"/>
      <c r="BH37" s="792"/>
      <c r="BI37" s="792"/>
      <c r="BJ37" s="793"/>
      <c r="BK37" s="383"/>
      <c r="BL37" s="384">
        <f>+BL36+BL35</f>
        <v>667717653.68000007</v>
      </c>
      <c r="BM37" s="78"/>
      <c r="BN37" s="78"/>
      <c r="BO37" s="78"/>
      <c r="BP37" s="78"/>
      <c r="BQ37" s="78"/>
      <c r="BR37" s="78"/>
      <c r="BS37" s="78"/>
      <c r="BT37" s="208"/>
      <c r="BU37" s="78"/>
      <c r="BX37" s="381"/>
      <c r="BY37" s="382"/>
      <c r="BZ37" s="791" t="s">
        <v>246</v>
      </c>
      <c r="CA37" s="792"/>
      <c r="CB37" s="792"/>
      <c r="CC37" s="792"/>
      <c r="CD37" s="792"/>
      <c r="CE37" s="793"/>
      <c r="CF37" s="383"/>
      <c r="CG37" s="384">
        <f>+CG36+CG35</f>
        <v>660997162</v>
      </c>
      <c r="CH37" s="78"/>
      <c r="CI37" s="78"/>
      <c r="CJ37" s="78"/>
      <c r="CK37" s="78"/>
      <c r="CL37" s="78"/>
      <c r="CM37" s="78"/>
      <c r="CN37" s="78"/>
      <c r="CO37" s="208"/>
      <c r="CP37" s="78"/>
    </row>
    <row r="38" spans="1:15825" ht="30.75" customHeight="1">
      <c r="B38" s="385"/>
      <c r="C38" s="385"/>
      <c r="D38" s="385"/>
      <c r="E38" s="385"/>
      <c r="F38" s="385"/>
      <c r="G38" s="385"/>
      <c r="H38" s="385"/>
      <c r="I38" s="385"/>
      <c r="J38" s="385"/>
      <c r="K38" s="385"/>
      <c r="M38" s="448"/>
      <c r="N38" s="449"/>
      <c r="O38" s="449"/>
      <c r="P38" s="449"/>
      <c r="Q38" s="449"/>
      <c r="R38" s="449"/>
      <c r="S38" s="449"/>
      <c r="T38" s="449"/>
      <c r="U38" s="449"/>
      <c r="V38" s="450"/>
      <c r="W38" s="78"/>
      <c r="X38" s="78"/>
      <c r="Y38" s="78"/>
      <c r="Z38" s="78"/>
      <c r="AA38" s="78"/>
      <c r="AB38" s="78"/>
      <c r="AC38" s="78"/>
      <c r="AD38" s="78"/>
      <c r="AE38" s="78"/>
      <c r="AH38" s="448"/>
      <c r="AI38" s="449"/>
      <c r="AJ38" s="449"/>
      <c r="AK38" s="449"/>
      <c r="AL38" s="449"/>
      <c r="AM38" s="449"/>
      <c r="AN38" s="449"/>
      <c r="AO38" s="449"/>
      <c r="AP38" s="449"/>
      <c r="AQ38" s="450"/>
      <c r="AR38" s="78"/>
      <c r="AS38" s="78"/>
      <c r="AT38" s="78"/>
      <c r="AU38" s="78"/>
      <c r="AV38" s="78"/>
      <c r="AW38" s="78"/>
      <c r="AX38" s="78"/>
      <c r="AY38" s="78"/>
      <c r="AZ38" s="78"/>
      <c r="BC38" s="448"/>
      <c r="BD38" s="449"/>
      <c r="BE38" s="449"/>
      <c r="BF38" s="449"/>
      <c r="BG38" s="449"/>
      <c r="BH38" s="449"/>
      <c r="BI38" s="449"/>
      <c r="BJ38" s="449"/>
      <c r="BK38" s="449"/>
      <c r="BL38" s="450"/>
      <c r="BM38" s="78"/>
      <c r="BN38" s="78"/>
      <c r="BO38" s="78"/>
      <c r="BP38" s="78"/>
      <c r="BQ38" s="78"/>
      <c r="BR38" s="78"/>
      <c r="BS38" s="78"/>
      <c r="BT38" s="78"/>
      <c r="BU38" s="78"/>
      <c r="BX38" s="385"/>
      <c r="BY38" s="385"/>
      <c r="BZ38" s="385"/>
      <c r="CA38" s="385"/>
      <c r="CB38" s="385"/>
      <c r="CC38" s="385"/>
      <c r="CD38" s="385"/>
      <c r="CE38" s="385"/>
      <c r="CF38" s="385"/>
      <c r="CG38" s="385"/>
      <c r="CH38" s="78"/>
      <c r="CI38" s="78"/>
      <c r="CJ38" s="78"/>
      <c r="CK38" s="78"/>
      <c r="CL38" s="78"/>
      <c r="CM38" s="78"/>
      <c r="CN38" s="78"/>
      <c r="CO38" s="78"/>
      <c r="CP38" s="78"/>
    </row>
    <row r="39" spans="1:15825">
      <c r="B39" s="386"/>
      <c r="C39" s="387"/>
      <c r="D39" s="762" t="s">
        <v>246</v>
      </c>
      <c r="E39" s="763"/>
      <c r="F39" s="763"/>
      <c r="G39" s="763"/>
      <c r="H39" s="763"/>
      <c r="I39" s="764"/>
      <c r="J39" s="388"/>
      <c r="K39" s="389">
        <f>+K38+K37</f>
        <v>8092000</v>
      </c>
      <c r="M39" s="438"/>
      <c r="N39" s="387"/>
      <c r="O39" s="762" t="s">
        <v>246</v>
      </c>
      <c r="P39" s="763"/>
      <c r="Q39" s="763"/>
      <c r="R39" s="763"/>
      <c r="S39" s="763"/>
      <c r="T39" s="764"/>
      <c r="U39" s="388"/>
      <c r="V39" s="445">
        <f>+V38+V37</f>
        <v>531229328</v>
      </c>
      <c r="W39" s="209"/>
      <c r="X39" s="209"/>
      <c r="Y39" s="209"/>
      <c r="Z39" s="209"/>
      <c r="AA39" s="209"/>
      <c r="AB39" s="209"/>
      <c r="AC39" s="209"/>
      <c r="AD39" s="209"/>
      <c r="AE39" s="209"/>
      <c r="AF39" s="209"/>
      <c r="AH39" s="438"/>
      <c r="AI39" s="387"/>
      <c r="AJ39" s="762"/>
      <c r="AK39" s="763"/>
      <c r="AL39" s="763"/>
      <c r="AM39" s="763"/>
      <c r="AN39" s="763"/>
      <c r="AO39" s="764"/>
      <c r="AP39" s="388"/>
      <c r="AQ39" s="445"/>
      <c r="AR39" s="209"/>
      <c r="AS39" s="209"/>
      <c r="AT39" s="209"/>
      <c r="AU39" s="209"/>
      <c r="AV39" s="209"/>
      <c r="AW39" s="209"/>
      <c r="AX39" s="209"/>
      <c r="AY39" s="209"/>
      <c r="AZ39" s="209"/>
      <c r="BC39" s="386"/>
      <c r="BD39" s="387"/>
      <c r="BE39" s="762" t="s">
        <v>246</v>
      </c>
      <c r="BF39" s="763"/>
      <c r="BG39" s="763"/>
      <c r="BH39" s="763"/>
      <c r="BI39" s="763"/>
      <c r="BJ39" s="764"/>
      <c r="BK39" s="388"/>
      <c r="BL39" s="389">
        <f>+BL38+BL37</f>
        <v>667717653.68000007</v>
      </c>
      <c r="BM39" s="209"/>
      <c r="BN39" s="209"/>
      <c r="BO39" s="209"/>
      <c r="BP39" s="209"/>
      <c r="BQ39" s="209"/>
      <c r="BR39" s="209"/>
      <c r="BS39" s="209"/>
      <c r="BT39" s="209"/>
      <c r="BU39" s="209"/>
      <c r="BX39" s="386"/>
      <c r="BY39" s="387"/>
      <c r="BZ39" s="762" t="s">
        <v>246</v>
      </c>
      <c r="CA39" s="763"/>
      <c r="CB39" s="763"/>
      <c r="CC39" s="763"/>
      <c r="CD39" s="763"/>
      <c r="CE39" s="764"/>
      <c r="CF39" s="388"/>
      <c r="CG39" s="389">
        <f>+CG38+CG37</f>
        <v>660997162</v>
      </c>
      <c r="CH39" s="209"/>
      <c r="CI39" s="209"/>
      <c r="CJ39" s="209"/>
      <c r="CK39" s="209"/>
      <c r="CL39" s="209"/>
      <c r="CM39" s="209"/>
      <c r="CN39" s="209"/>
      <c r="CO39" s="209"/>
      <c r="CP39" s="209"/>
    </row>
    <row r="40" spans="1:15825">
      <c r="B40" s="386"/>
      <c r="C40" s="387"/>
      <c r="D40" s="762" t="s">
        <v>247</v>
      </c>
      <c r="E40" s="763"/>
      <c r="F40" s="763"/>
      <c r="G40" s="763"/>
      <c r="H40" s="763"/>
      <c r="I40" s="764"/>
      <c r="J40" s="388"/>
      <c r="K40" s="390">
        <f>SUM(K39:K39)</f>
        <v>8092000</v>
      </c>
      <c r="M40" s="438"/>
      <c r="N40" s="387"/>
      <c r="O40" s="762" t="s">
        <v>247</v>
      </c>
      <c r="P40" s="763"/>
      <c r="Q40" s="763"/>
      <c r="R40" s="763"/>
      <c r="S40" s="763"/>
      <c r="T40" s="764"/>
      <c r="U40" s="388"/>
      <c r="V40" s="451">
        <f>SUM(V39:V39)</f>
        <v>531229328</v>
      </c>
      <c r="W40" s="78"/>
      <c r="X40" s="78"/>
      <c r="Y40" s="78"/>
      <c r="Z40" s="78"/>
      <c r="AA40" s="78"/>
      <c r="AB40" s="78"/>
      <c r="AC40" s="78"/>
      <c r="AD40" s="78"/>
      <c r="AE40" s="78"/>
      <c r="AH40" s="438"/>
      <c r="AI40" s="387"/>
      <c r="AJ40" s="762"/>
      <c r="AK40" s="763"/>
      <c r="AL40" s="763"/>
      <c r="AM40" s="763"/>
      <c r="AN40" s="763"/>
      <c r="AO40" s="764"/>
      <c r="AP40" s="388"/>
      <c r="AQ40" s="451"/>
      <c r="AR40" s="78"/>
      <c r="AS40" s="78"/>
      <c r="AT40" s="78"/>
      <c r="AU40" s="78"/>
      <c r="AV40" s="78"/>
      <c r="AW40" s="78"/>
      <c r="AX40" s="78"/>
      <c r="AY40" s="78"/>
      <c r="AZ40" s="78"/>
      <c r="BC40" s="386"/>
      <c r="BD40" s="387"/>
      <c r="BE40" s="762" t="s">
        <v>247</v>
      </c>
      <c r="BF40" s="763"/>
      <c r="BG40" s="763"/>
      <c r="BH40" s="763"/>
      <c r="BI40" s="763"/>
      <c r="BJ40" s="764"/>
      <c r="BK40" s="388"/>
      <c r="BL40" s="390">
        <f>SUM(BL39:BL39)</f>
        <v>667717653.68000007</v>
      </c>
      <c r="BM40" s="78"/>
      <c r="BN40" s="78"/>
      <c r="BO40" s="78"/>
      <c r="BP40" s="78"/>
      <c r="BQ40" s="78"/>
      <c r="BR40" s="78"/>
      <c r="BS40" s="78"/>
      <c r="BT40" s="78"/>
      <c r="BU40" s="78"/>
      <c r="BX40" s="386"/>
      <c r="BY40" s="387"/>
      <c r="BZ40" s="762" t="s">
        <v>247</v>
      </c>
      <c r="CA40" s="763"/>
      <c r="CB40" s="763"/>
      <c r="CC40" s="763"/>
      <c r="CD40" s="763"/>
      <c r="CE40" s="764"/>
      <c r="CF40" s="388"/>
      <c r="CG40" s="390">
        <f>SUM(CG39:CG39)</f>
        <v>660997162</v>
      </c>
      <c r="CH40" s="78"/>
      <c r="CI40" s="78"/>
      <c r="CJ40" s="78"/>
      <c r="CK40" s="78"/>
      <c r="CL40" s="78"/>
      <c r="CM40" s="78"/>
      <c r="CN40" s="78"/>
      <c r="CO40" s="78"/>
      <c r="CP40" s="78"/>
    </row>
    <row r="41" spans="1:15825" s="188" customFormat="1" ht="12.75" customHeight="1">
      <c r="B41" s="404"/>
      <c r="C41" s="404"/>
      <c r="D41" s="405"/>
      <c r="E41" s="406"/>
      <c r="F41" s="406"/>
      <c r="G41" s="406"/>
      <c r="H41" s="406"/>
      <c r="I41" s="406"/>
      <c r="J41" s="406"/>
      <c r="K41" s="407"/>
      <c r="M41" s="404"/>
      <c r="N41" s="404"/>
      <c r="O41" s="405"/>
      <c r="P41" s="406"/>
      <c r="Q41" s="406"/>
      <c r="R41" s="406"/>
      <c r="S41" s="406"/>
      <c r="T41" s="406"/>
      <c r="U41" s="406"/>
      <c r="V41" s="407"/>
      <c r="W41" s="78"/>
      <c r="X41" s="78"/>
      <c r="Y41" s="78"/>
      <c r="Z41" s="78"/>
      <c r="AA41" s="78"/>
      <c r="AB41" s="78"/>
      <c r="AC41" s="78"/>
      <c r="AD41" s="78"/>
      <c r="AE41" s="78"/>
      <c r="AH41" s="404"/>
      <c r="AI41" s="404"/>
      <c r="AJ41" s="405"/>
      <c r="AK41" s="406"/>
      <c r="AL41" s="406"/>
      <c r="AM41" s="406"/>
      <c r="AN41" s="406"/>
      <c r="AO41" s="406"/>
      <c r="AP41" s="406"/>
      <c r="AQ41" s="407"/>
      <c r="AR41" s="78"/>
      <c r="AS41" s="78"/>
      <c r="AT41" s="78"/>
      <c r="AU41" s="78"/>
      <c r="AV41" s="78"/>
      <c r="AW41" s="78"/>
      <c r="AX41" s="78"/>
      <c r="AY41" s="78"/>
      <c r="AZ41" s="78"/>
      <c r="BC41" s="404"/>
      <c r="BD41" s="404"/>
      <c r="BE41" s="405"/>
      <c r="BF41" s="406"/>
      <c r="BG41" s="406"/>
      <c r="BH41" s="406"/>
      <c r="BI41" s="406"/>
      <c r="BJ41" s="406"/>
      <c r="BK41" s="406"/>
      <c r="BL41" s="407"/>
      <c r="BM41" s="78"/>
      <c r="BN41" s="78"/>
      <c r="BO41" s="78"/>
      <c r="BP41" s="78"/>
      <c r="BQ41" s="78"/>
      <c r="BR41" s="78"/>
      <c r="BS41" s="78"/>
      <c r="BT41" s="78"/>
      <c r="BU41" s="78"/>
      <c r="BX41" s="404"/>
      <c r="BY41" s="404"/>
      <c r="BZ41" s="405"/>
      <c r="CA41" s="406"/>
      <c r="CB41" s="406"/>
      <c r="CC41" s="406"/>
      <c r="CD41" s="406"/>
      <c r="CE41" s="406"/>
      <c r="CF41" s="406"/>
      <c r="CG41" s="407"/>
      <c r="CH41" s="78"/>
      <c r="CI41" s="78"/>
      <c r="CJ41" s="78"/>
      <c r="CK41" s="78"/>
      <c r="CL41" s="78"/>
      <c r="CM41" s="78"/>
      <c r="CN41" s="78"/>
      <c r="CO41" s="78"/>
      <c r="CP41" s="78"/>
    </row>
    <row r="42" spans="1:15825" s="188" customFormat="1" ht="13.5" customHeight="1" thickBot="1">
      <c r="B42" s="404"/>
      <c r="C42" s="404"/>
      <c r="D42" s="405"/>
      <c r="E42" s="406"/>
      <c r="F42" s="406"/>
      <c r="G42" s="406"/>
      <c r="H42" s="406"/>
      <c r="I42" s="406"/>
      <c r="J42" s="406"/>
      <c r="K42" s="407"/>
      <c r="M42" s="404"/>
      <c r="N42" s="404"/>
      <c r="O42" s="405"/>
      <c r="P42" s="406"/>
      <c r="Q42" s="406"/>
      <c r="R42" s="406"/>
      <c r="S42" s="406"/>
      <c r="T42" s="406"/>
      <c r="U42" s="406"/>
      <c r="V42" s="407"/>
      <c r="W42" s="78"/>
      <c r="X42" s="78"/>
      <c r="Y42" s="78"/>
      <c r="Z42" s="78"/>
      <c r="AA42" s="78"/>
      <c r="AB42" s="78"/>
      <c r="AC42" s="78"/>
      <c r="AD42" s="78"/>
      <c r="AE42" s="78"/>
      <c r="AH42" s="404"/>
      <c r="AI42" s="404"/>
      <c r="AJ42" s="405"/>
      <c r="AK42" s="406"/>
      <c r="AL42" s="406"/>
      <c r="AM42" s="406"/>
      <c r="AN42" s="406"/>
      <c r="AO42" s="406"/>
      <c r="AP42" s="406"/>
      <c r="AQ42" s="407"/>
      <c r="AR42" s="78"/>
      <c r="AS42" s="78"/>
      <c r="AT42" s="78"/>
      <c r="AU42" s="78"/>
      <c r="AV42" s="78"/>
      <c r="AW42" s="78"/>
      <c r="AX42" s="78"/>
      <c r="AY42" s="78"/>
      <c r="AZ42" s="78"/>
      <c r="BC42" s="404"/>
      <c r="BD42" s="404"/>
      <c r="BE42" s="405"/>
      <c r="BF42" s="406"/>
      <c r="BG42" s="406"/>
      <c r="BH42" s="406"/>
      <c r="BI42" s="406"/>
      <c r="BJ42" s="406"/>
      <c r="BK42" s="406"/>
      <c r="BL42" s="407"/>
      <c r="BM42" s="78"/>
      <c r="BN42" s="78"/>
      <c r="BO42" s="78"/>
      <c r="BP42" s="78"/>
      <c r="BQ42" s="78"/>
      <c r="BR42" s="78"/>
      <c r="BS42" s="78"/>
      <c r="BT42" s="78"/>
      <c r="BU42" s="78"/>
      <c r="BX42" s="404"/>
      <c r="BY42" s="404"/>
      <c r="BZ42" s="405"/>
      <c r="CA42" s="406"/>
      <c r="CB42" s="406"/>
      <c r="CC42" s="406"/>
      <c r="CD42" s="406"/>
      <c r="CE42" s="406"/>
      <c r="CF42" s="406"/>
      <c r="CG42" s="407"/>
      <c r="CH42" s="78"/>
      <c r="CI42" s="78"/>
      <c r="CJ42" s="78"/>
      <c r="CK42" s="78"/>
      <c r="CL42" s="78"/>
      <c r="CM42" s="78"/>
      <c r="CN42" s="78"/>
      <c r="CO42" s="78"/>
      <c r="CP42" s="78"/>
    </row>
    <row r="43" spans="1:15825" ht="90" thickTop="1" thickBot="1">
      <c r="M43" s="765" t="str">
        <f>+IF(Z43*AC43*AE43*X43=1,"OK","NO HABILITADO")</f>
        <v>NO HABILITADO</v>
      </c>
      <c r="N43" s="766"/>
      <c r="O43" s="766"/>
      <c r="P43" s="766"/>
      <c r="Q43" s="766"/>
      <c r="R43" s="766"/>
      <c r="S43" s="766"/>
      <c r="T43" s="766"/>
      <c r="U43" s="766"/>
      <c r="V43" s="767"/>
      <c r="W43" s="78"/>
      <c r="X43" s="72">
        <f>IF(V25&lt;='10. EVALUACIÓN'!$D$10,1,0)</f>
        <v>0</v>
      </c>
      <c r="Y43" s="78"/>
      <c r="Z43" s="72">
        <f>IF(V24&lt;='10. EVALUACIÓN'!$D$9,1,0)</f>
        <v>1</v>
      </c>
      <c r="AA43" s="110"/>
      <c r="AB43" s="70"/>
      <c r="AC43" s="72">
        <f>PRODUCT(AC11:AC33)</f>
        <v>0</v>
      </c>
      <c r="AD43" s="70"/>
      <c r="AE43" s="72">
        <f>IFERROR(IF(AE35&gt;=0.5,0,1),0)</f>
        <v>1</v>
      </c>
      <c r="AF43" s="189"/>
      <c r="AH43" s="765" t="str">
        <f>+IF(AU43*AX43*AZ43*AS43=1,"OK","NO HABILITADO")</f>
        <v>NO HABILITADO</v>
      </c>
      <c r="AI43" s="766"/>
      <c r="AJ43" s="766"/>
      <c r="AK43" s="766"/>
      <c r="AL43" s="766"/>
      <c r="AM43" s="766"/>
      <c r="AN43" s="766"/>
      <c r="AO43" s="766"/>
      <c r="AP43" s="766"/>
      <c r="AQ43" s="767"/>
      <c r="AR43" s="78"/>
      <c r="AS43" s="72">
        <f>IF(AQ25&lt;='10. EVALUACIÓN'!$D$10,1,0)</f>
        <v>1</v>
      </c>
      <c r="AT43" s="78"/>
      <c r="AU43" s="72">
        <f>IF(AQ24&lt;='10. EVALUACIÓN'!$D$9,1,0)</f>
        <v>1</v>
      </c>
      <c r="AV43" s="110"/>
      <c r="AW43" s="70"/>
      <c r="AX43" s="72">
        <f>PRODUCT(AX11:AX33)</f>
        <v>0</v>
      </c>
      <c r="AY43" s="70"/>
      <c r="AZ43" s="72">
        <f>IFERROR(IF(AZ35&gt;=0.5,0,1),0)</f>
        <v>0</v>
      </c>
      <c r="BC43" s="765" t="str">
        <f>+IF(BP43*BS43*BU43*BN43=1,"OK","NO HABILITADO")</f>
        <v>NO HABILITADO</v>
      </c>
      <c r="BD43" s="766"/>
      <c r="BE43" s="766"/>
      <c r="BF43" s="766"/>
      <c r="BG43" s="766"/>
      <c r="BH43" s="766"/>
      <c r="BI43" s="766"/>
      <c r="BJ43" s="766"/>
      <c r="BK43" s="766"/>
      <c r="BL43" s="767"/>
      <c r="BM43" s="78"/>
      <c r="BN43" s="72">
        <f>IF(BL25&lt;='10. EVALUACIÓN'!$D$10,1,0)</f>
        <v>0</v>
      </c>
      <c r="BO43" s="78"/>
      <c r="BP43" s="72">
        <f>IF(BL24&lt;='10. EVALUACIÓN'!$D$9,1,0)</f>
        <v>1</v>
      </c>
      <c r="BQ43" s="110"/>
      <c r="BR43" s="70"/>
      <c r="BS43" s="72">
        <f>PRODUCT(BS11:BS33)</f>
        <v>1</v>
      </c>
      <c r="BT43" s="70"/>
      <c r="BU43" s="72">
        <f>IFERROR(IF(BU35&gt;=0.5,0,1),0)</f>
        <v>1</v>
      </c>
      <c r="BX43" s="765" t="str">
        <f>+IF(CK43*CN43*CP43*CI43=1,"OK","NO HABILITADO")</f>
        <v>NO HABILITADO</v>
      </c>
      <c r="BY43" s="766"/>
      <c r="BZ43" s="766"/>
      <c r="CA43" s="766"/>
      <c r="CB43" s="766"/>
      <c r="CC43" s="766"/>
      <c r="CD43" s="766"/>
      <c r="CE43" s="766"/>
      <c r="CF43" s="766"/>
      <c r="CG43" s="767"/>
      <c r="CH43" s="78"/>
      <c r="CI43" s="72">
        <f>IF(CG25&lt;='10. EVALUACIÓN'!$D$10,1,0)</f>
        <v>0</v>
      </c>
      <c r="CJ43" s="78"/>
      <c r="CK43" s="72">
        <f>IF(CG24&lt;='10. EVALUACIÓN'!$D$9,1,0)</f>
        <v>1</v>
      </c>
      <c r="CL43" s="110"/>
      <c r="CM43" s="70"/>
      <c r="CN43" s="72">
        <f>PRODUCT(CN11:CN33)</f>
        <v>1</v>
      </c>
      <c r="CO43" s="70"/>
      <c r="CP43" s="72">
        <f>IFERROR(IF(CP35&gt;=0.5,0,1),0)</f>
        <v>1</v>
      </c>
    </row>
    <row r="44" spans="1:15825" ht="169.5" customHeight="1" thickTop="1">
      <c r="W44" s="78"/>
      <c r="X44" s="73" t="s">
        <v>265</v>
      </c>
      <c r="Y44" s="78"/>
      <c r="Z44" s="73" t="s">
        <v>266</v>
      </c>
      <c r="AA44" s="111"/>
      <c r="AB44" s="70"/>
      <c r="AC44" s="73" t="s">
        <v>100</v>
      </c>
      <c r="AD44" s="70"/>
      <c r="AE44" s="73" t="s">
        <v>67</v>
      </c>
      <c r="AF44" s="189"/>
      <c r="AR44" s="78"/>
      <c r="AS44" s="73" t="s">
        <v>265</v>
      </c>
      <c r="AT44" s="78"/>
      <c r="AU44" s="73" t="s">
        <v>266</v>
      </c>
      <c r="AV44" s="111"/>
      <c r="AW44" s="70"/>
      <c r="AX44" s="73" t="s">
        <v>100</v>
      </c>
      <c r="AY44" s="70"/>
      <c r="AZ44" s="73" t="s">
        <v>67</v>
      </c>
      <c r="BM44" s="78"/>
      <c r="BN44" s="73" t="s">
        <v>265</v>
      </c>
      <c r="BO44" s="78"/>
      <c r="BP44" s="73" t="s">
        <v>266</v>
      </c>
      <c r="BQ44" s="111"/>
      <c r="BR44" s="70"/>
      <c r="BS44" s="73" t="s">
        <v>100</v>
      </c>
      <c r="BT44" s="70"/>
      <c r="BU44" s="73" t="s">
        <v>67</v>
      </c>
      <c r="CH44" s="78"/>
      <c r="CI44" s="73" t="s">
        <v>265</v>
      </c>
      <c r="CJ44" s="78"/>
      <c r="CK44" s="73" t="s">
        <v>266</v>
      </c>
      <c r="CL44" s="111"/>
      <c r="CM44" s="70"/>
      <c r="CN44" s="73" t="s">
        <v>100</v>
      </c>
      <c r="CO44" s="70"/>
      <c r="CP44" s="73" t="s">
        <v>67</v>
      </c>
    </row>
    <row r="45" spans="1:15825" s="75" customFormat="1" ht="30" customHeight="1">
      <c r="A45" s="77"/>
      <c r="B45" s="79"/>
      <c r="C45" s="79"/>
      <c r="E45" s="74"/>
      <c r="G45" s="78"/>
      <c r="H45" s="78"/>
      <c r="I45" s="78"/>
      <c r="J45" s="78"/>
      <c r="K45" s="79"/>
      <c r="N45" s="74"/>
      <c r="O45" s="74"/>
      <c r="P45" s="74"/>
      <c r="Q45" s="74"/>
      <c r="R45" s="74"/>
      <c r="S45" s="74"/>
      <c r="T45" s="74"/>
      <c r="U45" s="74"/>
      <c r="V45" s="74"/>
      <c r="AB45" s="74"/>
      <c r="AC45" s="74"/>
      <c r="AD45" s="74"/>
      <c r="AE45" s="74"/>
      <c r="AF45" s="74"/>
    </row>
    <row r="46" spans="1:15825" s="75" customFormat="1" ht="30" hidden="1" customHeight="1">
      <c r="A46" s="77"/>
      <c r="B46" s="112"/>
      <c r="C46" s="79"/>
      <c r="E46" s="76"/>
      <c r="K46" s="79"/>
      <c r="N46" s="76"/>
      <c r="O46" s="76"/>
      <c r="P46" s="76"/>
      <c r="Q46" s="76"/>
      <c r="R46" s="76"/>
      <c r="S46" s="76"/>
      <c r="T46" s="76"/>
      <c r="U46" s="76"/>
      <c r="V46" s="76"/>
      <c r="Y46" s="77"/>
      <c r="Z46" s="77"/>
      <c r="AB46" s="76"/>
      <c r="AC46" s="76"/>
      <c r="AD46" s="76"/>
      <c r="AE46" s="76"/>
      <c r="AF46" s="76"/>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c r="HN46" s="78"/>
      <c r="HO46" s="78"/>
      <c r="HP46" s="78"/>
      <c r="HQ46" s="78"/>
      <c r="HR46" s="78"/>
      <c r="HS46" s="78"/>
      <c r="HT46" s="78"/>
      <c r="HU46" s="78"/>
      <c r="HV46" s="78"/>
      <c r="HW46" s="78"/>
      <c r="HX46" s="78"/>
      <c r="HY46" s="78"/>
      <c r="HZ46" s="78"/>
      <c r="IA46" s="78"/>
      <c r="IB46" s="78"/>
      <c r="IC46" s="78"/>
      <c r="ID46" s="78"/>
      <c r="IE46" s="78"/>
      <c r="IF46" s="78"/>
      <c r="IG46" s="78"/>
      <c r="IH46" s="78"/>
      <c r="II46" s="78"/>
      <c r="IJ46" s="78"/>
      <c r="IK46" s="78"/>
      <c r="IL46" s="78"/>
      <c r="IM46" s="78"/>
      <c r="IN46" s="78"/>
      <c r="IO46" s="78"/>
      <c r="IP46" s="78"/>
      <c r="IQ46" s="78"/>
      <c r="IR46" s="78"/>
      <c r="IS46" s="78"/>
      <c r="IT46" s="78"/>
      <c r="IU46" s="78"/>
      <c r="IV46" s="78"/>
      <c r="IW46" s="78"/>
      <c r="IX46" s="78"/>
      <c r="IY46" s="78"/>
      <c r="IZ46" s="78"/>
      <c r="JA46" s="78"/>
      <c r="JB46" s="78"/>
      <c r="JC46" s="78"/>
      <c r="JD46" s="78"/>
      <c r="JE46" s="78"/>
      <c r="JF46" s="78"/>
      <c r="JG46" s="78"/>
      <c r="JH46" s="78"/>
      <c r="JI46" s="78"/>
      <c r="JJ46" s="78"/>
      <c r="JK46" s="78"/>
      <c r="JL46" s="78"/>
      <c r="JM46" s="78"/>
      <c r="JN46" s="78"/>
      <c r="JO46" s="78"/>
      <c r="JP46" s="78"/>
      <c r="JQ46" s="78"/>
      <c r="JR46" s="78"/>
      <c r="JS46" s="78"/>
      <c r="JT46" s="78"/>
      <c r="JU46" s="78"/>
      <c r="JV46" s="78"/>
      <c r="JW46" s="78"/>
      <c r="JX46" s="78"/>
      <c r="JY46" s="78"/>
      <c r="JZ46" s="78"/>
      <c r="KA46" s="78"/>
      <c r="KB46" s="78"/>
      <c r="KC46" s="78"/>
      <c r="KD46" s="78"/>
      <c r="KE46" s="78"/>
      <c r="KF46" s="78"/>
      <c r="KG46" s="78"/>
      <c r="KH46" s="78"/>
      <c r="KI46" s="78"/>
      <c r="KJ46" s="78"/>
      <c r="KK46" s="78"/>
      <c r="KL46" s="78"/>
      <c r="KM46" s="78"/>
      <c r="KN46" s="78"/>
      <c r="KO46" s="78"/>
      <c r="KP46" s="78"/>
      <c r="KQ46" s="78"/>
      <c r="KR46" s="78"/>
      <c r="KS46" s="78"/>
      <c r="KT46" s="78"/>
      <c r="KU46" s="78"/>
      <c r="KV46" s="78"/>
      <c r="KW46" s="78"/>
      <c r="KX46" s="78"/>
      <c r="KY46" s="78"/>
      <c r="KZ46" s="78"/>
      <c r="LA46" s="78"/>
      <c r="LB46" s="78"/>
      <c r="LC46" s="78"/>
      <c r="LD46" s="78"/>
      <c r="LE46" s="78"/>
      <c r="LF46" s="78"/>
      <c r="LG46" s="78"/>
      <c r="LH46" s="78"/>
      <c r="LI46" s="78"/>
      <c r="LJ46" s="78"/>
      <c r="LK46" s="78"/>
      <c r="LL46" s="78"/>
      <c r="LM46" s="78"/>
      <c r="LN46" s="78"/>
      <c r="LO46" s="78"/>
      <c r="LP46" s="78"/>
      <c r="LQ46" s="78"/>
      <c r="LR46" s="78"/>
      <c r="LS46" s="78"/>
      <c r="LT46" s="78"/>
      <c r="LU46" s="78"/>
      <c r="LV46" s="78"/>
      <c r="LW46" s="78"/>
      <c r="LX46" s="78"/>
      <c r="LY46" s="78"/>
      <c r="LZ46" s="78"/>
      <c r="MA46" s="78"/>
      <c r="MB46" s="78"/>
      <c r="MC46" s="78"/>
      <c r="MD46" s="78"/>
      <c r="ME46" s="78"/>
      <c r="MF46" s="78"/>
      <c r="MG46" s="78"/>
      <c r="MH46" s="78"/>
      <c r="MI46" s="78"/>
      <c r="MJ46" s="78"/>
      <c r="MK46" s="78"/>
      <c r="ML46" s="78"/>
      <c r="MM46" s="78"/>
      <c r="MN46" s="78"/>
      <c r="MO46" s="78"/>
      <c r="MP46" s="78"/>
      <c r="MQ46" s="78"/>
      <c r="MR46" s="78"/>
      <c r="MS46" s="78"/>
      <c r="MT46" s="78"/>
      <c r="MU46" s="78"/>
      <c r="MV46" s="78"/>
      <c r="MW46" s="78"/>
      <c r="MX46" s="78"/>
      <c r="MY46" s="78"/>
      <c r="MZ46" s="78"/>
      <c r="NA46" s="78"/>
      <c r="NB46" s="78"/>
      <c r="NC46" s="78"/>
      <c r="ND46" s="78"/>
      <c r="NE46" s="78"/>
      <c r="NF46" s="78"/>
      <c r="NG46" s="78"/>
      <c r="NH46" s="78"/>
      <c r="NI46" s="78"/>
      <c r="NJ46" s="78"/>
      <c r="NK46" s="78"/>
      <c r="NL46" s="78"/>
      <c r="NM46" s="78"/>
      <c r="NN46" s="78"/>
      <c r="NO46" s="78"/>
      <c r="NP46" s="78"/>
      <c r="NQ46" s="78"/>
      <c r="NR46" s="78"/>
      <c r="NS46" s="78"/>
      <c r="NT46" s="78"/>
      <c r="NU46" s="78"/>
      <c r="NV46" s="78"/>
      <c r="NW46" s="78"/>
      <c r="NX46" s="78"/>
      <c r="NY46" s="78"/>
      <c r="NZ46" s="78"/>
      <c r="OA46" s="78"/>
      <c r="OB46" s="78"/>
      <c r="OC46" s="78"/>
      <c r="OD46" s="78"/>
      <c r="OE46" s="78"/>
      <c r="OF46" s="78"/>
      <c r="OG46" s="78"/>
      <c r="OH46" s="78"/>
      <c r="OI46" s="78"/>
      <c r="OJ46" s="78"/>
      <c r="OK46" s="78"/>
      <c r="OL46" s="78"/>
      <c r="OM46" s="78"/>
      <c r="ON46" s="78"/>
      <c r="OO46" s="78"/>
      <c r="OP46" s="78"/>
      <c r="OQ46" s="78"/>
      <c r="OR46" s="78"/>
      <c r="OS46" s="78"/>
      <c r="OT46" s="78"/>
      <c r="OU46" s="78"/>
      <c r="OV46" s="78"/>
      <c r="OW46" s="78"/>
      <c r="OX46" s="78"/>
      <c r="OY46" s="78"/>
      <c r="OZ46" s="78"/>
      <c r="PA46" s="78"/>
      <c r="PB46" s="78"/>
      <c r="PC46" s="78"/>
      <c r="PD46" s="78"/>
      <c r="PE46" s="78"/>
      <c r="PF46" s="78"/>
      <c r="PG46" s="78"/>
      <c r="PH46" s="78"/>
      <c r="PI46" s="78"/>
      <c r="PJ46" s="78"/>
      <c r="PK46" s="78"/>
      <c r="PL46" s="78"/>
      <c r="PM46" s="78"/>
      <c r="PN46" s="78"/>
      <c r="PO46" s="78"/>
      <c r="PP46" s="78"/>
      <c r="PQ46" s="78"/>
      <c r="PR46" s="78"/>
      <c r="PS46" s="78"/>
      <c r="PT46" s="78"/>
      <c r="PU46" s="78"/>
      <c r="PV46" s="78"/>
      <c r="PW46" s="78"/>
      <c r="PX46" s="78"/>
      <c r="PY46" s="78"/>
      <c r="PZ46" s="78"/>
      <c r="QA46" s="78"/>
      <c r="QB46" s="78"/>
      <c r="QC46" s="78"/>
      <c r="QD46" s="78"/>
      <c r="QE46" s="78"/>
      <c r="QF46" s="78"/>
      <c r="QG46" s="78"/>
      <c r="QH46" s="78"/>
      <c r="QI46" s="78"/>
      <c r="QJ46" s="78"/>
      <c r="QK46" s="78"/>
      <c r="QL46" s="78"/>
      <c r="QM46" s="78"/>
      <c r="QN46" s="78"/>
      <c r="QO46" s="78"/>
      <c r="QP46" s="78"/>
      <c r="QQ46" s="78"/>
      <c r="QR46" s="78"/>
      <c r="QS46" s="78"/>
      <c r="QT46" s="78"/>
      <c r="QU46" s="78"/>
      <c r="QV46" s="78"/>
      <c r="QW46" s="78"/>
      <c r="QX46" s="78"/>
      <c r="QY46" s="78"/>
      <c r="QZ46" s="78"/>
      <c r="RA46" s="78"/>
      <c r="RB46" s="78"/>
      <c r="RC46" s="78"/>
      <c r="RD46" s="78"/>
      <c r="RE46" s="78"/>
      <c r="RF46" s="78"/>
      <c r="RG46" s="78"/>
      <c r="RH46" s="78"/>
      <c r="RI46" s="78"/>
      <c r="RJ46" s="78"/>
      <c r="RK46" s="78"/>
      <c r="RL46" s="78"/>
      <c r="RM46" s="78"/>
      <c r="RN46" s="78"/>
      <c r="RO46" s="78"/>
      <c r="RP46" s="78"/>
      <c r="RQ46" s="78"/>
      <c r="RR46" s="78"/>
      <c r="RS46" s="78"/>
      <c r="RT46" s="78"/>
      <c r="RU46" s="78"/>
      <c r="RV46" s="78"/>
      <c r="RW46" s="78"/>
      <c r="RX46" s="78"/>
      <c r="RY46" s="78"/>
      <c r="RZ46" s="78"/>
      <c r="SA46" s="78"/>
      <c r="SB46" s="78"/>
      <c r="SC46" s="78"/>
      <c r="SD46" s="78"/>
      <c r="SE46" s="78"/>
      <c r="SF46" s="78"/>
      <c r="SG46" s="78"/>
      <c r="SH46" s="78"/>
      <c r="SI46" s="78"/>
      <c r="SJ46" s="78"/>
      <c r="SK46" s="78"/>
      <c r="SL46" s="78"/>
      <c r="SM46" s="78"/>
      <c r="SN46" s="78"/>
      <c r="SO46" s="78"/>
      <c r="SP46" s="78"/>
      <c r="SQ46" s="78"/>
      <c r="SR46" s="78"/>
      <c r="SS46" s="78"/>
      <c r="ST46" s="78"/>
      <c r="SU46" s="78"/>
      <c r="SV46" s="78"/>
      <c r="SW46" s="78"/>
      <c r="SX46" s="78"/>
      <c r="SY46" s="78"/>
      <c r="SZ46" s="78"/>
      <c r="TA46" s="78"/>
      <c r="TB46" s="78"/>
      <c r="TC46" s="78"/>
      <c r="TD46" s="78"/>
      <c r="TE46" s="78"/>
      <c r="TF46" s="78"/>
      <c r="TG46" s="78"/>
      <c r="TH46" s="78"/>
      <c r="TI46" s="78"/>
      <c r="TJ46" s="78"/>
      <c r="TK46" s="78"/>
      <c r="TL46" s="78"/>
      <c r="TM46" s="78"/>
      <c r="TN46" s="78"/>
      <c r="TO46" s="78"/>
      <c r="TP46" s="78"/>
      <c r="TQ46" s="78"/>
      <c r="TR46" s="78"/>
      <c r="TS46" s="78"/>
      <c r="TT46" s="78"/>
      <c r="TU46" s="78"/>
      <c r="TV46" s="78"/>
      <c r="TW46" s="78"/>
      <c r="TX46" s="78"/>
      <c r="TY46" s="78"/>
      <c r="TZ46" s="78"/>
      <c r="UA46" s="78"/>
      <c r="UB46" s="78"/>
      <c r="UC46" s="78"/>
      <c r="UD46" s="78"/>
      <c r="UE46" s="78"/>
      <c r="UF46" s="78"/>
      <c r="UG46" s="78"/>
      <c r="UH46" s="78"/>
      <c r="UI46" s="78"/>
      <c r="UJ46" s="78"/>
      <c r="UK46" s="78"/>
      <c r="UL46" s="78"/>
      <c r="UM46" s="78"/>
      <c r="UN46" s="78"/>
      <c r="UO46" s="78"/>
      <c r="UP46" s="78"/>
      <c r="UQ46" s="78"/>
      <c r="UR46" s="78"/>
      <c r="US46" s="78"/>
      <c r="UT46" s="78"/>
      <c r="UU46" s="78"/>
      <c r="UV46" s="78"/>
      <c r="UW46" s="78"/>
      <c r="UX46" s="78"/>
      <c r="UY46" s="78"/>
      <c r="UZ46" s="78"/>
      <c r="VA46" s="78"/>
      <c r="VB46" s="78"/>
      <c r="VC46" s="78"/>
      <c r="VD46" s="78"/>
      <c r="VE46" s="78"/>
      <c r="VF46" s="78"/>
      <c r="VG46" s="78"/>
      <c r="VH46" s="78"/>
      <c r="VI46" s="78"/>
      <c r="VJ46" s="78"/>
      <c r="VK46" s="78"/>
      <c r="VL46" s="78"/>
      <c r="VM46" s="78"/>
      <c r="VN46" s="78"/>
      <c r="VO46" s="78"/>
      <c r="VP46" s="78"/>
      <c r="VQ46" s="78"/>
      <c r="VR46" s="78"/>
      <c r="VS46" s="78"/>
      <c r="VT46" s="78"/>
      <c r="VU46" s="78"/>
      <c r="VV46" s="78"/>
      <c r="VW46" s="78"/>
      <c r="VX46" s="78"/>
      <c r="VY46" s="78"/>
      <c r="VZ46" s="78"/>
      <c r="WA46" s="78"/>
      <c r="WB46" s="78"/>
      <c r="WC46" s="78"/>
      <c r="WD46" s="78"/>
      <c r="WE46" s="78"/>
      <c r="WF46" s="78"/>
      <c r="WG46" s="78"/>
      <c r="WH46" s="78"/>
      <c r="WI46" s="78"/>
      <c r="WJ46" s="78"/>
      <c r="WK46" s="78"/>
      <c r="WL46" s="78"/>
      <c r="WM46" s="78"/>
      <c r="WN46" s="78"/>
      <c r="WO46" s="78"/>
      <c r="WP46" s="78"/>
      <c r="WQ46" s="78"/>
      <c r="WR46" s="78"/>
      <c r="WS46" s="78"/>
      <c r="WT46" s="78"/>
      <c r="WU46" s="78"/>
      <c r="WV46" s="78"/>
      <c r="WW46" s="78"/>
      <c r="WX46" s="78"/>
      <c r="WY46" s="78"/>
      <c r="WZ46" s="78"/>
      <c r="XA46" s="78"/>
      <c r="XB46" s="78"/>
      <c r="XC46" s="78"/>
      <c r="XD46" s="78"/>
      <c r="XE46" s="78"/>
      <c r="XF46" s="78"/>
      <c r="XG46" s="78"/>
      <c r="XH46" s="78"/>
      <c r="XI46" s="78"/>
      <c r="XJ46" s="78"/>
      <c r="XK46" s="78"/>
      <c r="XL46" s="78"/>
      <c r="XM46" s="78"/>
      <c r="XN46" s="78"/>
      <c r="XO46" s="78"/>
      <c r="XP46" s="78"/>
      <c r="XQ46" s="78"/>
      <c r="XR46" s="78"/>
      <c r="XS46" s="78"/>
      <c r="XT46" s="78"/>
      <c r="XU46" s="78"/>
      <c r="XV46" s="78"/>
      <c r="XW46" s="78"/>
      <c r="XX46" s="78"/>
      <c r="XY46" s="78"/>
      <c r="XZ46" s="78"/>
      <c r="YA46" s="78"/>
      <c r="YB46" s="78"/>
      <c r="YC46" s="78"/>
      <c r="YD46" s="78"/>
      <c r="YE46" s="78"/>
      <c r="YF46" s="78"/>
      <c r="YG46" s="78"/>
      <c r="YH46" s="78"/>
      <c r="YI46" s="78"/>
      <c r="YJ46" s="78"/>
      <c r="YK46" s="78"/>
      <c r="YL46" s="78"/>
      <c r="YM46" s="78"/>
      <c r="YN46" s="78"/>
      <c r="YO46" s="78"/>
      <c r="YP46" s="78"/>
      <c r="YQ46" s="78"/>
      <c r="YR46" s="78"/>
      <c r="YS46" s="78"/>
      <c r="YT46" s="78"/>
      <c r="YU46" s="78"/>
      <c r="YV46" s="78"/>
      <c r="YW46" s="78"/>
      <c r="YX46" s="78"/>
      <c r="YY46" s="78"/>
      <c r="YZ46" s="78"/>
      <c r="ZA46" s="78"/>
      <c r="ZB46" s="78"/>
      <c r="ZC46" s="78"/>
      <c r="ZD46" s="78"/>
      <c r="ZE46" s="78"/>
      <c r="ZF46" s="78"/>
      <c r="ZG46" s="78"/>
      <c r="ZH46" s="78"/>
      <c r="ZI46" s="78"/>
      <c r="ZJ46" s="78"/>
      <c r="ZK46" s="78"/>
      <c r="ZL46" s="78"/>
      <c r="ZM46" s="78"/>
      <c r="ZN46" s="78"/>
      <c r="ZO46" s="78"/>
      <c r="ZP46" s="78"/>
      <c r="ZQ46" s="78"/>
      <c r="ZR46" s="78"/>
      <c r="ZS46" s="78"/>
      <c r="ZT46" s="78"/>
      <c r="ZU46" s="78"/>
      <c r="ZV46" s="78"/>
      <c r="ZW46" s="78"/>
      <c r="ZX46" s="78"/>
      <c r="ZY46" s="78"/>
      <c r="ZZ46" s="78"/>
      <c r="AAA46" s="78"/>
      <c r="AAB46" s="78"/>
      <c r="AAC46" s="78"/>
      <c r="AAD46" s="78"/>
      <c r="AAE46" s="78"/>
      <c r="AAF46" s="78"/>
      <c r="AAG46" s="78"/>
      <c r="AAH46" s="78"/>
      <c r="AAI46" s="78"/>
      <c r="AAJ46" s="78"/>
      <c r="AAK46" s="78"/>
      <c r="AAL46" s="78"/>
      <c r="AAM46" s="78"/>
      <c r="AAN46" s="78"/>
      <c r="AAO46" s="78"/>
      <c r="AAP46" s="78"/>
      <c r="AAQ46" s="78"/>
      <c r="AAR46" s="78"/>
      <c r="AAS46" s="78"/>
      <c r="AAT46" s="78"/>
      <c r="AAU46" s="78"/>
      <c r="AAV46" s="78"/>
      <c r="AAW46" s="78"/>
      <c r="AAX46" s="78"/>
      <c r="AAY46" s="78"/>
      <c r="AAZ46" s="78"/>
      <c r="ABA46" s="78"/>
      <c r="ABB46" s="78"/>
      <c r="ABC46" s="78"/>
      <c r="ABD46" s="78"/>
      <c r="ABE46" s="78"/>
      <c r="ABF46" s="78"/>
      <c r="ABG46" s="78"/>
      <c r="ABH46" s="78"/>
      <c r="ABI46" s="78"/>
      <c r="ABJ46" s="78"/>
      <c r="ABK46" s="78"/>
      <c r="ABL46" s="78"/>
      <c r="ABM46" s="78"/>
      <c r="ABN46" s="78"/>
      <c r="ABO46" s="78"/>
      <c r="ABP46" s="78"/>
      <c r="ABQ46" s="78"/>
      <c r="ABR46" s="78"/>
      <c r="ABS46" s="78"/>
      <c r="ABT46" s="78"/>
      <c r="ABU46" s="78"/>
      <c r="ABV46" s="78"/>
      <c r="ABW46" s="78"/>
      <c r="ABX46" s="78"/>
      <c r="ABY46" s="78"/>
      <c r="ABZ46" s="78"/>
      <c r="ACA46" s="78"/>
      <c r="ACB46" s="78"/>
      <c r="ACC46" s="78"/>
      <c r="ACD46" s="78"/>
      <c r="ACE46" s="78"/>
      <c r="ACF46" s="78"/>
      <c r="ACG46" s="78"/>
      <c r="ACH46" s="78"/>
      <c r="ACI46" s="78"/>
      <c r="ACJ46" s="78"/>
      <c r="ACK46" s="78"/>
      <c r="ACL46" s="78"/>
      <c r="ACM46" s="78"/>
      <c r="ACN46" s="78"/>
      <c r="ACO46" s="78"/>
      <c r="ACP46" s="78"/>
      <c r="ACQ46" s="78"/>
      <c r="ACR46" s="78"/>
      <c r="ACS46" s="78"/>
      <c r="ACT46" s="78"/>
      <c r="ACU46" s="78"/>
      <c r="ACV46" s="78"/>
      <c r="ACW46" s="78"/>
      <c r="ACX46" s="78"/>
      <c r="ACY46" s="78"/>
      <c r="ACZ46" s="78"/>
      <c r="ADA46" s="78"/>
      <c r="ADB46" s="78"/>
      <c r="ADC46" s="78"/>
      <c r="ADD46" s="78"/>
      <c r="ADE46" s="78"/>
      <c r="ADF46" s="78"/>
      <c r="ADG46" s="78"/>
      <c r="ADH46" s="78"/>
      <c r="ADI46" s="78"/>
      <c r="ADJ46" s="78"/>
      <c r="ADK46" s="78"/>
      <c r="ADL46" s="78"/>
      <c r="ADM46" s="78"/>
      <c r="ADN46" s="78"/>
      <c r="ADO46" s="78"/>
      <c r="ADP46" s="78"/>
      <c r="ADQ46" s="78"/>
      <c r="ADR46" s="78"/>
      <c r="ADS46" s="78"/>
      <c r="ADT46" s="78"/>
      <c r="ADU46" s="78"/>
      <c r="ADV46" s="78"/>
      <c r="ADW46" s="78"/>
      <c r="ADX46" s="78"/>
      <c r="ADY46" s="78"/>
      <c r="ADZ46" s="78"/>
      <c r="AEA46" s="78"/>
      <c r="AEB46" s="78"/>
      <c r="AEC46" s="78"/>
      <c r="AED46" s="78"/>
      <c r="AEE46" s="78"/>
      <c r="AEF46" s="78"/>
      <c r="AEG46" s="78"/>
      <c r="AEH46" s="78"/>
      <c r="AEI46" s="78"/>
      <c r="AEJ46" s="78"/>
      <c r="AEK46" s="78"/>
      <c r="AEL46" s="78"/>
      <c r="AEM46" s="78"/>
      <c r="AEN46" s="78"/>
      <c r="AEO46" s="78"/>
      <c r="AEP46" s="78"/>
      <c r="AEQ46" s="78"/>
      <c r="AER46" s="78"/>
      <c r="AES46" s="78"/>
      <c r="AET46" s="78"/>
      <c r="AEU46" s="78"/>
      <c r="AEV46" s="78"/>
      <c r="AEW46" s="78"/>
      <c r="AEX46" s="78"/>
      <c r="AEY46" s="78"/>
      <c r="AEZ46" s="78"/>
      <c r="AFA46" s="78"/>
      <c r="AFB46" s="78"/>
      <c r="AFC46" s="78"/>
      <c r="AFD46" s="78"/>
      <c r="AFE46" s="78"/>
      <c r="AFF46" s="78"/>
      <c r="AFG46" s="78"/>
      <c r="AFH46" s="78"/>
      <c r="AFI46" s="78"/>
      <c r="AFJ46" s="78"/>
      <c r="AFK46" s="78"/>
      <c r="AFL46" s="78"/>
      <c r="AFM46" s="78"/>
      <c r="AFN46" s="78"/>
      <c r="AFO46" s="78"/>
      <c r="AFP46" s="78"/>
      <c r="AFQ46" s="78"/>
      <c r="AFR46" s="78"/>
      <c r="AFS46" s="78"/>
      <c r="AFT46" s="78"/>
      <c r="AFU46" s="78"/>
      <c r="AFV46" s="78"/>
      <c r="AFW46" s="78"/>
      <c r="AFX46" s="78"/>
      <c r="AFY46" s="78"/>
      <c r="AFZ46" s="78"/>
      <c r="AGA46" s="78"/>
      <c r="AGB46" s="78"/>
      <c r="AGC46" s="78"/>
      <c r="AGD46" s="78"/>
      <c r="AGE46" s="78"/>
      <c r="AGF46" s="78"/>
      <c r="AGG46" s="78"/>
      <c r="AGH46" s="78"/>
      <c r="AGI46" s="78"/>
      <c r="AGJ46" s="78"/>
      <c r="AGK46" s="78"/>
      <c r="AGL46" s="78"/>
      <c r="AGM46" s="78"/>
      <c r="AGN46" s="78"/>
      <c r="AGO46" s="78"/>
      <c r="AGP46" s="78"/>
      <c r="AGQ46" s="78"/>
      <c r="AGR46" s="78"/>
      <c r="AGS46" s="78"/>
      <c r="AGT46" s="78"/>
      <c r="AGU46" s="78"/>
      <c r="AGV46" s="78"/>
      <c r="AGW46" s="78"/>
      <c r="AGX46" s="78"/>
      <c r="AGY46" s="78"/>
      <c r="AGZ46" s="78"/>
      <c r="AHA46" s="78"/>
      <c r="AHB46" s="78"/>
      <c r="AHC46" s="78"/>
      <c r="AHD46" s="78"/>
      <c r="AHE46" s="78"/>
      <c r="AHF46" s="78"/>
      <c r="AHG46" s="78"/>
      <c r="AHH46" s="78"/>
      <c r="AHI46" s="78"/>
      <c r="AHJ46" s="78"/>
      <c r="AHK46" s="78"/>
      <c r="AHL46" s="78"/>
      <c r="AHM46" s="78"/>
      <c r="AHN46" s="78"/>
      <c r="AHO46" s="78"/>
      <c r="AHP46" s="78"/>
      <c r="AHQ46" s="78"/>
      <c r="AHR46" s="78"/>
      <c r="AHS46" s="78"/>
      <c r="AHT46" s="78"/>
      <c r="AHU46" s="78"/>
      <c r="AHV46" s="78"/>
      <c r="AHW46" s="78"/>
      <c r="AHX46" s="78"/>
      <c r="AHY46" s="78"/>
      <c r="AHZ46" s="78"/>
      <c r="AIA46" s="78"/>
      <c r="AIB46" s="78"/>
      <c r="AIC46" s="78"/>
      <c r="AID46" s="78"/>
      <c r="AIE46" s="78"/>
      <c r="AIF46" s="78"/>
      <c r="AIG46" s="78"/>
      <c r="AIH46" s="78"/>
      <c r="AII46" s="78"/>
      <c r="AIJ46" s="78"/>
      <c r="AIK46" s="78"/>
      <c r="AIL46" s="78"/>
      <c r="AIM46" s="78"/>
      <c r="AIN46" s="78"/>
      <c r="AIO46" s="78"/>
      <c r="AIP46" s="78"/>
      <c r="AIQ46" s="78"/>
      <c r="AIR46" s="78"/>
      <c r="AIS46" s="78"/>
      <c r="AIT46" s="78"/>
      <c r="AIU46" s="78"/>
      <c r="AIV46" s="78"/>
      <c r="AIW46" s="78"/>
      <c r="AIX46" s="78"/>
      <c r="AIY46" s="78"/>
      <c r="AIZ46" s="78"/>
      <c r="AJA46" s="78"/>
      <c r="AJB46" s="78"/>
      <c r="AJC46" s="78"/>
      <c r="AJD46" s="78"/>
      <c r="AJE46" s="78"/>
      <c r="AJF46" s="78"/>
      <c r="AJG46" s="78"/>
      <c r="AJH46" s="78"/>
      <c r="AJI46" s="78"/>
      <c r="AJJ46" s="78"/>
      <c r="AJK46" s="78"/>
      <c r="AJL46" s="78"/>
      <c r="AJM46" s="78"/>
      <c r="AJN46" s="78"/>
      <c r="AJO46" s="78"/>
      <c r="AJP46" s="78"/>
      <c r="AJQ46" s="78"/>
      <c r="AJR46" s="78"/>
      <c r="AJS46" s="78"/>
      <c r="AJT46" s="78"/>
      <c r="AJU46" s="78"/>
      <c r="AJV46" s="78"/>
      <c r="AJW46" s="78"/>
      <c r="AJX46" s="78"/>
      <c r="AJY46" s="78"/>
      <c r="AJZ46" s="78"/>
      <c r="AKA46" s="78"/>
      <c r="AKB46" s="78"/>
      <c r="AKC46" s="78"/>
      <c r="AKD46" s="78"/>
      <c r="AKE46" s="78"/>
      <c r="AKF46" s="78"/>
      <c r="AKG46" s="78"/>
      <c r="AKH46" s="78"/>
      <c r="AKI46" s="78"/>
      <c r="AKJ46" s="78"/>
      <c r="AKK46" s="78"/>
      <c r="AKL46" s="78"/>
      <c r="AKM46" s="78"/>
      <c r="AKN46" s="78"/>
      <c r="AKO46" s="78"/>
      <c r="AKP46" s="78"/>
      <c r="AKQ46" s="78"/>
      <c r="AKR46" s="78"/>
      <c r="AKS46" s="78"/>
      <c r="AKT46" s="78"/>
      <c r="AKU46" s="78"/>
      <c r="AKV46" s="78"/>
      <c r="AKW46" s="78"/>
      <c r="AKX46" s="78"/>
      <c r="AKY46" s="78"/>
      <c r="AKZ46" s="78"/>
      <c r="ALA46" s="78"/>
      <c r="ALB46" s="78"/>
      <c r="ALC46" s="78"/>
      <c r="ALD46" s="78"/>
      <c r="ALE46" s="78"/>
      <c r="ALF46" s="78"/>
      <c r="ALG46" s="78"/>
      <c r="ALH46" s="78"/>
      <c r="ALI46" s="78"/>
      <c r="ALJ46" s="78"/>
      <c r="ALK46" s="78"/>
      <c r="ALL46" s="78"/>
      <c r="ALM46" s="78"/>
      <c r="ALN46" s="78"/>
      <c r="ALO46" s="78"/>
      <c r="ALP46" s="78"/>
      <c r="ALQ46" s="78"/>
      <c r="ALR46" s="78"/>
      <c r="ALS46" s="78"/>
      <c r="ALT46" s="78"/>
      <c r="ALU46" s="78"/>
      <c r="ALV46" s="78"/>
      <c r="ALW46" s="78"/>
      <c r="ALX46" s="78"/>
      <c r="ALY46" s="78"/>
      <c r="ALZ46" s="78"/>
      <c r="AMA46" s="78"/>
      <c r="AMB46" s="78"/>
      <c r="AMC46" s="78"/>
      <c r="AMD46" s="78"/>
      <c r="AME46" s="78"/>
      <c r="AMF46" s="78"/>
      <c r="AMG46" s="78"/>
      <c r="AMH46" s="78"/>
      <c r="AMI46" s="78"/>
      <c r="AMJ46" s="78"/>
      <c r="AMK46" s="78"/>
      <c r="AML46" s="78"/>
      <c r="AMM46" s="78"/>
      <c r="AMN46" s="78"/>
      <c r="AMO46" s="78"/>
      <c r="AMP46" s="78"/>
      <c r="AMQ46" s="78"/>
      <c r="AMR46" s="78"/>
      <c r="AMS46" s="78"/>
      <c r="AMT46" s="78"/>
      <c r="AMU46" s="78"/>
      <c r="AMV46" s="78"/>
      <c r="AMW46" s="78"/>
      <c r="AMX46" s="78"/>
      <c r="AMY46" s="78"/>
      <c r="AMZ46" s="78"/>
      <c r="ANA46" s="78"/>
      <c r="ANB46" s="78"/>
      <c r="ANC46" s="78"/>
      <c r="AND46" s="78"/>
      <c r="ANE46" s="78"/>
      <c r="ANF46" s="78"/>
      <c r="ANG46" s="78"/>
      <c r="ANH46" s="78"/>
      <c r="ANI46" s="78"/>
      <c r="ANJ46" s="78"/>
      <c r="ANK46" s="78"/>
      <c r="ANL46" s="78"/>
      <c r="ANM46" s="78"/>
      <c r="ANN46" s="78"/>
      <c r="ANO46" s="78"/>
      <c r="ANP46" s="78"/>
      <c r="ANQ46" s="78"/>
      <c r="ANR46" s="78"/>
      <c r="ANS46" s="78"/>
      <c r="ANT46" s="78"/>
      <c r="ANU46" s="78"/>
      <c r="ANV46" s="78"/>
      <c r="ANW46" s="78"/>
      <c r="ANX46" s="78"/>
      <c r="ANY46" s="78"/>
      <c r="ANZ46" s="78"/>
      <c r="AOA46" s="78"/>
      <c r="AOB46" s="78"/>
      <c r="AOC46" s="78"/>
      <c r="AOD46" s="78"/>
      <c r="AOE46" s="78"/>
      <c r="AOF46" s="78"/>
      <c r="AOG46" s="78"/>
      <c r="AOH46" s="78"/>
      <c r="AOI46" s="78"/>
      <c r="AOJ46" s="78"/>
      <c r="AOK46" s="78"/>
      <c r="AOL46" s="78"/>
      <c r="AOM46" s="78"/>
      <c r="AON46" s="78"/>
      <c r="AOO46" s="78"/>
      <c r="AOP46" s="78"/>
      <c r="AOQ46" s="78"/>
      <c r="AOR46" s="78"/>
      <c r="AOS46" s="78"/>
      <c r="AOT46" s="78"/>
      <c r="AOU46" s="78"/>
      <c r="AOV46" s="78"/>
      <c r="AOW46" s="78"/>
      <c r="AOX46" s="78"/>
      <c r="AOY46" s="78"/>
      <c r="AOZ46" s="78"/>
      <c r="APA46" s="78"/>
      <c r="APB46" s="78"/>
      <c r="APC46" s="78"/>
      <c r="APD46" s="78"/>
      <c r="APE46" s="78"/>
      <c r="APF46" s="78"/>
      <c r="APG46" s="78"/>
      <c r="APH46" s="78"/>
      <c r="API46" s="78"/>
      <c r="APJ46" s="78"/>
      <c r="APK46" s="78"/>
      <c r="APL46" s="78"/>
      <c r="APM46" s="78"/>
      <c r="APN46" s="78"/>
      <c r="APO46" s="78"/>
      <c r="APP46" s="78"/>
      <c r="APQ46" s="78"/>
      <c r="APR46" s="78"/>
      <c r="APS46" s="78"/>
      <c r="APT46" s="78"/>
      <c r="APU46" s="78"/>
      <c r="APV46" s="78"/>
      <c r="APW46" s="78"/>
      <c r="APX46" s="78"/>
      <c r="APY46" s="78"/>
      <c r="APZ46" s="78"/>
      <c r="AQA46" s="78"/>
      <c r="AQB46" s="78"/>
      <c r="AQC46" s="78"/>
      <c r="AQD46" s="78"/>
      <c r="AQE46" s="78"/>
      <c r="AQF46" s="78"/>
      <c r="AQG46" s="78"/>
      <c r="AQH46" s="78"/>
      <c r="AQI46" s="78"/>
      <c r="AQJ46" s="78"/>
      <c r="AQK46" s="78"/>
      <c r="AQL46" s="78"/>
      <c r="AQM46" s="78"/>
      <c r="AQN46" s="78"/>
      <c r="AQO46" s="78"/>
      <c r="AQP46" s="78"/>
      <c r="AQQ46" s="78"/>
      <c r="AQR46" s="78"/>
      <c r="AQS46" s="78"/>
      <c r="AQT46" s="78"/>
      <c r="AQU46" s="78"/>
      <c r="AQV46" s="78"/>
      <c r="AQW46" s="78"/>
      <c r="AQX46" s="78"/>
      <c r="AQY46" s="78"/>
      <c r="AQZ46" s="78"/>
      <c r="ARA46" s="78"/>
      <c r="ARB46" s="78"/>
      <c r="ARC46" s="78"/>
      <c r="ARD46" s="78"/>
      <c r="ARE46" s="78"/>
      <c r="ARF46" s="78"/>
      <c r="ARG46" s="78"/>
      <c r="ARH46" s="78"/>
      <c r="ARI46" s="78"/>
      <c r="ARJ46" s="78"/>
      <c r="ARK46" s="78"/>
      <c r="ARL46" s="78"/>
      <c r="ARM46" s="78"/>
      <c r="ARN46" s="78"/>
      <c r="ARO46" s="78"/>
      <c r="ARP46" s="78"/>
      <c r="ARQ46" s="78"/>
      <c r="ARR46" s="78"/>
      <c r="ARS46" s="78"/>
      <c r="ART46" s="78"/>
      <c r="ARU46" s="78"/>
      <c r="ARV46" s="78"/>
      <c r="ARW46" s="78"/>
      <c r="ARX46" s="78"/>
      <c r="ARY46" s="78"/>
      <c r="ARZ46" s="78"/>
      <c r="ASA46" s="78"/>
      <c r="ASB46" s="78"/>
      <c r="ASC46" s="78"/>
      <c r="ASD46" s="78"/>
      <c r="ASE46" s="78"/>
      <c r="ASF46" s="78"/>
      <c r="ASG46" s="78"/>
      <c r="ASH46" s="78"/>
      <c r="ASI46" s="78"/>
      <c r="ASJ46" s="78"/>
      <c r="ASK46" s="78"/>
      <c r="ASL46" s="78"/>
      <c r="ASM46" s="78"/>
      <c r="ASN46" s="78"/>
      <c r="ASO46" s="78"/>
      <c r="ASP46" s="78"/>
      <c r="ASQ46" s="78"/>
      <c r="ASR46" s="78"/>
      <c r="ASS46" s="78"/>
      <c r="AST46" s="78"/>
      <c r="ASU46" s="78"/>
      <c r="ASV46" s="78"/>
      <c r="ASW46" s="78"/>
      <c r="ASX46" s="78"/>
      <c r="ASY46" s="78"/>
      <c r="ASZ46" s="78"/>
      <c r="ATA46" s="78"/>
      <c r="ATB46" s="78"/>
      <c r="ATC46" s="78"/>
      <c r="ATD46" s="78"/>
      <c r="ATE46" s="78"/>
      <c r="ATF46" s="78"/>
      <c r="ATG46" s="78"/>
      <c r="ATH46" s="78"/>
      <c r="ATI46" s="78"/>
      <c r="ATJ46" s="78"/>
      <c r="ATK46" s="78"/>
      <c r="ATL46" s="78"/>
      <c r="ATM46" s="78"/>
      <c r="ATN46" s="78"/>
      <c r="ATO46" s="78"/>
      <c r="ATP46" s="78"/>
      <c r="ATQ46" s="78"/>
      <c r="ATR46" s="78"/>
      <c r="ATS46" s="78"/>
      <c r="ATT46" s="78"/>
      <c r="ATU46" s="78"/>
      <c r="ATV46" s="78"/>
      <c r="ATW46" s="78"/>
      <c r="ATX46" s="78"/>
      <c r="ATY46" s="78"/>
      <c r="ATZ46" s="78"/>
      <c r="AUA46" s="78"/>
      <c r="AUB46" s="78"/>
      <c r="AUC46" s="78"/>
      <c r="AUD46" s="78"/>
      <c r="AUE46" s="78"/>
      <c r="AUF46" s="78"/>
      <c r="AUG46" s="78"/>
      <c r="AUH46" s="78"/>
      <c r="AUI46" s="78"/>
      <c r="AUJ46" s="78"/>
      <c r="AUK46" s="78"/>
      <c r="AUL46" s="78"/>
      <c r="AUM46" s="78"/>
      <c r="AUN46" s="78"/>
      <c r="AUO46" s="78"/>
      <c r="AUP46" s="78"/>
      <c r="AUQ46" s="78"/>
      <c r="AUR46" s="78"/>
      <c r="AUS46" s="78"/>
      <c r="AUT46" s="78"/>
      <c r="AUU46" s="78"/>
      <c r="AUV46" s="78"/>
      <c r="AUW46" s="78"/>
      <c r="AUX46" s="78"/>
      <c r="AUY46" s="78"/>
      <c r="AUZ46" s="78"/>
      <c r="AVA46" s="78"/>
      <c r="AVB46" s="78"/>
      <c r="AVC46" s="78"/>
      <c r="AVD46" s="78"/>
      <c r="AVE46" s="78"/>
      <c r="AVF46" s="78"/>
      <c r="AVG46" s="78"/>
      <c r="AVH46" s="78"/>
      <c r="AVI46" s="78"/>
      <c r="AVJ46" s="78"/>
      <c r="AVK46" s="78"/>
      <c r="AVL46" s="78"/>
      <c r="AVM46" s="78"/>
      <c r="AVN46" s="78"/>
      <c r="AVO46" s="78"/>
      <c r="AVP46" s="78"/>
      <c r="AVQ46" s="78"/>
      <c r="AVR46" s="78"/>
      <c r="AVS46" s="78"/>
      <c r="AVT46" s="78"/>
      <c r="AVU46" s="78"/>
      <c r="AVV46" s="78"/>
      <c r="AVW46" s="78"/>
      <c r="AVX46" s="78"/>
      <c r="AVY46" s="78"/>
      <c r="AVZ46" s="78"/>
      <c r="AWA46" s="78"/>
      <c r="AWB46" s="78"/>
      <c r="AWC46" s="78"/>
      <c r="AWD46" s="78"/>
      <c r="AWE46" s="78"/>
      <c r="AWF46" s="78"/>
      <c r="AWG46" s="78"/>
      <c r="AWH46" s="78"/>
      <c r="AWI46" s="78"/>
      <c r="AWJ46" s="78"/>
      <c r="AWK46" s="78"/>
      <c r="AWL46" s="78"/>
      <c r="AWM46" s="78"/>
      <c r="AWN46" s="78"/>
      <c r="AWO46" s="78"/>
      <c r="AWP46" s="78"/>
      <c r="AWQ46" s="78"/>
      <c r="AWR46" s="78"/>
      <c r="AWS46" s="78"/>
      <c r="AWT46" s="78"/>
      <c r="AWU46" s="78"/>
      <c r="AWV46" s="78"/>
      <c r="AWW46" s="78"/>
      <c r="AWX46" s="78"/>
      <c r="AWY46" s="78"/>
      <c r="AWZ46" s="78"/>
      <c r="AXA46" s="78"/>
      <c r="AXB46" s="78"/>
      <c r="AXC46" s="78"/>
      <c r="AXD46" s="78"/>
      <c r="AXE46" s="78"/>
      <c r="AXF46" s="78"/>
      <c r="AXG46" s="78"/>
      <c r="AXH46" s="78"/>
      <c r="AXI46" s="78"/>
      <c r="AXJ46" s="78"/>
      <c r="AXK46" s="78"/>
      <c r="AXL46" s="78"/>
      <c r="AXM46" s="78"/>
      <c r="AXN46" s="78"/>
      <c r="AXO46" s="78"/>
      <c r="AXP46" s="78"/>
      <c r="AXQ46" s="78"/>
      <c r="AXR46" s="78"/>
      <c r="AXS46" s="78"/>
      <c r="AXT46" s="78"/>
      <c r="AXU46" s="78"/>
      <c r="AXV46" s="78"/>
      <c r="AXW46" s="78"/>
      <c r="AXX46" s="78"/>
      <c r="AXY46" s="78"/>
      <c r="AXZ46" s="78"/>
      <c r="AYA46" s="78"/>
      <c r="AYB46" s="78"/>
      <c r="AYC46" s="78"/>
      <c r="AYD46" s="78"/>
      <c r="AYE46" s="78"/>
      <c r="AYF46" s="78"/>
      <c r="AYG46" s="78"/>
      <c r="AYH46" s="78"/>
      <c r="AYI46" s="78"/>
      <c r="AYJ46" s="78"/>
      <c r="AYK46" s="78"/>
      <c r="AYL46" s="78"/>
      <c r="AYM46" s="78"/>
      <c r="AYN46" s="78"/>
      <c r="AYO46" s="78"/>
      <c r="AYP46" s="78"/>
      <c r="AYQ46" s="78"/>
      <c r="AYR46" s="78"/>
      <c r="AYS46" s="78"/>
      <c r="AYT46" s="78"/>
      <c r="AYU46" s="78"/>
      <c r="AYV46" s="78"/>
      <c r="AYW46" s="78"/>
      <c r="AYX46" s="78"/>
      <c r="AYY46" s="78"/>
      <c r="AYZ46" s="78"/>
      <c r="AZA46" s="78"/>
      <c r="AZB46" s="78"/>
      <c r="AZC46" s="78"/>
      <c r="AZD46" s="78"/>
      <c r="AZE46" s="78"/>
      <c r="AZF46" s="78"/>
      <c r="AZG46" s="78"/>
      <c r="AZH46" s="78"/>
      <c r="AZI46" s="78"/>
      <c r="AZJ46" s="78"/>
      <c r="AZK46" s="78"/>
      <c r="AZL46" s="78"/>
      <c r="AZM46" s="78"/>
      <c r="AZN46" s="78"/>
      <c r="AZO46" s="78"/>
      <c r="AZP46" s="78"/>
      <c r="AZQ46" s="78"/>
      <c r="AZR46" s="78"/>
      <c r="AZS46" s="78"/>
      <c r="AZT46" s="78"/>
      <c r="AZU46" s="78"/>
      <c r="AZV46" s="78"/>
      <c r="AZW46" s="78"/>
      <c r="AZX46" s="78"/>
      <c r="AZY46" s="78"/>
      <c r="AZZ46" s="78"/>
      <c r="BAA46" s="78"/>
      <c r="BAB46" s="78"/>
      <c r="BAC46" s="78"/>
      <c r="BAD46" s="78"/>
      <c r="BAE46" s="78"/>
      <c r="BAF46" s="78"/>
      <c r="BAG46" s="78"/>
      <c r="BAH46" s="78"/>
      <c r="BAI46" s="78"/>
      <c r="BAJ46" s="78"/>
      <c r="BAK46" s="78"/>
      <c r="BAL46" s="78"/>
      <c r="BAM46" s="78"/>
      <c r="BAN46" s="78"/>
      <c r="BAO46" s="78"/>
      <c r="BAP46" s="78"/>
      <c r="BAQ46" s="78"/>
      <c r="BAR46" s="78"/>
      <c r="BAS46" s="78"/>
      <c r="BAT46" s="78"/>
      <c r="BAU46" s="78"/>
      <c r="BAV46" s="78"/>
      <c r="BAW46" s="78"/>
      <c r="BAX46" s="78"/>
      <c r="BAY46" s="78"/>
      <c r="BAZ46" s="78"/>
      <c r="BBA46" s="78"/>
      <c r="BBB46" s="78"/>
      <c r="BBC46" s="78"/>
      <c r="BBD46" s="78"/>
      <c r="BBE46" s="78"/>
      <c r="BBF46" s="78"/>
      <c r="BBG46" s="78"/>
      <c r="BBH46" s="78"/>
      <c r="BBI46" s="78"/>
      <c r="BBJ46" s="78"/>
      <c r="BBK46" s="78"/>
      <c r="BBL46" s="78"/>
      <c r="BBM46" s="78"/>
      <c r="BBN46" s="78"/>
      <c r="BBO46" s="78"/>
      <c r="BBP46" s="78"/>
      <c r="BBQ46" s="78"/>
      <c r="BBR46" s="78"/>
      <c r="BBS46" s="78"/>
      <c r="BBT46" s="78"/>
      <c r="BBU46" s="78"/>
      <c r="BBV46" s="78"/>
      <c r="BBW46" s="78"/>
      <c r="BBX46" s="78"/>
      <c r="BBY46" s="78"/>
      <c r="BBZ46" s="78"/>
      <c r="BCA46" s="78"/>
      <c r="BCB46" s="78"/>
      <c r="BCC46" s="78"/>
      <c r="BCD46" s="78"/>
      <c r="BCE46" s="78"/>
      <c r="BCF46" s="78"/>
      <c r="BCG46" s="78"/>
      <c r="BCH46" s="78"/>
      <c r="BCI46" s="78"/>
      <c r="BCJ46" s="78"/>
      <c r="BCK46" s="78"/>
      <c r="BCL46" s="78"/>
      <c r="BCM46" s="78"/>
      <c r="BCN46" s="78"/>
      <c r="BCO46" s="78"/>
      <c r="BCP46" s="78"/>
      <c r="BCQ46" s="78"/>
      <c r="BCR46" s="78"/>
      <c r="BCS46" s="78"/>
      <c r="BCT46" s="78"/>
      <c r="BCU46" s="78"/>
      <c r="BCV46" s="78"/>
      <c r="BCW46" s="78"/>
      <c r="BCX46" s="78"/>
      <c r="BCY46" s="78"/>
      <c r="BCZ46" s="78"/>
      <c r="BDA46" s="78"/>
      <c r="BDB46" s="78"/>
      <c r="BDC46" s="78"/>
      <c r="BDD46" s="78"/>
      <c r="BDE46" s="78"/>
      <c r="BDF46" s="78"/>
      <c r="BDG46" s="78"/>
      <c r="BDH46" s="78"/>
      <c r="BDI46" s="78"/>
      <c r="BDJ46" s="78"/>
      <c r="BDK46" s="78"/>
      <c r="BDL46" s="78"/>
      <c r="BDM46" s="78"/>
      <c r="BDN46" s="78"/>
      <c r="BDO46" s="78"/>
      <c r="BDP46" s="78"/>
      <c r="BDQ46" s="78"/>
      <c r="BDR46" s="78"/>
      <c r="BDS46" s="78"/>
      <c r="BDT46" s="78"/>
      <c r="BDU46" s="78"/>
      <c r="BDV46" s="78"/>
      <c r="BDW46" s="78"/>
      <c r="BDX46" s="78"/>
      <c r="BDY46" s="78"/>
      <c r="BDZ46" s="78"/>
      <c r="BEA46" s="78"/>
      <c r="BEB46" s="78"/>
      <c r="BEC46" s="78"/>
      <c r="BED46" s="78"/>
      <c r="BEE46" s="78"/>
      <c r="BEF46" s="78"/>
      <c r="BEG46" s="78"/>
      <c r="BEH46" s="78"/>
      <c r="BEI46" s="78"/>
      <c r="BEJ46" s="78"/>
      <c r="BEK46" s="78"/>
      <c r="BEL46" s="78"/>
      <c r="BEM46" s="78"/>
      <c r="BEN46" s="78"/>
      <c r="BEO46" s="78"/>
      <c r="BEP46" s="78"/>
      <c r="BEQ46" s="78"/>
      <c r="BER46" s="78"/>
      <c r="BES46" s="78"/>
      <c r="BET46" s="78"/>
      <c r="BEU46" s="78"/>
      <c r="BEV46" s="78"/>
      <c r="BEW46" s="78"/>
      <c r="BEX46" s="78"/>
      <c r="BEY46" s="78"/>
      <c r="BEZ46" s="78"/>
      <c r="BFA46" s="78"/>
      <c r="BFB46" s="78"/>
      <c r="BFC46" s="78"/>
      <c r="BFD46" s="78"/>
      <c r="BFE46" s="78"/>
      <c r="BFF46" s="78"/>
      <c r="BFG46" s="78"/>
      <c r="BFH46" s="78"/>
      <c r="BFI46" s="78"/>
      <c r="BFJ46" s="78"/>
      <c r="BFK46" s="78"/>
      <c r="BFL46" s="78"/>
      <c r="BFM46" s="78"/>
      <c r="BFN46" s="78"/>
      <c r="BFO46" s="78"/>
      <c r="BFP46" s="78"/>
      <c r="BFQ46" s="78"/>
      <c r="BFR46" s="78"/>
      <c r="BFS46" s="78"/>
      <c r="BFT46" s="78"/>
      <c r="BFU46" s="78"/>
      <c r="BFV46" s="78"/>
      <c r="BFW46" s="78"/>
      <c r="BFX46" s="78"/>
      <c r="BFY46" s="78"/>
      <c r="BFZ46" s="78"/>
      <c r="BGA46" s="78"/>
      <c r="BGB46" s="78"/>
      <c r="BGC46" s="78"/>
      <c r="BGD46" s="78"/>
      <c r="BGE46" s="78"/>
      <c r="BGF46" s="78"/>
      <c r="BGG46" s="78"/>
      <c r="BGH46" s="78"/>
      <c r="BGI46" s="78"/>
      <c r="BGJ46" s="78"/>
      <c r="BGK46" s="78"/>
      <c r="BGL46" s="78"/>
      <c r="BGM46" s="78"/>
      <c r="BGN46" s="78"/>
      <c r="BGO46" s="78"/>
      <c r="BGP46" s="78"/>
      <c r="BGQ46" s="78"/>
      <c r="BGR46" s="78"/>
      <c r="BGS46" s="78"/>
      <c r="BGT46" s="78"/>
      <c r="BGU46" s="78"/>
      <c r="BGV46" s="78"/>
      <c r="BGW46" s="78"/>
      <c r="BGX46" s="78"/>
      <c r="BGY46" s="78"/>
      <c r="BGZ46" s="78"/>
      <c r="BHA46" s="78"/>
      <c r="BHB46" s="78"/>
      <c r="BHC46" s="78"/>
      <c r="BHD46" s="78"/>
      <c r="BHE46" s="78"/>
      <c r="BHF46" s="78"/>
      <c r="BHG46" s="78"/>
      <c r="BHH46" s="78"/>
      <c r="BHI46" s="78"/>
      <c r="BHJ46" s="78"/>
      <c r="BHK46" s="78"/>
      <c r="BHL46" s="78"/>
      <c r="BHM46" s="78"/>
      <c r="BHN46" s="78"/>
      <c r="BHO46" s="78"/>
      <c r="BHP46" s="78"/>
      <c r="BHQ46" s="78"/>
      <c r="BHR46" s="78"/>
      <c r="BHS46" s="78"/>
      <c r="BHT46" s="78"/>
      <c r="BHU46" s="78"/>
      <c r="BHV46" s="78"/>
      <c r="BHW46" s="78"/>
      <c r="BHX46" s="78"/>
      <c r="BHY46" s="78"/>
      <c r="BHZ46" s="78"/>
      <c r="BIA46" s="78"/>
      <c r="BIB46" s="78"/>
      <c r="BIC46" s="78"/>
      <c r="BID46" s="78"/>
      <c r="BIE46" s="78"/>
      <c r="BIF46" s="78"/>
      <c r="BIG46" s="78"/>
      <c r="BIH46" s="78"/>
      <c r="BII46" s="78"/>
      <c r="BIJ46" s="78"/>
      <c r="BIK46" s="78"/>
      <c r="BIL46" s="78"/>
      <c r="BIM46" s="78"/>
      <c r="BIN46" s="78"/>
      <c r="BIO46" s="78"/>
      <c r="BIP46" s="78"/>
      <c r="BIQ46" s="78"/>
      <c r="BIR46" s="78"/>
      <c r="BIS46" s="78"/>
      <c r="BIT46" s="78"/>
      <c r="BIU46" s="78"/>
      <c r="BIV46" s="78"/>
      <c r="BIW46" s="78"/>
      <c r="BIX46" s="78"/>
      <c r="BIY46" s="78"/>
      <c r="BIZ46" s="78"/>
      <c r="BJA46" s="78"/>
      <c r="BJB46" s="78"/>
      <c r="BJC46" s="78"/>
      <c r="BJD46" s="78"/>
      <c r="BJE46" s="78"/>
      <c r="BJF46" s="78"/>
      <c r="BJG46" s="78"/>
      <c r="BJH46" s="78"/>
      <c r="BJI46" s="78"/>
      <c r="BJJ46" s="78"/>
      <c r="BJK46" s="78"/>
      <c r="BJL46" s="78"/>
      <c r="BJM46" s="78"/>
      <c r="BJN46" s="78"/>
      <c r="BJO46" s="78"/>
      <c r="BJP46" s="78"/>
      <c r="BJQ46" s="78"/>
      <c r="BJR46" s="78"/>
      <c r="BJS46" s="78"/>
      <c r="BJT46" s="78"/>
      <c r="BJU46" s="78"/>
      <c r="BJV46" s="78"/>
      <c r="BJW46" s="78"/>
      <c r="BJX46" s="78"/>
      <c r="BJY46" s="78"/>
      <c r="BJZ46" s="78"/>
      <c r="BKA46" s="78"/>
      <c r="BKB46" s="78"/>
      <c r="BKC46" s="78"/>
      <c r="BKD46" s="78"/>
      <c r="BKE46" s="78"/>
      <c r="BKF46" s="78"/>
      <c r="BKG46" s="78"/>
      <c r="BKH46" s="78"/>
      <c r="BKI46" s="78"/>
      <c r="BKJ46" s="78"/>
      <c r="BKK46" s="78"/>
      <c r="BKL46" s="78"/>
      <c r="BKM46" s="78"/>
      <c r="BKN46" s="78"/>
      <c r="BKO46" s="78"/>
      <c r="BKP46" s="78"/>
      <c r="BKQ46" s="78"/>
      <c r="BKR46" s="78"/>
      <c r="BKS46" s="78"/>
      <c r="BKT46" s="78"/>
      <c r="BKU46" s="78"/>
      <c r="BKV46" s="78"/>
      <c r="BKW46" s="78"/>
      <c r="BKX46" s="78"/>
      <c r="BKY46" s="78"/>
      <c r="BKZ46" s="78"/>
      <c r="BLA46" s="78"/>
      <c r="BLB46" s="78"/>
      <c r="BLC46" s="78"/>
      <c r="BLD46" s="78"/>
      <c r="BLE46" s="78"/>
      <c r="BLF46" s="78"/>
      <c r="BLG46" s="78"/>
      <c r="BLH46" s="78"/>
      <c r="BLI46" s="78"/>
      <c r="BLJ46" s="78"/>
      <c r="BLK46" s="78"/>
      <c r="BLL46" s="78"/>
      <c r="BLM46" s="78"/>
      <c r="BLN46" s="78"/>
      <c r="BLO46" s="78"/>
      <c r="BLP46" s="78"/>
      <c r="BLQ46" s="78"/>
      <c r="BLR46" s="78"/>
      <c r="BLS46" s="78"/>
      <c r="BLT46" s="78"/>
      <c r="BLU46" s="78"/>
      <c r="BLV46" s="78"/>
      <c r="BLW46" s="78"/>
      <c r="BLX46" s="78"/>
      <c r="BLY46" s="78"/>
      <c r="BLZ46" s="78"/>
      <c r="BMA46" s="78"/>
      <c r="BMB46" s="78"/>
      <c r="BMC46" s="78"/>
      <c r="BMD46" s="78"/>
      <c r="BME46" s="78"/>
      <c r="BMF46" s="78"/>
      <c r="BMG46" s="78"/>
      <c r="BMH46" s="78"/>
      <c r="BMI46" s="78"/>
      <c r="BMJ46" s="78"/>
      <c r="BMK46" s="78"/>
      <c r="BML46" s="78"/>
      <c r="BMM46" s="78"/>
      <c r="BMN46" s="78"/>
      <c r="BMO46" s="78"/>
      <c r="BMP46" s="78"/>
      <c r="BMQ46" s="78"/>
      <c r="BMR46" s="78"/>
      <c r="BMS46" s="78"/>
      <c r="BMT46" s="78"/>
      <c r="BMU46" s="78"/>
      <c r="BMV46" s="78"/>
      <c r="BMW46" s="78"/>
      <c r="BMX46" s="78"/>
      <c r="BMY46" s="78"/>
      <c r="BMZ46" s="78"/>
      <c r="BNA46" s="78"/>
      <c r="BNB46" s="78"/>
      <c r="BNC46" s="78"/>
      <c r="BND46" s="78"/>
      <c r="BNE46" s="78"/>
      <c r="BNF46" s="78"/>
      <c r="BNG46" s="78"/>
      <c r="BNH46" s="78"/>
      <c r="BNI46" s="78"/>
      <c r="BNJ46" s="78"/>
      <c r="BNK46" s="78"/>
      <c r="BNL46" s="78"/>
      <c r="BNM46" s="78"/>
      <c r="BNN46" s="78"/>
      <c r="BNO46" s="78"/>
      <c r="BNP46" s="78"/>
      <c r="BNQ46" s="78"/>
      <c r="BNR46" s="78"/>
      <c r="BNS46" s="78"/>
      <c r="BNT46" s="78"/>
      <c r="BNU46" s="78"/>
      <c r="BNV46" s="78"/>
      <c r="BNW46" s="78"/>
      <c r="BNX46" s="78"/>
      <c r="BNY46" s="78"/>
      <c r="BNZ46" s="78"/>
      <c r="BOA46" s="78"/>
      <c r="BOB46" s="78"/>
      <c r="BOC46" s="78"/>
      <c r="BOD46" s="78"/>
      <c r="BOE46" s="78"/>
      <c r="BOF46" s="78"/>
      <c r="BOG46" s="78"/>
      <c r="BOH46" s="78"/>
      <c r="BOI46" s="78"/>
      <c r="BOJ46" s="78"/>
      <c r="BOK46" s="78"/>
      <c r="BOL46" s="78"/>
      <c r="BOM46" s="78"/>
      <c r="BON46" s="78"/>
      <c r="BOO46" s="78"/>
      <c r="BOP46" s="78"/>
      <c r="BOQ46" s="78"/>
      <c r="BOR46" s="78"/>
      <c r="BOS46" s="78"/>
      <c r="BOT46" s="78"/>
      <c r="BOU46" s="78"/>
      <c r="BOV46" s="78"/>
      <c r="BOW46" s="78"/>
      <c r="BOX46" s="78"/>
      <c r="BOY46" s="78"/>
      <c r="BOZ46" s="78"/>
      <c r="BPA46" s="78"/>
      <c r="BPB46" s="78"/>
      <c r="BPC46" s="78"/>
      <c r="BPD46" s="78"/>
      <c r="BPE46" s="78"/>
      <c r="BPF46" s="78"/>
      <c r="BPG46" s="78"/>
      <c r="BPH46" s="78"/>
      <c r="BPI46" s="78"/>
      <c r="BPJ46" s="78"/>
      <c r="BPK46" s="78"/>
      <c r="BPL46" s="78"/>
      <c r="BPM46" s="78"/>
      <c r="BPN46" s="78"/>
      <c r="BPO46" s="78"/>
      <c r="BPP46" s="78"/>
      <c r="BPQ46" s="78"/>
      <c r="BPR46" s="78"/>
      <c r="BPS46" s="78"/>
      <c r="BPT46" s="78"/>
      <c r="BPU46" s="78"/>
      <c r="BPV46" s="78"/>
      <c r="BPW46" s="78"/>
      <c r="BPX46" s="78"/>
      <c r="BPY46" s="78"/>
      <c r="BPZ46" s="78"/>
      <c r="BQA46" s="78"/>
      <c r="BQB46" s="78"/>
      <c r="BQC46" s="78"/>
      <c r="BQD46" s="78"/>
      <c r="BQE46" s="78"/>
      <c r="BQF46" s="78"/>
      <c r="BQG46" s="78"/>
      <c r="BQH46" s="78"/>
      <c r="BQI46" s="78"/>
      <c r="BQJ46" s="78"/>
      <c r="BQK46" s="78"/>
      <c r="BQL46" s="78"/>
      <c r="BQM46" s="78"/>
      <c r="BQN46" s="78"/>
      <c r="BQO46" s="78"/>
      <c r="BQP46" s="78"/>
      <c r="BQQ46" s="78"/>
      <c r="BQR46" s="78"/>
      <c r="BQS46" s="78"/>
      <c r="BQT46" s="78"/>
      <c r="BQU46" s="78"/>
      <c r="BQV46" s="78"/>
      <c r="BQW46" s="78"/>
      <c r="BQX46" s="78"/>
      <c r="BQY46" s="78"/>
      <c r="BQZ46" s="78"/>
      <c r="BRA46" s="78"/>
      <c r="BRB46" s="78"/>
      <c r="BRC46" s="78"/>
      <c r="BRD46" s="78"/>
      <c r="BRE46" s="78"/>
      <c r="BRF46" s="78"/>
      <c r="BRG46" s="78"/>
      <c r="BRH46" s="78"/>
      <c r="BRI46" s="78"/>
      <c r="BRJ46" s="78"/>
      <c r="BRK46" s="78"/>
      <c r="BRL46" s="78"/>
      <c r="BRM46" s="78"/>
      <c r="BRN46" s="78"/>
      <c r="BRO46" s="78"/>
      <c r="BRP46" s="78"/>
      <c r="BRQ46" s="78"/>
      <c r="BRR46" s="78"/>
      <c r="BRS46" s="78"/>
      <c r="BRT46" s="78"/>
      <c r="BRU46" s="78"/>
      <c r="BRV46" s="78"/>
      <c r="BRW46" s="78"/>
      <c r="BRX46" s="78"/>
      <c r="BRY46" s="78"/>
      <c r="BRZ46" s="78"/>
      <c r="BSA46" s="78"/>
      <c r="BSB46" s="78"/>
      <c r="BSC46" s="78"/>
      <c r="BSD46" s="78"/>
      <c r="BSE46" s="78"/>
      <c r="BSF46" s="78"/>
      <c r="BSG46" s="78"/>
      <c r="BSH46" s="78"/>
      <c r="BSI46" s="78"/>
      <c r="BSJ46" s="78"/>
      <c r="BSK46" s="78"/>
      <c r="BSL46" s="78"/>
      <c r="BSM46" s="78"/>
      <c r="BSN46" s="78"/>
      <c r="BSO46" s="78"/>
      <c r="BSP46" s="78"/>
      <c r="BSQ46" s="78"/>
      <c r="BSR46" s="78"/>
      <c r="BSS46" s="78"/>
      <c r="BST46" s="78"/>
      <c r="BSU46" s="78"/>
      <c r="BSV46" s="78"/>
      <c r="BSW46" s="78"/>
      <c r="BSX46" s="78"/>
      <c r="BSY46" s="78"/>
      <c r="BSZ46" s="78"/>
      <c r="BTA46" s="78"/>
      <c r="BTB46" s="78"/>
      <c r="BTC46" s="78"/>
      <c r="BTD46" s="78"/>
      <c r="BTE46" s="78"/>
      <c r="BTF46" s="78"/>
      <c r="BTG46" s="78"/>
      <c r="BTH46" s="78"/>
      <c r="BTI46" s="78"/>
      <c r="BTJ46" s="78"/>
      <c r="BTK46" s="78"/>
      <c r="BTL46" s="78"/>
      <c r="BTM46" s="78"/>
      <c r="BTN46" s="78"/>
      <c r="BTO46" s="78"/>
      <c r="BTP46" s="78"/>
      <c r="BTQ46" s="78"/>
      <c r="BTR46" s="78"/>
      <c r="BTS46" s="78"/>
      <c r="BTT46" s="78"/>
      <c r="BTU46" s="78"/>
      <c r="BTV46" s="78"/>
      <c r="BTW46" s="78"/>
      <c r="BTX46" s="78"/>
      <c r="BTY46" s="78"/>
      <c r="BTZ46" s="78"/>
      <c r="BUA46" s="78"/>
      <c r="BUB46" s="78"/>
      <c r="BUC46" s="78"/>
      <c r="BUD46" s="78"/>
      <c r="BUE46" s="78"/>
      <c r="BUF46" s="78"/>
      <c r="BUG46" s="78"/>
      <c r="BUH46" s="78"/>
      <c r="BUI46" s="78"/>
      <c r="BUJ46" s="78"/>
      <c r="BUK46" s="78"/>
      <c r="BUL46" s="78"/>
      <c r="BUM46" s="78"/>
      <c r="BUN46" s="78"/>
      <c r="BUO46" s="78"/>
      <c r="BUP46" s="78"/>
      <c r="BUQ46" s="78"/>
      <c r="BUR46" s="78"/>
      <c r="BUS46" s="78"/>
      <c r="BUT46" s="78"/>
      <c r="BUU46" s="78"/>
      <c r="BUV46" s="78"/>
      <c r="BUW46" s="78"/>
      <c r="BUX46" s="78"/>
      <c r="BUY46" s="78"/>
      <c r="BUZ46" s="78"/>
      <c r="BVA46" s="78"/>
      <c r="BVB46" s="78"/>
      <c r="BVC46" s="78"/>
      <c r="BVD46" s="78"/>
      <c r="BVE46" s="78"/>
      <c r="BVF46" s="78"/>
      <c r="BVG46" s="78"/>
      <c r="BVH46" s="78"/>
      <c r="BVI46" s="78"/>
      <c r="BVJ46" s="78"/>
      <c r="BVK46" s="78"/>
      <c r="BVL46" s="78"/>
      <c r="BVM46" s="78"/>
      <c r="BVN46" s="78"/>
      <c r="BVO46" s="78"/>
      <c r="BVP46" s="78"/>
      <c r="BVQ46" s="78"/>
      <c r="BVR46" s="78"/>
      <c r="BVS46" s="78"/>
      <c r="BVT46" s="78"/>
      <c r="BVU46" s="78"/>
      <c r="BVV46" s="78"/>
      <c r="BVW46" s="78"/>
      <c r="BVX46" s="78"/>
      <c r="BVY46" s="78"/>
      <c r="BVZ46" s="78"/>
      <c r="BWA46" s="78"/>
      <c r="BWB46" s="78"/>
      <c r="BWC46" s="78"/>
      <c r="BWD46" s="78"/>
      <c r="BWE46" s="78"/>
      <c r="BWF46" s="78"/>
      <c r="BWG46" s="78"/>
      <c r="BWH46" s="78"/>
      <c r="BWI46" s="78"/>
      <c r="BWJ46" s="78"/>
      <c r="BWK46" s="78"/>
      <c r="BWL46" s="78"/>
      <c r="BWM46" s="78"/>
      <c r="BWN46" s="78"/>
      <c r="BWO46" s="78"/>
      <c r="BWP46" s="78"/>
      <c r="BWQ46" s="78"/>
      <c r="BWR46" s="78"/>
      <c r="BWS46" s="78"/>
      <c r="BWT46" s="78"/>
      <c r="BWU46" s="78"/>
      <c r="BWV46" s="78"/>
      <c r="BWW46" s="78"/>
      <c r="BWX46" s="78"/>
      <c r="BWY46" s="78"/>
      <c r="BWZ46" s="78"/>
      <c r="BXA46" s="78"/>
      <c r="BXB46" s="78"/>
      <c r="BXC46" s="78"/>
      <c r="BXD46" s="78"/>
      <c r="BXE46" s="78"/>
      <c r="BXF46" s="78"/>
      <c r="BXG46" s="78"/>
      <c r="BXH46" s="78"/>
      <c r="BXI46" s="78"/>
      <c r="BXJ46" s="78"/>
      <c r="BXK46" s="78"/>
      <c r="BXL46" s="78"/>
      <c r="BXM46" s="78"/>
      <c r="BXN46" s="78"/>
      <c r="BXO46" s="78"/>
      <c r="BXP46" s="78"/>
      <c r="BXQ46" s="78"/>
      <c r="BXR46" s="78"/>
      <c r="BXS46" s="78"/>
      <c r="BXT46" s="78"/>
      <c r="BXU46" s="78"/>
      <c r="BXV46" s="78"/>
      <c r="BXW46" s="78"/>
      <c r="BXX46" s="78"/>
      <c r="BXY46" s="78"/>
      <c r="BXZ46" s="78"/>
      <c r="BYA46" s="78"/>
      <c r="BYB46" s="78"/>
      <c r="BYC46" s="78"/>
      <c r="BYD46" s="78"/>
      <c r="BYE46" s="78"/>
      <c r="BYF46" s="78"/>
      <c r="BYG46" s="78"/>
      <c r="BYH46" s="78"/>
      <c r="BYI46" s="78"/>
      <c r="BYJ46" s="78"/>
      <c r="BYK46" s="78"/>
      <c r="BYL46" s="78"/>
      <c r="BYM46" s="78"/>
      <c r="BYN46" s="78"/>
      <c r="BYO46" s="78"/>
      <c r="BYP46" s="78"/>
      <c r="BYQ46" s="78"/>
      <c r="BYR46" s="78"/>
      <c r="BYS46" s="78"/>
      <c r="BYT46" s="78"/>
      <c r="BYU46" s="78"/>
      <c r="BYV46" s="78"/>
      <c r="BYW46" s="78"/>
      <c r="BYX46" s="78"/>
      <c r="BYY46" s="78"/>
      <c r="BYZ46" s="78"/>
      <c r="BZA46" s="78"/>
      <c r="BZB46" s="78"/>
      <c r="BZC46" s="78"/>
      <c r="BZD46" s="78"/>
      <c r="BZE46" s="78"/>
      <c r="BZF46" s="78"/>
      <c r="BZG46" s="78"/>
      <c r="BZH46" s="78"/>
      <c r="BZI46" s="78"/>
      <c r="BZJ46" s="78"/>
      <c r="BZK46" s="78"/>
      <c r="BZL46" s="78"/>
      <c r="BZM46" s="78"/>
      <c r="BZN46" s="78"/>
      <c r="BZO46" s="78"/>
      <c r="BZP46" s="78"/>
      <c r="BZQ46" s="78"/>
      <c r="BZR46" s="78"/>
      <c r="BZS46" s="78"/>
      <c r="BZT46" s="78"/>
      <c r="BZU46" s="78"/>
      <c r="BZV46" s="78"/>
      <c r="BZW46" s="78"/>
      <c r="BZX46" s="78"/>
      <c r="BZY46" s="78"/>
      <c r="BZZ46" s="78"/>
      <c r="CAA46" s="78"/>
      <c r="CAB46" s="78"/>
      <c r="CAC46" s="78"/>
      <c r="CAD46" s="78"/>
      <c r="CAE46" s="78"/>
      <c r="CAF46" s="78"/>
      <c r="CAG46" s="78"/>
      <c r="CAH46" s="78"/>
      <c r="CAI46" s="78"/>
      <c r="CAJ46" s="78"/>
      <c r="CAK46" s="78"/>
      <c r="CAL46" s="78"/>
      <c r="CAM46" s="78"/>
      <c r="CAN46" s="78"/>
      <c r="CAO46" s="78"/>
      <c r="CAP46" s="78"/>
      <c r="CAQ46" s="78"/>
      <c r="CAR46" s="78"/>
      <c r="CAS46" s="78"/>
      <c r="CAT46" s="78"/>
      <c r="CAU46" s="78"/>
      <c r="CAV46" s="78"/>
      <c r="CAW46" s="78"/>
      <c r="CAX46" s="78"/>
      <c r="CAY46" s="78"/>
      <c r="CAZ46" s="78"/>
      <c r="CBA46" s="78"/>
      <c r="CBB46" s="78"/>
      <c r="CBC46" s="78"/>
      <c r="CBD46" s="78"/>
      <c r="CBE46" s="78"/>
      <c r="CBF46" s="78"/>
      <c r="CBG46" s="78"/>
      <c r="CBH46" s="78"/>
      <c r="CBI46" s="78"/>
      <c r="CBJ46" s="78"/>
      <c r="CBK46" s="78"/>
      <c r="CBL46" s="78"/>
      <c r="CBM46" s="78"/>
      <c r="CBN46" s="78"/>
      <c r="CBO46" s="78"/>
      <c r="CBP46" s="78"/>
      <c r="CBQ46" s="78"/>
      <c r="CBR46" s="78"/>
      <c r="CBS46" s="78"/>
      <c r="CBT46" s="78"/>
      <c r="CBU46" s="78"/>
      <c r="CBV46" s="78"/>
      <c r="CBW46" s="78"/>
      <c r="CBX46" s="78"/>
      <c r="CBY46" s="78"/>
      <c r="CBZ46" s="78"/>
      <c r="CCA46" s="78"/>
      <c r="CCB46" s="78"/>
      <c r="CCC46" s="78"/>
      <c r="CCD46" s="78"/>
      <c r="CCE46" s="78"/>
      <c r="CCF46" s="78"/>
      <c r="CCG46" s="78"/>
      <c r="CCH46" s="78"/>
      <c r="CCI46" s="78"/>
      <c r="CCJ46" s="78"/>
      <c r="CCK46" s="78"/>
      <c r="CCL46" s="78"/>
      <c r="CCM46" s="78"/>
      <c r="CCN46" s="78"/>
      <c r="CCO46" s="78"/>
      <c r="CCP46" s="78"/>
      <c r="CCQ46" s="78"/>
      <c r="CCR46" s="78"/>
      <c r="CCS46" s="78"/>
      <c r="CCT46" s="78"/>
      <c r="CCU46" s="78"/>
      <c r="CCV46" s="78"/>
      <c r="CCW46" s="78"/>
      <c r="CCX46" s="78"/>
      <c r="CCY46" s="78"/>
      <c r="CCZ46" s="78"/>
      <c r="CDA46" s="78"/>
      <c r="CDB46" s="78"/>
      <c r="CDC46" s="78"/>
      <c r="CDD46" s="78"/>
      <c r="CDE46" s="78"/>
      <c r="CDF46" s="78"/>
      <c r="CDG46" s="78"/>
      <c r="CDH46" s="78"/>
      <c r="CDI46" s="78"/>
      <c r="CDJ46" s="78"/>
      <c r="CDK46" s="78"/>
      <c r="CDL46" s="78"/>
      <c r="CDM46" s="78"/>
      <c r="CDN46" s="78"/>
      <c r="CDO46" s="78"/>
      <c r="CDP46" s="78"/>
      <c r="CDQ46" s="78"/>
      <c r="CDR46" s="78"/>
      <c r="CDS46" s="78"/>
      <c r="CDT46" s="78"/>
      <c r="CDU46" s="78"/>
      <c r="CDV46" s="78"/>
      <c r="CDW46" s="78"/>
      <c r="CDX46" s="78"/>
      <c r="CDY46" s="78"/>
      <c r="CDZ46" s="78"/>
      <c r="CEA46" s="78"/>
      <c r="CEB46" s="78"/>
      <c r="CEC46" s="78"/>
      <c r="CED46" s="78"/>
      <c r="CEE46" s="78"/>
      <c r="CEF46" s="78"/>
      <c r="CEG46" s="78"/>
      <c r="CEH46" s="78"/>
      <c r="CEI46" s="78"/>
      <c r="CEJ46" s="78"/>
      <c r="CEK46" s="78"/>
      <c r="CEL46" s="78"/>
      <c r="CEM46" s="78"/>
      <c r="CEN46" s="78"/>
      <c r="CEO46" s="78"/>
      <c r="CEP46" s="78"/>
      <c r="CEQ46" s="78"/>
      <c r="CER46" s="78"/>
      <c r="CES46" s="78"/>
      <c r="CET46" s="78"/>
      <c r="CEU46" s="78"/>
      <c r="CEV46" s="78"/>
      <c r="CEW46" s="78"/>
      <c r="CEX46" s="78"/>
      <c r="CEY46" s="78"/>
      <c r="CEZ46" s="78"/>
      <c r="CFA46" s="78"/>
      <c r="CFB46" s="78"/>
      <c r="CFC46" s="78"/>
      <c r="CFD46" s="78"/>
      <c r="CFE46" s="78"/>
      <c r="CFF46" s="78"/>
      <c r="CFG46" s="78"/>
      <c r="CFH46" s="78"/>
      <c r="CFI46" s="78"/>
      <c r="CFJ46" s="78"/>
      <c r="CFK46" s="78"/>
      <c r="CFL46" s="78"/>
      <c r="CFM46" s="78"/>
      <c r="CFN46" s="78"/>
      <c r="CFO46" s="78"/>
      <c r="CFP46" s="78"/>
      <c r="CFQ46" s="78"/>
      <c r="CFR46" s="78"/>
      <c r="CFS46" s="78"/>
      <c r="CFT46" s="78"/>
      <c r="CFU46" s="78"/>
      <c r="CFV46" s="78"/>
      <c r="CFW46" s="78"/>
      <c r="CFX46" s="78"/>
      <c r="CFY46" s="78"/>
      <c r="CFZ46" s="78"/>
      <c r="CGA46" s="78"/>
      <c r="CGB46" s="78"/>
      <c r="CGC46" s="78"/>
      <c r="CGD46" s="78"/>
      <c r="CGE46" s="78"/>
      <c r="CGF46" s="78"/>
      <c r="CGG46" s="78"/>
      <c r="CGH46" s="78"/>
      <c r="CGI46" s="78"/>
      <c r="CGJ46" s="78"/>
      <c r="CGK46" s="78"/>
      <c r="CGL46" s="78"/>
      <c r="CGM46" s="78"/>
      <c r="CGN46" s="78"/>
      <c r="CGO46" s="78"/>
      <c r="CGP46" s="78"/>
      <c r="CGQ46" s="78"/>
      <c r="CGR46" s="78"/>
      <c r="CGS46" s="78"/>
      <c r="CGT46" s="78"/>
      <c r="CGU46" s="78"/>
      <c r="CGV46" s="78"/>
      <c r="CGW46" s="78"/>
      <c r="CGX46" s="78"/>
      <c r="CGY46" s="78"/>
      <c r="CGZ46" s="78"/>
      <c r="CHA46" s="78"/>
      <c r="CHB46" s="78"/>
      <c r="CHC46" s="78"/>
      <c r="CHD46" s="78"/>
      <c r="CHE46" s="78"/>
      <c r="CHF46" s="78"/>
      <c r="CHG46" s="78"/>
      <c r="CHH46" s="78"/>
      <c r="CHI46" s="78"/>
      <c r="CHJ46" s="78"/>
      <c r="CHK46" s="78"/>
      <c r="CHL46" s="78"/>
      <c r="CHM46" s="78"/>
      <c r="CHN46" s="78"/>
      <c r="CHO46" s="78"/>
      <c r="CHP46" s="78"/>
      <c r="CHQ46" s="78"/>
      <c r="CHR46" s="78"/>
      <c r="CHS46" s="78"/>
      <c r="CHT46" s="78"/>
      <c r="CHU46" s="78"/>
      <c r="CHV46" s="78"/>
      <c r="CHW46" s="78"/>
      <c r="CHX46" s="78"/>
      <c r="CHY46" s="78"/>
      <c r="CHZ46" s="78"/>
      <c r="CIA46" s="78"/>
      <c r="CIB46" s="78"/>
      <c r="CIC46" s="78"/>
      <c r="CID46" s="78"/>
      <c r="CIE46" s="78"/>
      <c r="CIF46" s="78"/>
      <c r="CIG46" s="78"/>
      <c r="CIH46" s="78"/>
      <c r="CII46" s="78"/>
      <c r="CIJ46" s="78"/>
      <c r="CIK46" s="78"/>
      <c r="CIL46" s="78"/>
      <c r="CIM46" s="78"/>
      <c r="CIN46" s="78"/>
      <c r="CIO46" s="78"/>
      <c r="CIP46" s="78"/>
      <c r="CIQ46" s="78"/>
      <c r="CIR46" s="78"/>
      <c r="CIS46" s="78"/>
      <c r="CIT46" s="78"/>
      <c r="CIU46" s="78"/>
      <c r="CIV46" s="78"/>
      <c r="CIW46" s="78"/>
      <c r="CIX46" s="78"/>
      <c r="CIY46" s="78"/>
      <c r="CIZ46" s="78"/>
      <c r="CJA46" s="78"/>
      <c r="CJB46" s="78"/>
      <c r="CJC46" s="78"/>
      <c r="CJD46" s="78"/>
      <c r="CJE46" s="78"/>
      <c r="CJF46" s="78"/>
      <c r="CJG46" s="78"/>
      <c r="CJH46" s="78"/>
      <c r="CJI46" s="78"/>
      <c r="CJJ46" s="78"/>
      <c r="CJK46" s="78"/>
      <c r="CJL46" s="78"/>
      <c r="CJM46" s="78"/>
      <c r="CJN46" s="78"/>
      <c r="CJO46" s="78"/>
      <c r="CJP46" s="78"/>
      <c r="CJQ46" s="78"/>
      <c r="CJR46" s="78"/>
      <c r="CJS46" s="78"/>
      <c r="CJT46" s="78"/>
      <c r="CJU46" s="78"/>
      <c r="CJV46" s="78"/>
      <c r="CJW46" s="78"/>
      <c r="CJX46" s="78"/>
      <c r="CJY46" s="78"/>
      <c r="CJZ46" s="78"/>
      <c r="CKA46" s="78"/>
      <c r="CKB46" s="78"/>
      <c r="CKC46" s="78"/>
      <c r="CKD46" s="78"/>
      <c r="CKE46" s="78"/>
      <c r="CKF46" s="78"/>
      <c r="CKG46" s="78"/>
      <c r="CKH46" s="78"/>
      <c r="CKI46" s="78"/>
      <c r="CKJ46" s="78"/>
      <c r="CKK46" s="78"/>
      <c r="CKL46" s="78"/>
      <c r="CKM46" s="78"/>
      <c r="CKN46" s="78"/>
      <c r="CKO46" s="78"/>
      <c r="CKP46" s="78"/>
      <c r="CKQ46" s="78"/>
      <c r="CKR46" s="78"/>
      <c r="CKS46" s="78"/>
      <c r="CKT46" s="78"/>
      <c r="CKU46" s="78"/>
      <c r="CKV46" s="78"/>
      <c r="CKW46" s="78"/>
      <c r="CKX46" s="78"/>
      <c r="CKY46" s="78"/>
      <c r="CKZ46" s="78"/>
      <c r="CLA46" s="78"/>
      <c r="CLB46" s="78"/>
      <c r="CLC46" s="78"/>
      <c r="CLD46" s="78"/>
      <c r="CLE46" s="78"/>
      <c r="CLF46" s="78"/>
      <c r="CLG46" s="78"/>
      <c r="CLH46" s="78"/>
      <c r="CLI46" s="78"/>
      <c r="CLJ46" s="78"/>
      <c r="CLK46" s="78"/>
      <c r="CLL46" s="78"/>
      <c r="CLM46" s="78"/>
      <c r="CLN46" s="78"/>
      <c r="CLO46" s="78"/>
      <c r="CLP46" s="78"/>
      <c r="CLQ46" s="78"/>
      <c r="CLR46" s="78"/>
      <c r="CLS46" s="78"/>
      <c r="CLT46" s="78"/>
      <c r="CLU46" s="78"/>
      <c r="CLV46" s="78"/>
      <c r="CLW46" s="78"/>
      <c r="CLX46" s="78"/>
      <c r="CLY46" s="78"/>
      <c r="CLZ46" s="78"/>
      <c r="CMA46" s="78"/>
      <c r="CMB46" s="78"/>
      <c r="CMC46" s="78"/>
      <c r="CMD46" s="78"/>
      <c r="CME46" s="78"/>
      <c r="CMF46" s="78"/>
      <c r="CMG46" s="78"/>
      <c r="CMH46" s="78"/>
      <c r="CMI46" s="78"/>
      <c r="CMJ46" s="78"/>
      <c r="CMK46" s="78"/>
      <c r="CML46" s="78"/>
      <c r="CMM46" s="78"/>
      <c r="CMN46" s="78"/>
      <c r="CMO46" s="78"/>
      <c r="CMP46" s="78"/>
      <c r="CMQ46" s="78"/>
      <c r="CMR46" s="78"/>
      <c r="CMS46" s="78"/>
      <c r="CMT46" s="78"/>
      <c r="CMU46" s="78"/>
      <c r="CMV46" s="78"/>
      <c r="CMW46" s="78"/>
      <c r="CMX46" s="78"/>
      <c r="CMY46" s="78"/>
      <c r="CMZ46" s="78"/>
      <c r="CNA46" s="78"/>
      <c r="CNB46" s="78"/>
      <c r="CNC46" s="78"/>
      <c r="CND46" s="78"/>
      <c r="CNE46" s="78"/>
      <c r="CNF46" s="78"/>
      <c r="CNG46" s="78"/>
      <c r="CNH46" s="78"/>
      <c r="CNI46" s="78"/>
      <c r="CNJ46" s="78"/>
      <c r="CNK46" s="78"/>
      <c r="CNL46" s="78"/>
      <c r="CNM46" s="78"/>
      <c r="CNN46" s="78"/>
      <c r="CNO46" s="78"/>
      <c r="CNP46" s="78"/>
      <c r="CNQ46" s="78"/>
      <c r="CNR46" s="78"/>
      <c r="CNS46" s="78"/>
      <c r="CNT46" s="78"/>
      <c r="CNU46" s="78"/>
      <c r="CNV46" s="78"/>
      <c r="CNW46" s="78"/>
      <c r="CNX46" s="78"/>
      <c r="CNY46" s="78"/>
      <c r="CNZ46" s="78"/>
      <c r="COA46" s="78"/>
      <c r="COB46" s="78"/>
      <c r="COC46" s="78"/>
      <c r="COD46" s="78"/>
      <c r="COE46" s="78"/>
      <c r="COF46" s="78"/>
      <c r="COG46" s="78"/>
      <c r="COH46" s="78"/>
      <c r="COI46" s="78"/>
      <c r="COJ46" s="78"/>
      <c r="COK46" s="78"/>
      <c r="COL46" s="78"/>
      <c r="COM46" s="78"/>
      <c r="CON46" s="78"/>
      <c r="COO46" s="78"/>
      <c r="COP46" s="78"/>
      <c r="COQ46" s="78"/>
      <c r="COR46" s="78"/>
      <c r="COS46" s="78"/>
      <c r="COT46" s="78"/>
      <c r="COU46" s="78"/>
      <c r="COV46" s="78"/>
      <c r="COW46" s="78"/>
      <c r="COX46" s="78"/>
      <c r="COY46" s="78"/>
      <c r="COZ46" s="78"/>
      <c r="CPA46" s="78"/>
      <c r="CPB46" s="78"/>
      <c r="CPC46" s="78"/>
      <c r="CPD46" s="78"/>
      <c r="CPE46" s="78"/>
      <c r="CPF46" s="78"/>
      <c r="CPG46" s="78"/>
      <c r="CPH46" s="78"/>
      <c r="CPI46" s="78"/>
      <c r="CPJ46" s="78"/>
      <c r="CPK46" s="78"/>
      <c r="CPL46" s="78"/>
      <c r="CPM46" s="78"/>
      <c r="CPN46" s="78"/>
      <c r="CPO46" s="78"/>
      <c r="CPP46" s="78"/>
      <c r="CPQ46" s="78"/>
      <c r="CPR46" s="78"/>
      <c r="CPS46" s="78"/>
      <c r="CPT46" s="78"/>
      <c r="CPU46" s="78"/>
      <c r="CPV46" s="78"/>
      <c r="CPW46" s="78"/>
      <c r="CPX46" s="78"/>
      <c r="CPY46" s="78"/>
      <c r="CPZ46" s="78"/>
      <c r="CQA46" s="78"/>
      <c r="CQB46" s="78"/>
      <c r="CQC46" s="78"/>
      <c r="CQD46" s="78"/>
      <c r="CQE46" s="78"/>
      <c r="CQF46" s="78"/>
      <c r="CQG46" s="78"/>
      <c r="CQH46" s="78"/>
      <c r="CQI46" s="78"/>
      <c r="CQJ46" s="78"/>
      <c r="CQK46" s="78"/>
      <c r="CQL46" s="78"/>
      <c r="CQM46" s="78"/>
      <c r="CQN46" s="78"/>
      <c r="CQO46" s="78"/>
      <c r="CQP46" s="78"/>
      <c r="CQQ46" s="78"/>
      <c r="CQR46" s="78"/>
      <c r="CQS46" s="78"/>
      <c r="CQT46" s="78"/>
      <c r="CQU46" s="78"/>
      <c r="CQV46" s="78"/>
      <c r="CQW46" s="78"/>
      <c r="CQX46" s="78"/>
      <c r="CQY46" s="78"/>
      <c r="CQZ46" s="78"/>
      <c r="CRA46" s="78"/>
      <c r="CRB46" s="78"/>
      <c r="CRC46" s="78"/>
      <c r="CRD46" s="78"/>
      <c r="CRE46" s="78"/>
      <c r="CRF46" s="78"/>
      <c r="CRG46" s="78"/>
      <c r="CRH46" s="78"/>
      <c r="CRI46" s="78"/>
      <c r="CRJ46" s="78"/>
      <c r="CRK46" s="78"/>
      <c r="CRL46" s="78"/>
      <c r="CRM46" s="78"/>
      <c r="CRN46" s="78"/>
      <c r="CRO46" s="78"/>
      <c r="CRP46" s="78"/>
      <c r="CRQ46" s="78"/>
      <c r="CRR46" s="78"/>
      <c r="CRS46" s="78"/>
      <c r="CRT46" s="78"/>
      <c r="CRU46" s="78"/>
      <c r="CRV46" s="78"/>
      <c r="CRW46" s="78"/>
      <c r="CRX46" s="78"/>
      <c r="CRY46" s="78"/>
      <c r="CRZ46" s="78"/>
      <c r="CSA46" s="78"/>
      <c r="CSB46" s="78"/>
      <c r="CSC46" s="78"/>
      <c r="CSD46" s="78"/>
      <c r="CSE46" s="78"/>
      <c r="CSF46" s="78"/>
      <c r="CSG46" s="78"/>
      <c r="CSH46" s="78"/>
      <c r="CSI46" s="78"/>
      <c r="CSJ46" s="78"/>
      <c r="CSK46" s="78"/>
      <c r="CSL46" s="78"/>
      <c r="CSM46" s="78"/>
      <c r="CSN46" s="78"/>
      <c r="CSO46" s="78"/>
      <c r="CSP46" s="78"/>
      <c r="CSQ46" s="78"/>
      <c r="CSR46" s="78"/>
      <c r="CSS46" s="78"/>
      <c r="CST46" s="78"/>
      <c r="CSU46" s="78"/>
      <c r="CSV46" s="78"/>
      <c r="CSW46" s="78"/>
      <c r="CSX46" s="78"/>
      <c r="CSY46" s="78"/>
      <c r="CSZ46" s="78"/>
      <c r="CTA46" s="78"/>
      <c r="CTB46" s="78"/>
      <c r="CTC46" s="78"/>
      <c r="CTD46" s="78"/>
      <c r="CTE46" s="78"/>
      <c r="CTF46" s="78"/>
      <c r="CTG46" s="78"/>
      <c r="CTH46" s="78"/>
      <c r="CTI46" s="78"/>
      <c r="CTJ46" s="78"/>
      <c r="CTK46" s="78"/>
      <c r="CTL46" s="78"/>
      <c r="CTM46" s="78"/>
      <c r="CTN46" s="78"/>
      <c r="CTO46" s="78"/>
      <c r="CTP46" s="78"/>
      <c r="CTQ46" s="78"/>
      <c r="CTR46" s="78"/>
      <c r="CTS46" s="78"/>
      <c r="CTT46" s="78"/>
      <c r="CTU46" s="78"/>
      <c r="CTV46" s="78"/>
      <c r="CTW46" s="78"/>
      <c r="CTX46" s="78"/>
      <c r="CTY46" s="78"/>
      <c r="CTZ46" s="78"/>
      <c r="CUA46" s="78"/>
      <c r="CUB46" s="78"/>
      <c r="CUC46" s="78"/>
      <c r="CUD46" s="78"/>
      <c r="CUE46" s="78"/>
      <c r="CUF46" s="78"/>
      <c r="CUG46" s="78"/>
      <c r="CUH46" s="78"/>
      <c r="CUI46" s="78"/>
      <c r="CUJ46" s="78"/>
      <c r="CUK46" s="78"/>
      <c r="CUL46" s="78"/>
      <c r="CUM46" s="78"/>
      <c r="CUN46" s="78"/>
      <c r="CUO46" s="78"/>
      <c r="CUP46" s="78"/>
      <c r="CUQ46" s="78"/>
      <c r="CUR46" s="78"/>
      <c r="CUS46" s="78"/>
      <c r="CUT46" s="78"/>
      <c r="CUU46" s="78"/>
      <c r="CUV46" s="78"/>
      <c r="CUW46" s="78"/>
      <c r="CUX46" s="78"/>
      <c r="CUY46" s="78"/>
      <c r="CUZ46" s="78"/>
      <c r="CVA46" s="78"/>
      <c r="CVB46" s="78"/>
      <c r="CVC46" s="78"/>
      <c r="CVD46" s="78"/>
      <c r="CVE46" s="78"/>
      <c r="CVF46" s="78"/>
      <c r="CVG46" s="78"/>
      <c r="CVH46" s="78"/>
      <c r="CVI46" s="78"/>
      <c r="CVJ46" s="78"/>
      <c r="CVK46" s="78"/>
      <c r="CVL46" s="78"/>
      <c r="CVM46" s="78"/>
      <c r="CVN46" s="78"/>
      <c r="CVO46" s="78"/>
      <c r="CVP46" s="78"/>
      <c r="CVQ46" s="78"/>
      <c r="CVR46" s="78"/>
      <c r="CVS46" s="78"/>
      <c r="CVT46" s="78"/>
      <c r="CVU46" s="78"/>
      <c r="CVV46" s="78"/>
      <c r="CVW46" s="78"/>
      <c r="CVX46" s="78"/>
      <c r="CVY46" s="78"/>
      <c r="CVZ46" s="78"/>
      <c r="CWA46" s="78"/>
      <c r="CWB46" s="78"/>
      <c r="CWC46" s="78"/>
      <c r="CWD46" s="78"/>
      <c r="CWE46" s="78"/>
      <c r="CWF46" s="78"/>
      <c r="CWG46" s="78"/>
      <c r="CWH46" s="78"/>
      <c r="CWI46" s="78"/>
      <c r="CWJ46" s="78"/>
      <c r="CWK46" s="78"/>
      <c r="CWL46" s="78"/>
      <c r="CWM46" s="78"/>
      <c r="CWN46" s="78"/>
      <c r="CWO46" s="78"/>
      <c r="CWP46" s="78"/>
      <c r="CWQ46" s="78"/>
      <c r="CWR46" s="78"/>
      <c r="CWS46" s="78"/>
      <c r="CWT46" s="78"/>
      <c r="CWU46" s="78"/>
      <c r="CWV46" s="78"/>
      <c r="CWW46" s="78"/>
      <c r="CWX46" s="78"/>
      <c r="CWY46" s="78"/>
      <c r="CWZ46" s="78"/>
      <c r="CXA46" s="78"/>
      <c r="CXB46" s="78"/>
      <c r="CXC46" s="78"/>
      <c r="CXD46" s="78"/>
      <c r="CXE46" s="78"/>
      <c r="CXF46" s="78"/>
      <c r="CXG46" s="78"/>
      <c r="CXH46" s="78"/>
      <c r="CXI46" s="78"/>
      <c r="CXJ46" s="78"/>
      <c r="CXK46" s="78"/>
      <c r="CXL46" s="78"/>
      <c r="CXM46" s="78"/>
      <c r="CXN46" s="78"/>
      <c r="CXO46" s="78"/>
      <c r="CXP46" s="78"/>
      <c r="CXQ46" s="78"/>
      <c r="CXR46" s="78"/>
      <c r="CXS46" s="78"/>
      <c r="CXT46" s="78"/>
      <c r="CXU46" s="78"/>
      <c r="CXV46" s="78"/>
      <c r="CXW46" s="78"/>
      <c r="CXX46" s="78"/>
      <c r="CXY46" s="78"/>
      <c r="CXZ46" s="78"/>
      <c r="CYA46" s="78"/>
      <c r="CYB46" s="78"/>
      <c r="CYC46" s="78"/>
      <c r="CYD46" s="78"/>
      <c r="CYE46" s="78"/>
      <c r="CYF46" s="78"/>
      <c r="CYG46" s="78"/>
      <c r="CYH46" s="78"/>
      <c r="CYI46" s="78"/>
      <c r="CYJ46" s="78"/>
      <c r="CYK46" s="78"/>
      <c r="CYL46" s="78"/>
      <c r="CYM46" s="78"/>
      <c r="CYN46" s="78"/>
      <c r="CYO46" s="78"/>
      <c r="CYP46" s="78"/>
      <c r="CYQ46" s="78"/>
      <c r="CYR46" s="78"/>
      <c r="CYS46" s="78"/>
      <c r="CYT46" s="78"/>
      <c r="CYU46" s="78"/>
      <c r="CYV46" s="78"/>
      <c r="CYW46" s="78"/>
      <c r="CYX46" s="78"/>
      <c r="CYY46" s="78"/>
      <c r="CYZ46" s="78"/>
      <c r="CZA46" s="78"/>
      <c r="CZB46" s="78"/>
      <c r="CZC46" s="78"/>
      <c r="CZD46" s="78"/>
      <c r="CZE46" s="78"/>
      <c r="CZF46" s="78"/>
      <c r="CZG46" s="78"/>
      <c r="CZH46" s="78"/>
      <c r="CZI46" s="78"/>
      <c r="CZJ46" s="78"/>
      <c r="CZK46" s="78"/>
      <c r="CZL46" s="78"/>
      <c r="CZM46" s="78"/>
      <c r="CZN46" s="78"/>
      <c r="CZO46" s="78"/>
      <c r="CZP46" s="78"/>
      <c r="CZQ46" s="78"/>
      <c r="CZR46" s="78"/>
      <c r="CZS46" s="78"/>
      <c r="CZT46" s="78"/>
      <c r="CZU46" s="78"/>
      <c r="CZV46" s="78"/>
      <c r="CZW46" s="78"/>
      <c r="CZX46" s="78"/>
      <c r="CZY46" s="78"/>
      <c r="CZZ46" s="78"/>
      <c r="DAA46" s="78"/>
      <c r="DAB46" s="78"/>
      <c r="DAC46" s="78"/>
      <c r="DAD46" s="78"/>
      <c r="DAE46" s="78"/>
      <c r="DAF46" s="78"/>
      <c r="DAG46" s="78"/>
      <c r="DAH46" s="78"/>
      <c r="DAI46" s="78"/>
      <c r="DAJ46" s="78"/>
      <c r="DAK46" s="78"/>
      <c r="DAL46" s="78"/>
      <c r="DAM46" s="78"/>
      <c r="DAN46" s="78"/>
      <c r="DAO46" s="78"/>
      <c r="DAP46" s="78"/>
      <c r="DAQ46" s="78"/>
      <c r="DAR46" s="78"/>
      <c r="DAS46" s="78"/>
      <c r="DAT46" s="78"/>
      <c r="DAU46" s="78"/>
      <c r="DAV46" s="78"/>
      <c r="DAW46" s="78"/>
      <c r="DAX46" s="78"/>
      <c r="DAY46" s="78"/>
      <c r="DAZ46" s="78"/>
      <c r="DBA46" s="78"/>
      <c r="DBB46" s="78"/>
      <c r="DBC46" s="78"/>
      <c r="DBD46" s="78"/>
      <c r="DBE46" s="78"/>
      <c r="DBF46" s="78"/>
      <c r="DBG46" s="78"/>
      <c r="DBH46" s="78"/>
      <c r="DBI46" s="78"/>
      <c r="DBJ46" s="78"/>
      <c r="DBK46" s="78"/>
      <c r="DBL46" s="78"/>
      <c r="DBM46" s="78"/>
      <c r="DBN46" s="78"/>
      <c r="DBO46" s="78"/>
      <c r="DBP46" s="78"/>
      <c r="DBQ46" s="78"/>
      <c r="DBR46" s="78"/>
      <c r="DBS46" s="78"/>
      <c r="DBT46" s="78"/>
      <c r="DBU46" s="78"/>
      <c r="DBV46" s="78"/>
      <c r="DBW46" s="78"/>
      <c r="DBX46" s="78"/>
      <c r="DBY46" s="78"/>
      <c r="DBZ46" s="78"/>
      <c r="DCA46" s="78"/>
      <c r="DCB46" s="78"/>
      <c r="DCC46" s="78"/>
      <c r="DCD46" s="78"/>
      <c r="DCE46" s="78"/>
      <c r="DCF46" s="78"/>
      <c r="DCG46" s="78"/>
      <c r="DCH46" s="78"/>
      <c r="DCI46" s="78"/>
      <c r="DCJ46" s="78"/>
      <c r="DCK46" s="78"/>
      <c r="DCL46" s="78"/>
      <c r="DCM46" s="78"/>
      <c r="DCN46" s="78"/>
      <c r="DCO46" s="78"/>
      <c r="DCP46" s="78"/>
      <c r="DCQ46" s="78"/>
      <c r="DCR46" s="78"/>
      <c r="DCS46" s="78"/>
      <c r="DCT46" s="78"/>
      <c r="DCU46" s="78"/>
      <c r="DCV46" s="78"/>
      <c r="DCW46" s="78"/>
      <c r="DCX46" s="78"/>
      <c r="DCY46" s="78"/>
      <c r="DCZ46" s="78"/>
      <c r="DDA46" s="78"/>
      <c r="DDB46" s="78"/>
      <c r="DDC46" s="78"/>
      <c r="DDD46" s="78"/>
      <c r="DDE46" s="78"/>
      <c r="DDF46" s="78"/>
      <c r="DDG46" s="78"/>
      <c r="DDH46" s="78"/>
      <c r="DDI46" s="78"/>
      <c r="DDJ46" s="78"/>
      <c r="DDK46" s="78"/>
      <c r="DDL46" s="78"/>
      <c r="DDM46" s="78"/>
      <c r="DDN46" s="78"/>
      <c r="DDO46" s="78"/>
      <c r="DDP46" s="78"/>
      <c r="DDQ46" s="78"/>
      <c r="DDR46" s="78"/>
      <c r="DDS46" s="78"/>
      <c r="DDT46" s="78"/>
      <c r="DDU46" s="78"/>
      <c r="DDV46" s="78"/>
      <c r="DDW46" s="78"/>
      <c r="DDX46" s="78"/>
      <c r="DDY46" s="78"/>
      <c r="DDZ46" s="78"/>
      <c r="DEA46" s="78"/>
      <c r="DEB46" s="78"/>
      <c r="DEC46" s="78"/>
      <c r="DED46" s="78"/>
      <c r="DEE46" s="78"/>
      <c r="DEF46" s="78"/>
      <c r="DEG46" s="78"/>
      <c r="DEH46" s="78"/>
      <c r="DEI46" s="78"/>
      <c r="DEJ46" s="78"/>
      <c r="DEK46" s="78"/>
      <c r="DEL46" s="78"/>
      <c r="DEM46" s="78"/>
      <c r="DEN46" s="78"/>
      <c r="DEO46" s="78"/>
      <c r="DEP46" s="78"/>
      <c r="DEQ46" s="78"/>
      <c r="DER46" s="78"/>
      <c r="DES46" s="78"/>
      <c r="DET46" s="78"/>
      <c r="DEU46" s="78"/>
      <c r="DEV46" s="78"/>
      <c r="DEW46" s="78"/>
      <c r="DEX46" s="78"/>
      <c r="DEY46" s="78"/>
      <c r="DEZ46" s="78"/>
      <c r="DFA46" s="78"/>
      <c r="DFB46" s="78"/>
      <c r="DFC46" s="78"/>
      <c r="DFD46" s="78"/>
      <c r="DFE46" s="78"/>
      <c r="DFF46" s="78"/>
      <c r="DFG46" s="78"/>
      <c r="DFH46" s="78"/>
      <c r="DFI46" s="78"/>
      <c r="DFJ46" s="78"/>
      <c r="DFK46" s="78"/>
      <c r="DFL46" s="78"/>
      <c r="DFM46" s="78"/>
      <c r="DFN46" s="78"/>
      <c r="DFO46" s="78"/>
      <c r="DFP46" s="78"/>
      <c r="DFQ46" s="78"/>
      <c r="DFR46" s="78"/>
      <c r="DFS46" s="78"/>
      <c r="DFT46" s="78"/>
      <c r="DFU46" s="78"/>
      <c r="DFV46" s="78"/>
      <c r="DFW46" s="78"/>
      <c r="DFX46" s="78"/>
      <c r="DFY46" s="78"/>
      <c r="DFZ46" s="78"/>
      <c r="DGA46" s="78"/>
      <c r="DGB46" s="78"/>
      <c r="DGC46" s="78"/>
      <c r="DGD46" s="78"/>
      <c r="DGE46" s="78"/>
      <c r="DGF46" s="78"/>
      <c r="DGG46" s="78"/>
      <c r="DGH46" s="78"/>
      <c r="DGI46" s="78"/>
      <c r="DGJ46" s="78"/>
      <c r="DGK46" s="78"/>
      <c r="DGL46" s="78"/>
      <c r="DGM46" s="78"/>
      <c r="DGN46" s="78"/>
      <c r="DGO46" s="78"/>
      <c r="DGP46" s="78"/>
      <c r="DGQ46" s="78"/>
      <c r="DGR46" s="78"/>
      <c r="DGS46" s="78"/>
      <c r="DGT46" s="78"/>
      <c r="DGU46" s="78"/>
      <c r="DGV46" s="78"/>
      <c r="DGW46" s="78"/>
      <c r="DGX46" s="78"/>
      <c r="DGY46" s="78"/>
      <c r="DGZ46" s="78"/>
      <c r="DHA46" s="78"/>
      <c r="DHB46" s="78"/>
      <c r="DHC46" s="78"/>
      <c r="DHD46" s="78"/>
      <c r="DHE46" s="78"/>
      <c r="DHF46" s="78"/>
      <c r="DHG46" s="78"/>
      <c r="DHH46" s="78"/>
      <c r="DHI46" s="78"/>
      <c r="DHJ46" s="78"/>
      <c r="DHK46" s="78"/>
      <c r="DHL46" s="78"/>
      <c r="DHM46" s="78"/>
      <c r="DHN46" s="78"/>
      <c r="DHO46" s="78"/>
      <c r="DHP46" s="78"/>
      <c r="DHQ46" s="78"/>
      <c r="DHR46" s="78"/>
      <c r="DHS46" s="78"/>
      <c r="DHT46" s="78"/>
      <c r="DHU46" s="78"/>
      <c r="DHV46" s="78"/>
      <c r="DHW46" s="78"/>
      <c r="DHX46" s="78"/>
      <c r="DHY46" s="78"/>
      <c r="DHZ46" s="78"/>
      <c r="DIA46" s="78"/>
      <c r="DIB46" s="78"/>
      <c r="DIC46" s="78"/>
      <c r="DID46" s="78"/>
      <c r="DIE46" s="78"/>
      <c r="DIF46" s="78"/>
      <c r="DIG46" s="78"/>
      <c r="DIH46" s="78"/>
      <c r="DII46" s="78"/>
      <c r="DIJ46" s="78"/>
      <c r="DIK46" s="78"/>
      <c r="DIL46" s="78"/>
      <c r="DIM46" s="78"/>
      <c r="DIN46" s="78"/>
      <c r="DIO46" s="78"/>
      <c r="DIP46" s="78"/>
      <c r="DIQ46" s="78"/>
      <c r="DIR46" s="78"/>
      <c r="DIS46" s="78"/>
      <c r="DIT46" s="78"/>
      <c r="DIU46" s="78"/>
      <c r="DIV46" s="78"/>
      <c r="DIW46" s="78"/>
      <c r="DIX46" s="78"/>
      <c r="DIY46" s="78"/>
      <c r="DIZ46" s="78"/>
      <c r="DJA46" s="78"/>
      <c r="DJB46" s="78"/>
      <c r="DJC46" s="78"/>
      <c r="DJD46" s="78"/>
      <c r="DJE46" s="78"/>
      <c r="DJF46" s="78"/>
      <c r="DJG46" s="78"/>
      <c r="DJH46" s="78"/>
      <c r="DJI46" s="78"/>
      <c r="DJJ46" s="78"/>
      <c r="DJK46" s="78"/>
      <c r="DJL46" s="78"/>
      <c r="DJM46" s="78"/>
      <c r="DJN46" s="78"/>
      <c r="DJO46" s="78"/>
      <c r="DJP46" s="78"/>
      <c r="DJQ46" s="78"/>
      <c r="DJR46" s="78"/>
      <c r="DJS46" s="78"/>
      <c r="DJT46" s="78"/>
      <c r="DJU46" s="78"/>
      <c r="DJV46" s="78"/>
      <c r="DJW46" s="78"/>
      <c r="DJX46" s="78"/>
      <c r="DJY46" s="78"/>
      <c r="DJZ46" s="78"/>
      <c r="DKA46" s="78"/>
      <c r="DKB46" s="78"/>
      <c r="DKC46" s="78"/>
      <c r="DKD46" s="78"/>
      <c r="DKE46" s="78"/>
      <c r="DKF46" s="78"/>
      <c r="DKG46" s="78"/>
      <c r="DKH46" s="78"/>
      <c r="DKI46" s="78"/>
      <c r="DKJ46" s="78"/>
      <c r="DKK46" s="78"/>
      <c r="DKL46" s="78"/>
      <c r="DKM46" s="78"/>
      <c r="DKN46" s="78"/>
      <c r="DKO46" s="78"/>
      <c r="DKP46" s="78"/>
      <c r="DKQ46" s="78"/>
      <c r="DKR46" s="78"/>
      <c r="DKS46" s="78"/>
      <c r="DKT46" s="78"/>
      <c r="DKU46" s="78"/>
      <c r="DKV46" s="78"/>
      <c r="DKW46" s="78"/>
      <c r="DKX46" s="78"/>
      <c r="DKY46" s="78"/>
      <c r="DKZ46" s="78"/>
      <c r="DLA46" s="78"/>
      <c r="DLB46" s="78"/>
      <c r="DLC46" s="78"/>
      <c r="DLD46" s="78"/>
      <c r="DLE46" s="78"/>
      <c r="DLF46" s="78"/>
      <c r="DLG46" s="78"/>
      <c r="DLH46" s="78"/>
      <c r="DLI46" s="78"/>
      <c r="DLJ46" s="78"/>
      <c r="DLK46" s="78"/>
      <c r="DLL46" s="78"/>
      <c r="DLM46" s="78"/>
      <c r="DLN46" s="78"/>
      <c r="DLO46" s="78"/>
      <c r="DLP46" s="78"/>
      <c r="DLQ46" s="78"/>
      <c r="DLR46" s="78"/>
      <c r="DLS46" s="78"/>
      <c r="DLT46" s="78"/>
      <c r="DLU46" s="78"/>
      <c r="DLV46" s="78"/>
      <c r="DLW46" s="78"/>
      <c r="DLX46" s="78"/>
      <c r="DLY46" s="78"/>
      <c r="DLZ46" s="78"/>
      <c r="DMA46" s="78"/>
      <c r="DMB46" s="78"/>
      <c r="DMC46" s="78"/>
      <c r="DMD46" s="78"/>
      <c r="DME46" s="78"/>
      <c r="DMF46" s="78"/>
      <c r="DMG46" s="78"/>
      <c r="DMH46" s="78"/>
      <c r="DMI46" s="78"/>
      <c r="DMJ46" s="78"/>
      <c r="DMK46" s="78"/>
      <c r="DML46" s="78"/>
      <c r="DMM46" s="78"/>
      <c r="DMN46" s="78"/>
      <c r="DMO46" s="78"/>
      <c r="DMP46" s="78"/>
      <c r="DMQ46" s="78"/>
      <c r="DMR46" s="78"/>
      <c r="DMS46" s="78"/>
      <c r="DMT46" s="78"/>
      <c r="DMU46" s="78"/>
      <c r="DMV46" s="78"/>
      <c r="DMW46" s="78"/>
      <c r="DMX46" s="78"/>
      <c r="DMY46" s="78"/>
      <c r="DMZ46" s="78"/>
      <c r="DNA46" s="78"/>
      <c r="DNB46" s="78"/>
      <c r="DNC46" s="78"/>
      <c r="DND46" s="78"/>
      <c r="DNE46" s="78"/>
      <c r="DNF46" s="78"/>
      <c r="DNG46" s="78"/>
      <c r="DNH46" s="78"/>
      <c r="DNI46" s="78"/>
      <c r="DNJ46" s="78"/>
      <c r="DNK46" s="78"/>
      <c r="DNL46" s="78"/>
      <c r="DNM46" s="78"/>
      <c r="DNN46" s="78"/>
      <c r="DNO46" s="78"/>
      <c r="DNP46" s="78"/>
      <c r="DNQ46" s="78"/>
      <c r="DNR46" s="78"/>
      <c r="DNS46" s="78"/>
      <c r="DNT46" s="78"/>
      <c r="DNU46" s="78"/>
      <c r="DNV46" s="78"/>
      <c r="DNW46" s="78"/>
      <c r="DNX46" s="78"/>
      <c r="DNY46" s="78"/>
      <c r="DNZ46" s="78"/>
      <c r="DOA46" s="78"/>
      <c r="DOB46" s="78"/>
      <c r="DOC46" s="78"/>
      <c r="DOD46" s="78"/>
      <c r="DOE46" s="78"/>
      <c r="DOF46" s="78"/>
      <c r="DOG46" s="78"/>
      <c r="DOH46" s="78"/>
      <c r="DOI46" s="78"/>
      <c r="DOJ46" s="78"/>
      <c r="DOK46" s="78"/>
      <c r="DOL46" s="78"/>
      <c r="DOM46" s="78"/>
      <c r="DON46" s="78"/>
      <c r="DOO46" s="78"/>
      <c r="DOP46" s="78"/>
      <c r="DOQ46" s="78"/>
      <c r="DOR46" s="78"/>
      <c r="DOS46" s="78"/>
      <c r="DOT46" s="78"/>
      <c r="DOU46" s="78"/>
      <c r="DOV46" s="78"/>
      <c r="DOW46" s="78"/>
      <c r="DOX46" s="78"/>
      <c r="DOY46" s="78"/>
      <c r="DOZ46" s="78"/>
      <c r="DPA46" s="78"/>
      <c r="DPB46" s="78"/>
      <c r="DPC46" s="78"/>
      <c r="DPD46" s="78"/>
      <c r="DPE46" s="78"/>
      <c r="DPF46" s="78"/>
      <c r="DPG46" s="78"/>
      <c r="DPH46" s="78"/>
      <c r="DPI46" s="78"/>
      <c r="DPJ46" s="78"/>
      <c r="DPK46" s="78"/>
      <c r="DPL46" s="78"/>
      <c r="DPM46" s="78"/>
      <c r="DPN46" s="78"/>
      <c r="DPO46" s="78"/>
      <c r="DPP46" s="78"/>
      <c r="DPQ46" s="78"/>
      <c r="DPR46" s="78"/>
      <c r="DPS46" s="78"/>
      <c r="DPT46" s="78"/>
      <c r="DPU46" s="78"/>
      <c r="DPV46" s="78"/>
      <c r="DPW46" s="78"/>
      <c r="DPX46" s="78"/>
      <c r="DPY46" s="78"/>
      <c r="DPZ46" s="78"/>
      <c r="DQA46" s="78"/>
      <c r="DQB46" s="78"/>
      <c r="DQC46" s="78"/>
      <c r="DQD46" s="78"/>
      <c r="DQE46" s="78"/>
      <c r="DQF46" s="78"/>
      <c r="DQG46" s="78"/>
      <c r="DQH46" s="78"/>
      <c r="DQI46" s="78"/>
      <c r="DQJ46" s="78"/>
      <c r="DQK46" s="78"/>
      <c r="DQL46" s="78"/>
      <c r="DQM46" s="78"/>
      <c r="DQN46" s="78"/>
      <c r="DQO46" s="78"/>
      <c r="DQP46" s="78"/>
      <c r="DQQ46" s="78"/>
      <c r="DQR46" s="78"/>
      <c r="DQS46" s="78"/>
      <c r="DQT46" s="78"/>
      <c r="DQU46" s="78"/>
      <c r="DQV46" s="78"/>
      <c r="DQW46" s="78"/>
      <c r="DQX46" s="78"/>
      <c r="DQY46" s="78"/>
      <c r="DQZ46" s="78"/>
      <c r="DRA46" s="78"/>
      <c r="DRB46" s="78"/>
      <c r="DRC46" s="78"/>
      <c r="DRD46" s="78"/>
      <c r="DRE46" s="78"/>
      <c r="DRF46" s="78"/>
      <c r="DRG46" s="78"/>
      <c r="DRH46" s="78"/>
      <c r="DRI46" s="78"/>
      <c r="DRJ46" s="78"/>
      <c r="DRK46" s="78"/>
      <c r="DRL46" s="78"/>
      <c r="DRM46" s="78"/>
      <c r="DRN46" s="78"/>
      <c r="DRO46" s="78"/>
      <c r="DRP46" s="78"/>
      <c r="DRQ46" s="78"/>
      <c r="DRR46" s="78"/>
      <c r="DRS46" s="78"/>
      <c r="DRT46" s="78"/>
      <c r="DRU46" s="78"/>
      <c r="DRV46" s="78"/>
      <c r="DRW46" s="78"/>
      <c r="DRX46" s="78"/>
      <c r="DRY46" s="78"/>
      <c r="DRZ46" s="78"/>
      <c r="DSA46" s="78"/>
      <c r="DSB46" s="78"/>
      <c r="DSC46" s="78"/>
      <c r="DSD46" s="78"/>
      <c r="DSE46" s="78"/>
      <c r="DSF46" s="78"/>
      <c r="DSG46" s="78"/>
      <c r="DSH46" s="78"/>
      <c r="DSI46" s="78"/>
      <c r="DSJ46" s="78"/>
      <c r="DSK46" s="78"/>
      <c r="DSL46" s="78"/>
      <c r="DSM46" s="78"/>
      <c r="DSN46" s="78"/>
      <c r="DSO46" s="78"/>
      <c r="DSP46" s="78"/>
      <c r="DSQ46" s="78"/>
      <c r="DSR46" s="78"/>
      <c r="DSS46" s="78"/>
      <c r="DST46" s="78"/>
      <c r="DSU46" s="78"/>
      <c r="DSV46" s="78"/>
      <c r="DSW46" s="78"/>
      <c r="DSX46" s="78"/>
      <c r="DSY46" s="78"/>
      <c r="DSZ46" s="78"/>
      <c r="DTA46" s="78"/>
      <c r="DTB46" s="78"/>
      <c r="DTC46" s="78"/>
      <c r="DTD46" s="78"/>
      <c r="DTE46" s="78"/>
      <c r="DTF46" s="78"/>
      <c r="DTG46" s="78"/>
      <c r="DTH46" s="78"/>
      <c r="DTI46" s="78"/>
      <c r="DTJ46" s="78"/>
      <c r="DTK46" s="78"/>
      <c r="DTL46" s="78"/>
      <c r="DTM46" s="78"/>
      <c r="DTN46" s="78"/>
      <c r="DTO46" s="78"/>
      <c r="DTP46" s="78"/>
      <c r="DTQ46" s="78"/>
      <c r="DTR46" s="78"/>
      <c r="DTS46" s="78"/>
      <c r="DTT46" s="78"/>
      <c r="DTU46" s="78"/>
      <c r="DTV46" s="78"/>
      <c r="DTW46" s="78"/>
      <c r="DTX46" s="78"/>
      <c r="DTY46" s="78"/>
      <c r="DTZ46" s="78"/>
      <c r="DUA46" s="78"/>
      <c r="DUB46" s="78"/>
      <c r="DUC46" s="78"/>
      <c r="DUD46" s="78"/>
      <c r="DUE46" s="78"/>
      <c r="DUF46" s="78"/>
      <c r="DUG46" s="78"/>
      <c r="DUH46" s="78"/>
      <c r="DUI46" s="78"/>
      <c r="DUJ46" s="78"/>
      <c r="DUK46" s="78"/>
      <c r="DUL46" s="78"/>
      <c r="DUM46" s="78"/>
      <c r="DUN46" s="78"/>
      <c r="DUO46" s="78"/>
      <c r="DUP46" s="78"/>
      <c r="DUQ46" s="78"/>
      <c r="DUR46" s="78"/>
      <c r="DUS46" s="78"/>
      <c r="DUT46" s="78"/>
      <c r="DUU46" s="78"/>
      <c r="DUV46" s="78"/>
      <c r="DUW46" s="78"/>
      <c r="DUX46" s="78"/>
      <c r="DUY46" s="78"/>
      <c r="DUZ46" s="78"/>
      <c r="DVA46" s="78"/>
      <c r="DVB46" s="78"/>
      <c r="DVC46" s="78"/>
      <c r="DVD46" s="78"/>
      <c r="DVE46" s="78"/>
      <c r="DVF46" s="78"/>
      <c r="DVG46" s="78"/>
      <c r="DVH46" s="78"/>
      <c r="DVI46" s="78"/>
      <c r="DVJ46" s="78"/>
      <c r="DVK46" s="78"/>
      <c r="DVL46" s="78"/>
      <c r="DVM46" s="78"/>
      <c r="DVN46" s="78"/>
      <c r="DVO46" s="78"/>
      <c r="DVP46" s="78"/>
      <c r="DVQ46" s="78"/>
      <c r="DVR46" s="78"/>
      <c r="DVS46" s="78"/>
      <c r="DVT46" s="78"/>
      <c r="DVU46" s="78"/>
      <c r="DVV46" s="78"/>
      <c r="DVW46" s="78"/>
      <c r="DVX46" s="78"/>
      <c r="DVY46" s="78"/>
      <c r="DVZ46" s="78"/>
      <c r="DWA46" s="78"/>
      <c r="DWB46" s="78"/>
      <c r="DWC46" s="78"/>
      <c r="DWD46" s="78"/>
      <c r="DWE46" s="78"/>
      <c r="DWF46" s="78"/>
      <c r="DWG46" s="78"/>
      <c r="DWH46" s="78"/>
      <c r="DWI46" s="78"/>
      <c r="DWJ46" s="78"/>
      <c r="DWK46" s="78"/>
      <c r="DWL46" s="78"/>
      <c r="DWM46" s="78"/>
      <c r="DWN46" s="78"/>
      <c r="DWO46" s="78"/>
      <c r="DWP46" s="78"/>
      <c r="DWQ46" s="78"/>
      <c r="DWR46" s="78"/>
      <c r="DWS46" s="78"/>
      <c r="DWT46" s="78"/>
      <c r="DWU46" s="78"/>
      <c r="DWV46" s="78"/>
      <c r="DWW46" s="78"/>
      <c r="DWX46" s="78"/>
      <c r="DWY46" s="78"/>
      <c r="DWZ46" s="78"/>
      <c r="DXA46" s="78"/>
      <c r="DXB46" s="78"/>
      <c r="DXC46" s="78"/>
      <c r="DXD46" s="78"/>
      <c r="DXE46" s="78"/>
      <c r="DXF46" s="78"/>
      <c r="DXG46" s="78"/>
      <c r="DXH46" s="78"/>
      <c r="DXI46" s="78"/>
      <c r="DXJ46" s="78"/>
      <c r="DXK46" s="78"/>
      <c r="DXL46" s="78"/>
      <c r="DXM46" s="78"/>
      <c r="DXN46" s="78"/>
      <c r="DXO46" s="78"/>
      <c r="DXP46" s="78"/>
      <c r="DXQ46" s="78"/>
      <c r="DXR46" s="78"/>
      <c r="DXS46" s="78"/>
      <c r="DXT46" s="78"/>
      <c r="DXU46" s="78"/>
      <c r="DXV46" s="78"/>
      <c r="DXW46" s="78"/>
      <c r="DXX46" s="78"/>
      <c r="DXY46" s="78"/>
      <c r="DXZ46" s="78"/>
      <c r="DYA46" s="78"/>
      <c r="DYB46" s="78"/>
      <c r="DYC46" s="78"/>
      <c r="DYD46" s="78"/>
      <c r="DYE46" s="78"/>
      <c r="DYF46" s="78"/>
      <c r="DYG46" s="78"/>
      <c r="DYH46" s="78"/>
      <c r="DYI46" s="78"/>
      <c r="DYJ46" s="78"/>
      <c r="DYK46" s="78"/>
      <c r="DYL46" s="78"/>
      <c r="DYM46" s="78"/>
      <c r="DYN46" s="78"/>
      <c r="DYO46" s="78"/>
      <c r="DYP46" s="78"/>
      <c r="DYQ46" s="78"/>
      <c r="DYR46" s="78"/>
      <c r="DYS46" s="78"/>
      <c r="DYT46" s="78"/>
      <c r="DYU46" s="78"/>
      <c r="DYV46" s="78"/>
      <c r="DYW46" s="78"/>
      <c r="DYX46" s="78"/>
      <c r="DYY46" s="78"/>
      <c r="DYZ46" s="78"/>
      <c r="DZA46" s="78"/>
      <c r="DZB46" s="78"/>
      <c r="DZC46" s="78"/>
      <c r="DZD46" s="78"/>
      <c r="DZE46" s="78"/>
      <c r="DZF46" s="78"/>
      <c r="DZG46" s="78"/>
      <c r="DZH46" s="78"/>
      <c r="DZI46" s="78"/>
      <c r="DZJ46" s="78"/>
      <c r="DZK46" s="78"/>
      <c r="DZL46" s="78"/>
      <c r="DZM46" s="78"/>
      <c r="DZN46" s="78"/>
      <c r="DZO46" s="78"/>
      <c r="DZP46" s="78"/>
      <c r="DZQ46" s="78"/>
      <c r="DZR46" s="78"/>
      <c r="DZS46" s="78"/>
      <c r="DZT46" s="78"/>
      <c r="DZU46" s="78"/>
      <c r="DZV46" s="78"/>
      <c r="DZW46" s="78"/>
      <c r="DZX46" s="78"/>
      <c r="DZY46" s="78"/>
      <c r="DZZ46" s="78"/>
      <c r="EAA46" s="78"/>
      <c r="EAB46" s="78"/>
      <c r="EAC46" s="78"/>
      <c r="EAD46" s="78"/>
      <c r="EAE46" s="78"/>
      <c r="EAF46" s="78"/>
      <c r="EAG46" s="78"/>
      <c r="EAH46" s="78"/>
      <c r="EAI46" s="78"/>
      <c r="EAJ46" s="78"/>
      <c r="EAK46" s="78"/>
      <c r="EAL46" s="78"/>
      <c r="EAM46" s="78"/>
      <c r="EAN46" s="78"/>
      <c r="EAO46" s="78"/>
      <c r="EAP46" s="78"/>
      <c r="EAQ46" s="78"/>
      <c r="EAR46" s="78"/>
      <c r="EAS46" s="78"/>
      <c r="EAT46" s="78"/>
      <c r="EAU46" s="78"/>
      <c r="EAV46" s="78"/>
      <c r="EAW46" s="78"/>
      <c r="EAX46" s="78"/>
      <c r="EAY46" s="78"/>
      <c r="EAZ46" s="78"/>
      <c r="EBA46" s="78"/>
      <c r="EBB46" s="78"/>
      <c r="EBC46" s="78"/>
      <c r="EBD46" s="78"/>
      <c r="EBE46" s="78"/>
      <c r="EBF46" s="78"/>
      <c r="EBG46" s="78"/>
      <c r="EBH46" s="78"/>
      <c r="EBI46" s="78"/>
      <c r="EBJ46" s="78"/>
      <c r="EBK46" s="78"/>
      <c r="EBL46" s="78"/>
      <c r="EBM46" s="78"/>
      <c r="EBN46" s="78"/>
      <c r="EBO46" s="78"/>
      <c r="EBP46" s="78"/>
      <c r="EBQ46" s="78"/>
      <c r="EBR46" s="78"/>
      <c r="EBS46" s="78"/>
      <c r="EBT46" s="78"/>
      <c r="EBU46" s="78"/>
      <c r="EBV46" s="78"/>
      <c r="EBW46" s="78"/>
      <c r="EBX46" s="78"/>
      <c r="EBY46" s="78"/>
      <c r="EBZ46" s="78"/>
      <c r="ECA46" s="78"/>
      <c r="ECB46" s="78"/>
      <c r="ECC46" s="78"/>
      <c r="ECD46" s="78"/>
      <c r="ECE46" s="78"/>
      <c r="ECF46" s="78"/>
      <c r="ECG46" s="78"/>
      <c r="ECH46" s="78"/>
      <c r="ECI46" s="78"/>
      <c r="ECJ46" s="78"/>
      <c r="ECK46" s="78"/>
      <c r="ECL46" s="78"/>
      <c r="ECM46" s="78"/>
      <c r="ECN46" s="78"/>
      <c r="ECO46" s="78"/>
      <c r="ECP46" s="78"/>
      <c r="ECQ46" s="78"/>
      <c r="ECR46" s="78"/>
      <c r="ECS46" s="78"/>
      <c r="ECT46" s="78"/>
      <c r="ECU46" s="78"/>
      <c r="ECV46" s="78"/>
      <c r="ECW46" s="78"/>
      <c r="ECX46" s="78"/>
      <c r="ECY46" s="78"/>
      <c r="ECZ46" s="78"/>
      <c r="EDA46" s="78"/>
      <c r="EDB46" s="78"/>
      <c r="EDC46" s="78"/>
      <c r="EDD46" s="78"/>
      <c r="EDE46" s="78"/>
      <c r="EDF46" s="78"/>
      <c r="EDG46" s="78"/>
      <c r="EDH46" s="78"/>
      <c r="EDI46" s="78"/>
      <c r="EDJ46" s="78"/>
      <c r="EDK46" s="78"/>
      <c r="EDL46" s="78"/>
      <c r="EDM46" s="78"/>
      <c r="EDN46" s="78"/>
      <c r="EDO46" s="78"/>
      <c r="EDP46" s="78"/>
      <c r="EDQ46" s="78"/>
      <c r="EDR46" s="78"/>
      <c r="EDS46" s="78"/>
      <c r="EDT46" s="78"/>
      <c r="EDU46" s="78"/>
      <c r="EDV46" s="78"/>
      <c r="EDW46" s="78"/>
      <c r="EDX46" s="78"/>
      <c r="EDY46" s="78"/>
      <c r="EDZ46" s="78"/>
      <c r="EEA46" s="78"/>
      <c r="EEB46" s="78"/>
      <c r="EEC46" s="78"/>
      <c r="EED46" s="78"/>
      <c r="EEE46" s="78"/>
      <c r="EEF46" s="78"/>
      <c r="EEG46" s="78"/>
      <c r="EEH46" s="78"/>
      <c r="EEI46" s="78"/>
      <c r="EEJ46" s="78"/>
      <c r="EEK46" s="78"/>
      <c r="EEL46" s="78"/>
      <c r="EEM46" s="78"/>
      <c r="EEN46" s="78"/>
      <c r="EEO46" s="78"/>
      <c r="EEP46" s="78"/>
      <c r="EEQ46" s="78"/>
      <c r="EER46" s="78"/>
      <c r="EES46" s="78"/>
      <c r="EET46" s="78"/>
      <c r="EEU46" s="78"/>
      <c r="EEV46" s="78"/>
      <c r="EEW46" s="78"/>
      <c r="EEX46" s="78"/>
      <c r="EEY46" s="78"/>
      <c r="EEZ46" s="78"/>
      <c r="EFA46" s="78"/>
      <c r="EFB46" s="78"/>
      <c r="EFC46" s="78"/>
      <c r="EFD46" s="78"/>
      <c r="EFE46" s="78"/>
      <c r="EFF46" s="78"/>
      <c r="EFG46" s="78"/>
      <c r="EFH46" s="78"/>
      <c r="EFI46" s="78"/>
      <c r="EFJ46" s="78"/>
      <c r="EFK46" s="78"/>
      <c r="EFL46" s="78"/>
      <c r="EFM46" s="78"/>
      <c r="EFN46" s="78"/>
      <c r="EFO46" s="78"/>
      <c r="EFP46" s="78"/>
      <c r="EFQ46" s="78"/>
      <c r="EFR46" s="78"/>
      <c r="EFS46" s="78"/>
      <c r="EFT46" s="78"/>
      <c r="EFU46" s="78"/>
      <c r="EFV46" s="78"/>
      <c r="EFW46" s="78"/>
      <c r="EFX46" s="78"/>
      <c r="EFY46" s="78"/>
      <c r="EFZ46" s="78"/>
      <c r="EGA46" s="78"/>
      <c r="EGB46" s="78"/>
      <c r="EGC46" s="78"/>
      <c r="EGD46" s="78"/>
      <c r="EGE46" s="78"/>
      <c r="EGF46" s="78"/>
      <c r="EGG46" s="78"/>
      <c r="EGH46" s="78"/>
      <c r="EGI46" s="78"/>
      <c r="EGJ46" s="78"/>
      <c r="EGK46" s="78"/>
      <c r="EGL46" s="78"/>
      <c r="EGM46" s="78"/>
      <c r="EGN46" s="78"/>
      <c r="EGO46" s="78"/>
      <c r="EGP46" s="78"/>
      <c r="EGQ46" s="78"/>
      <c r="EGR46" s="78"/>
      <c r="EGS46" s="78"/>
      <c r="EGT46" s="78"/>
      <c r="EGU46" s="78"/>
      <c r="EGV46" s="78"/>
      <c r="EGW46" s="78"/>
      <c r="EGX46" s="78"/>
      <c r="EGY46" s="78"/>
      <c r="EGZ46" s="78"/>
      <c r="EHA46" s="78"/>
      <c r="EHB46" s="78"/>
      <c r="EHC46" s="78"/>
      <c r="EHD46" s="78"/>
      <c r="EHE46" s="78"/>
      <c r="EHF46" s="78"/>
      <c r="EHG46" s="78"/>
      <c r="EHH46" s="78"/>
      <c r="EHI46" s="78"/>
      <c r="EHJ46" s="78"/>
      <c r="EHK46" s="78"/>
      <c r="EHL46" s="78"/>
      <c r="EHM46" s="78"/>
      <c r="EHN46" s="78"/>
      <c r="EHO46" s="78"/>
      <c r="EHP46" s="78"/>
      <c r="EHQ46" s="78"/>
      <c r="EHR46" s="78"/>
      <c r="EHS46" s="78"/>
      <c r="EHT46" s="78"/>
      <c r="EHU46" s="78"/>
      <c r="EHV46" s="78"/>
      <c r="EHW46" s="78"/>
      <c r="EHX46" s="78"/>
      <c r="EHY46" s="78"/>
      <c r="EHZ46" s="78"/>
      <c r="EIA46" s="78"/>
      <c r="EIB46" s="78"/>
      <c r="EIC46" s="78"/>
      <c r="EID46" s="78"/>
      <c r="EIE46" s="78"/>
      <c r="EIF46" s="78"/>
      <c r="EIG46" s="78"/>
      <c r="EIH46" s="78"/>
      <c r="EII46" s="78"/>
      <c r="EIJ46" s="78"/>
      <c r="EIK46" s="78"/>
      <c r="EIL46" s="78"/>
      <c r="EIM46" s="78"/>
      <c r="EIN46" s="78"/>
      <c r="EIO46" s="78"/>
      <c r="EIP46" s="78"/>
      <c r="EIQ46" s="78"/>
      <c r="EIR46" s="78"/>
      <c r="EIS46" s="78"/>
      <c r="EIT46" s="78"/>
      <c r="EIU46" s="78"/>
      <c r="EIV46" s="78"/>
      <c r="EIW46" s="78"/>
      <c r="EIX46" s="78"/>
      <c r="EIY46" s="78"/>
      <c r="EIZ46" s="78"/>
      <c r="EJA46" s="78"/>
      <c r="EJB46" s="78"/>
      <c r="EJC46" s="78"/>
      <c r="EJD46" s="78"/>
      <c r="EJE46" s="78"/>
      <c r="EJF46" s="78"/>
      <c r="EJG46" s="78"/>
      <c r="EJH46" s="78"/>
      <c r="EJI46" s="78"/>
      <c r="EJJ46" s="78"/>
      <c r="EJK46" s="78"/>
      <c r="EJL46" s="78"/>
      <c r="EJM46" s="78"/>
      <c r="EJN46" s="78"/>
      <c r="EJO46" s="78"/>
      <c r="EJP46" s="78"/>
      <c r="EJQ46" s="78"/>
      <c r="EJR46" s="78"/>
      <c r="EJS46" s="78"/>
      <c r="EJT46" s="78"/>
      <c r="EJU46" s="78"/>
      <c r="EJV46" s="78"/>
      <c r="EJW46" s="78"/>
      <c r="EJX46" s="78"/>
      <c r="EJY46" s="78"/>
      <c r="EJZ46" s="78"/>
      <c r="EKA46" s="78"/>
      <c r="EKB46" s="78"/>
      <c r="EKC46" s="78"/>
      <c r="EKD46" s="78"/>
      <c r="EKE46" s="78"/>
      <c r="EKF46" s="78"/>
      <c r="EKG46" s="78"/>
      <c r="EKH46" s="78"/>
      <c r="EKI46" s="78"/>
      <c r="EKJ46" s="78"/>
      <c r="EKK46" s="78"/>
      <c r="EKL46" s="78"/>
      <c r="EKM46" s="78"/>
      <c r="EKN46" s="78"/>
      <c r="EKO46" s="78"/>
      <c r="EKP46" s="78"/>
      <c r="EKQ46" s="78"/>
      <c r="EKR46" s="78"/>
      <c r="EKS46" s="78"/>
      <c r="EKT46" s="78"/>
      <c r="EKU46" s="78"/>
      <c r="EKV46" s="78"/>
      <c r="EKW46" s="78"/>
      <c r="EKX46" s="78"/>
      <c r="EKY46" s="78"/>
      <c r="EKZ46" s="78"/>
      <c r="ELA46" s="78"/>
      <c r="ELB46" s="78"/>
      <c r="ELC46" s="78"/>
      <c r="ELD46" s="78"/>
      <c r="ELE46" s="78"/>
      <c r="ELF46" s="78"/>
      <c r="ELG46" s="78"/>
      <c r="ELH46" s="78"/>
      <c r="ELI46" s="78"/>
      <c r="ELJ46" s="78"/>
      <c r="ELK46" s="78"/>
      <c r="ELL46" s="78"/>
      <c r="ELM46" s="78"/>
      <c r="ELN46" s="78"/>
      <c r="ELO46" s="78"/>
      <c r="ELP46" s="78"/>
      <c r="ELQ46" s="78"/>
      <c r="ELR46" s="78"/>
      <c r="ELS46" s="78"/>
      <c r="ELT46" s="78"/>
      <c r="ELU46" s="78"/>
      <c r="ELV46" s="78"/>
      <c r="ELW46" s="78"/>
      <c r="ELX46" s="78"/>
      <c r="ELY46" s="78"/>
      <c r="ELZ46" s="78"/>
      <c r="EMA46" s="78"/>
      <c r="EMB46" s="78"/>
      <c r="EMC46" s="78"/>
      <c r="EMD46" s="78"/>
      <c r="EME46" s="78"/>
      <c r="EMF46" s="78"/>
      <c r="EMG46" s="78"/>
      <c r="EMH46" s="78"/>
      <c r="EMI46" s="78"/>
      <c r="EMJ46" s="78"/>
      <c r="EMK46" s="78"/>
      <c r="EML46" s="78"/>
      <c r="EMM46" s="78"/>
      <c r="EMN46" s="78"/>
      <c r="EMO46" s="78"/>
      <c r="EMP46" s="78"/>
      <c r="EMQ46" s="78"/>
      <c r="EMR46" s="78"/>
      <c r="EMS46" s="78"/>
      <c r="EMT46" s="78"/>
      <c r="EMU46" s="78"/>
      <c r="EMV46" s="78"/>
      <c r="EMW46" s="78"/>
      <c r="EMX46" s="78"/>
      <c r="EMY46" s="78"/>
      <c r="EMZ46" s="78"/>
      <c r="ENA46" s="78"/>
      <c r="ENB46" s="78"/>
      <c r="ENC46" s="78"/>
      <c r="END46" s="78"/>
      <c r="ENE46" s="78"/>
      <c r="ENF46" s="78"/>
      <c r="ENG46" s="78"/>
      <c r="ENH46" s="78"/>
      <c r="ENI46" s="78"/>
      <c r="ENJ46" s="78"/>
      <c r="ENK46" s="78"/>
      <c r="ENL46" s="78"/>
      <c r="ENM46" s="78"/>
      <c r="ENN46" s="78"/>
      <c r="ENO46" s="78"/>
      <c r="ENP46" s="78"/>
      <c r="ENQ46" s="78"/>
      <c r="ENR46" s="78"/>
      <c r="ENS46" s="78"/>
      <c r="ENT46" s="78"/>
      <c r="ENU46" s="78"/>
      <c r="ENV46" s="78"/>
      <c r="ENW46" s="78"/>
      <c r="ENX46" s="78"/>
      <c r="ENY46" s="78"/>
      <c r="ENZ46" s="78"/>
      <c r="EOA46" s="78"/>
      <c r="EOB46" s="78"/>
      <c r="EOC46" s="78"/>
      <c r="EOD46" s="78"/>
      <c r="EOE46" s="78"/>
      <c r="EOF46" s="78"/>
      <c r="EOG46" s="78"/>
      <c r="EOH46" s="78"/>
      <c r="EOI46" s="78"/>
      <c r="EOJ46" s="78"/>
      <c r="EOK46" s="78"/>
      <c r="EOL46" s="78"/>
      <c r="EOM46" s="78"/>
      <c r="EON46" s="78"/>
      <c r="EOO46" s="78"/>
      <c r="EOP46" s="78"/>
      <c r="EOQ46" s="78"/>
      <c r="EOR46" s="78"/>
      <c r="EOS46" s="78"/>
      <c r="EOT46" s="78"/>
      <c r="EOU46" s="78"/>
      <c r="EOV46" s="78"/>
      <c r="EOW46" s="78"/>
      <c r="EOX46" s="78"/>
      <c r="EOY46" s="78"/>
      <c r="EOZ46" s="78"/>
      <c r="EPA46" s="78"/>
      <c r="EPB46" s="78"/>
      <c r="EPC46" s="78"/>
      <c r="EPD46" s="78"/>
      <c r="EPE46" s="78"/>
      <c r="EPF46" s="78"/>
      <c r="EPG46" s="78"/>
      <c r="EPH46" s="78"/>
      <c r="EPI46" s="78"/>
      <c r="EPJ46" s="78"/>
      <c r="EPK46" s="78"/>
      <c r="EPL46" s="78"/>
      <c r="EPM46" s="78"/>
      <c r="EPN46" s="78"/>
      <c r="EPO46" s="78"/>
      <c r="EPP46" s="78"/>
      <c r="EPQ46" s="78"/>
      <c r="EPR46" s="78"/>
      <c r="EPS46" s="78"/>
      <c r="EPT46" s="78"/>
      <c r="EPU46" s="78"/>
      <c r="EPV46" s="78"/>
      <c r="EPW46" s="78"/>
      <c r="EPX46" s="78"/>
      <c r="EPY46" s="78"/>
      <c r="EPZ46" s="78"/>
      <c r="EQA46" s="78"/>
      <c r="EQB46" s="78"/>
      <c r="EQC46" s="78"/>
      <c r="EQD46" s="78"/>
      <c r="EQE46" s="78"/>
      <c r="EQF46" s="78"/>
      <c r="EQG46" s="78"/>
      <c r="EQH46" s="78"/>
      <c r="EQI46" s="78"/>
      <c r="EQJ46" s="78"/>
      <c r="EQK46" s="78"/>
      <c r="EQL46" s="78"/>
      <c r="EQM46" s="78"/>
      <c r="EQN46" s="78"/>
      <c r="EQO46" s="78"/>
      <c r="EQP46" s="78"/>
      <c r="EQQ46" s="78"/>
      <c r="EQR46" s="78"/>
      <c r="EQS46" s="78"/>
      <c r="EQT46" s="78"/>
      <c r="EQU46" s="78"/>
      <c r="EQV46" s="78"/>
      <c r="EQW46" s="78"/>
      <c r="EQX46" s="78"/>
      <c r="EQY46" s="78"/>
      <c r="EQZ46" s="78"/>
      <c r="ERA46" s="78"/>
      <c r="ERB46" s="78"/>
      <c r="ERC46" s="78"/>
      <c r="ERD46" s="78"/>
      <c r="ERE46" s="78"/>
      <c r="ERF46" s="78"/>
      <c r="ERG46" s="78"/>
      <c r="ERH46" s="78"/>
      <c r="ERI46" s="78"/>
      <c r="ERJ46" s="78"/>
      <c r="ERK46" s="78"/>
      <c r="ERL46" s="78"/>
      <c r="ERM46" s="78"/>
      <c r="ERN46" s="78"/>
      <c r="ERO46" s="78"/>
      <c r="ERP46" s="78"/>
      <c r="ERQ46" s="78"/>
      <c r="ERR46" s="78"/>
      <c r="ERS46" s="78"/>
      <c r="ERT46" s="78"/>
      <c r="ERU46" s="78"/>
      <c r="ERV46" s="78"/>
      <c r="ERW46" s="78"/>
      <c r="ERX46" s="78"/>
      <c r="ERY46" s="78"/>
      <c r="ERZ46" s="78"/>
      <c r="ESA46" s="78"/>
      <c r="ESB46" s="78"/>
      <c r="ESC46" s="78"/>
      <c r="ESD46" s="78"/>
      <c r="ESE46" s="78"/>
      <c r="ESF46" s="78"/>
      <c r="ESG46" s="78"/>
      <c r="ESH46" s="78"/>
      <c r="ESI46" s="78"/>
      <c r="ESJ46" s="78"/>
      <c r="ESK46" s="78"/>
      <c r="ESL46" s="78"/>
      <c r="ESM46" s="78"/>
      <c r="ESN46" s="78"/>
      <c r="ESO46" s="78"/>
      <c r="ESP46" s="78"/>
      <c r="ESQ46" s="78"/>
      <c r="ESR46" s="78"/>
      <c r="ESS46" s="78"/>
      <c r="EST46" s="78"/>
      <c r="ESU46" s="78"/>
      <c r="ESV46" s="78"/>
      <c r="ESW46" s="78"/>
      <c r="ESX46" s="78"/>
      <c r="ESY46" s="78"/>
      <c r="ESZ46" s="78"/>
      <c r="ETA46" s="78"/>
      <c r="ETB46" s="78"/>
      <c r="ETC46" s="78"/>
      <c r="ETD46" s="78"/>
      <c r="ETE46" s="78"/>
      <c r="ETF46" s="78"/>
      <c r="ETG46" s="78"/>
      <c r="ETH46" s="78"/>
      <c r="ETI46" s="78"/>
      <c r="ETJ46" s="78"/>
      <c r="ETK46" s="78"/>
      <c r="ETL46" s="78"/>
      <c r="ETM46" s="78"/>
      <c r="ETN46" s="78"/>
      <c r="ETO46" s="78"/>
      <c r="ETP46" s="78"/>
      <c r="ETQ46" s="78"/>
      <c r="ETR46" s="78"/>
      <c r="ETS46" s="78"/>
      <c r="ETT46" s="78"/>
      <c r="ETU46" s="78"/>
      <c r="ETV46" s="78"/>
      <c r="ETW46" s="78"/>
      <c r="ETX46" s="78"/>
      <c r="ETY46" s="78"/>
      <c r="ETZ46" s="78"/>
      <c r="EUA46" s="78"/>
      <c r="EUB46" s="78"/>
      <c r="EUC46" s="78"/>
      <c r="EUD46" s="78"/>
      <c r="EUE46" s="78"/>
      <c r="EUF46" s="78"/>
      <c r="EUG46" s="78"/>
      <c r="EUH46" s="78"/>
      <c r="EUI46" s="78"/>
      <c r="EUJ46" s="78"/>
      <c r="EUK46" s="78"/>
      <c r="EUL46" s="78"/>
      <c r="EUM46" s="78"/>
      <c r="EUN46" s="78"/>
      <c r="EUO46" s="78"/>
      <c r="EUP46" s="78"/>
      <c r="EUQ46" s="78"/>
      <c r="EUR46" s="78"/>
      <c r="EUS46" s="78"/>
      <c r="EUT46" s="78"/>
      <c r="EUU46" s="78"/>
      <c r="EUV46" s="78"/>
      <c r="EUW46" s="78"/>
      <c r="EUX46" s="78"/>
      <c r="EUY46" s="78"/>
      <c r="EUZ46" s="78"/>
      <c r="EVA46" s="78"/>
      <c r="EVB46" s="78"/>
      <c r="EVC46" s="78"/>
      <c r="EVD46" s="78"/>
      <c r="EVE46" s="78"/>
      <c r="EVF46" s="78"/>
      <c r="EVG46" s="78"/>
      <c r="EVH46" s="78"/>
      <c r="EVI46" s="78"/>
      <c r="EVJ46" s="78"/>
      <c r="EVK46" s="78"/>
      <c r="EVL46" s="78"/>
      <c r="EVM46" s="78"/>
      <c r="EVN46" s="78"/>
      <c r="EVO46" s="78"/>
      <c r="EVP46" s="78"/>
      <c r="EVQ46" s="78"/>
      <c r="EVR46" s="78"/>
      <c r="EVS46" s="78"/>
      <c r="EVT46" s="78"/>
      <c r="EVU46" s="78"/>
      <c r="EVV46" s="78"/>
      <c r="EVW46" s="78"/>
      <c r="EVX46" s="78"/>
      <c r="EVY46" s="78"/>
      <c r="EVZ46" s="78"/>
      <c r="EWA46" s="78"/>
      <c r="EWB46" s="78"/>
      <c r="EWC46" s="78"/>
      <c r="EWD46" s="78"/>
      <c r="EWE46" s="78"/>
      <c r="EWF46" s="78"/>
      <c r="EWG46" s="78"/>
      <c r="EWH46" s="78"/>
      <c r="EWI46" s="78"/>
      <c r="EWJ46" s="78"/>
      <c r="EWK46" s="78"/>
      <c r="EWL46" s="78"/>
      <c r="EWM46" s="78"/>
      <c r="EWN46" s="78"/>
      <c r="EWO46" s="78"/>
      <c r="EWP46" s="78"/>
      <c r="EWQ46" s="78"/>
      <c r="EWR46" s="78"/>
      <c r="EWS46" s="78"/>
      <c r="EWT46" s="78"/>
      <c r="EWU46" s="78"/>
      <c r="EWV46" s="78"/>
      <c r="EWW46" s="78"/>
      <c r="EWX46" s="78"/>
      <c r="EWY46" s="78"/>
      <c r="EWZ46" s="78"/>
      <c r="EXA46" s="78"/>
      <c r="EXB46" s="78"/>
      <c r="EXC46" s="78"/>
      <c r="EXD46" s="78"/>
      <c r="EXE46" s="78"/>
      <c r="EXF46" s="78"/>
      <c r="EXG46" s="78"/>
      <c r="EXH46" s="78"/>
      <c r="EXI46" s="78"/>
      <c r="EXJ46" s="78"/>
      <c r="EXK46" s="78"/>
      <c r="EXL46" s="78"/>
      <c r="EXM46" s="78"/>
      <c r="EXN46" s="78"/>
      <c r="EXO46" s="78"/>
      <c r="EXP46" s="78"/>
      <c r="EXQ46" s="78"/>
      <c r="EXR46" s="78"/>
      <c r="EXS46" s="78"/>
      <c r="EXT46" s="78"/>
      <c r="EXU46" s="78"/>
      <c r="EXV46" s="78"/>
      <c r="EXW46" s="78"/>
      <c r="EXX46" s="78"/>
      <c r="EXY46" s="78"/>
      <c r="EXZ46" s="78"/>
      <c r="EYA46" s="78"/>
      <c r="EYB46" s="78"/>
      <c r="EYC46" s="78"/>
      <c r="EYD46" s="78"/>
      <c r="EYE46" s="78"/>
      <c r="EYF46" s="78"/>
      <c r="EYG46" s="78"/>
      <c r="EYH46" s="78"/>
      <c r="EYI46" s="78"/>
      <c r="EYJ46" s="78"/>
      <c r="EYK46" s="78"/>
      <c r="EYL46" s="78"/>
      <c r="EYM46" s="78"/>
      <c r="EYN46" s="78"/>
      <c r="EYO46" s="78"/>
      <c r="EYP46" s="78"/>
      <c r="EYQ46" s="78"/>
      <c r="EYR46" s="78"/>
      <c r="EYS46" s="78"/>
      <c r="EYT46" s="78"/>
      <c r="EYU46" s="78"/>
      <c r="EYV46" s="78"/>
      <c r="EYW46" s="78"/>
      <c r="EYX46" s="78"/>
      <c r="EYY46" s="78"/>
      <c r="EYZ46" s="78"/>
      <c r="EZA46" s="78"/>
      <c r="EZB46" s="78"/>
      <c r="EZC46" s="78"/>
      <c r="EZD46" s="78"/>
      <c r="EZE46" s="78"/>
      <c r="EZF46" s="78"/>
      <c r="EZG46" s="78"/>
      <c r="EZH46" s="78"/>
      <c r="EZI46" s="78"/>
      <c r="EZJ46" s="78"/>
      <c r="EZK46" s="78"/>
      <c r="EZL46" s="78"/>
      <c r="EZM46" s="78"/>
      <c r="EZN46" s="78"/>
      <c r="EZO46" s="78"/>
      <c r="EZP46" s="78"/>
      <c r="EZQ46" s="78"/>
      <c r="EZR46" s="78"/>
      <c r="EZS46" s="78"/>
      <c r="EZT46" s="78"/>
      <c r="EZU46" s="78"/>
      <c r="EZV46" s="78"/>
      <c r="EZW46" s="78"/>
      <c r="EZX46" s="78"/>
      <c r="EZY46" s="78"/>
      <c r="EZZ46" s="78"/>
      <c r="FAA46" s="78"/>
      <c r="FAB46" s="78"/>
      <c r="FAC46" s="78"/>
      <c r="FAD46" s="78"/>
      <c r="FAE46" s="78"/>
      <c r="FAF46" s="78"/>
      <c r="FAG46" s="78"/>
      <c r="FAH46" s="78"/>
      <c r="FAI46" s="78"/>
      <c r="FAJ46" s="78"/>
      <c r="FAK46" s="78"/>
      <c r="FAL46" s="78"/>
      <c r="FAM46" s="78"/>
      <c r="FAN46" s="78"/>
      <c r="FAO46" s="78"/>
      <c r="FAP46" s="78"/>
      <c r="FAQ46" s="78"/>
      <c r="FAR46" s="78"/>
      <c r="FAS46" s="78"/>
      <c r="FAT46" s="78"/>
      <c r="FAU46" s="78"/>
      <c r="FAV46" s="78"/>
      <c r="FAW46" s="78"/>
      <c r="FAX46" s="78"/>
      <c r="FAY46" s="78"/>
      <c r="FAZ46" s="78"/>
      <c r="FBA46" s="78"/>
      <c r="FBB46" s="78"/>
      <c r="FBC46" s="78"/>
      <c r="FBD46" s="78"/>
      <c r="FBE46" s="78"/>
      <c r="FBF46" s="78"/>
      <c r="FBG46" s="78"/>
      <c r="FBH46" s="78"/>
      <c r="FBI46" s="78"/>
      <c r="FBJ46" s="78"/>
      <c r="FBK46" s="78"/>
      <c r="FBL46" s="78"/>
      <c r="FBM46" s="78"/>
      <c r="FBN46" s="78"/>
      <c r="FBO46" s="78"/>
      <c r="FBP46" s="78"/>
      <c r="FBQ46" s="78"/>
      <c r="FBR46" s="78"/>
      <c r="FBS46" s="78"/>
      <c r="FBT46" s="78"/>
      <c r="FBU46" s="78"/>
      <c r="FBV46" s="78"/>
      <c r="FBW46" s="78"/>
      <c r="FBX46" s="78"/>
      <c r="FBY46" s="78"/>
      <c r="FBZ46" s="78"/>
      <c r="FCA46" s="78"/>
      <c r="FCB46" s="78"/>
      <c r="FCC46" s="78"/>
      <c r="FCD46" s="78"/>
      <c r="FCE46" s="78"/>
      <c r="FCF46" s="78"/>
      <c r="FCG46" s="78"/>
      <c r="FCH46" s="78"/>
      <c r="FCI46" s="78"/>
      <c r="FCJ46" s="78"/>
      <c r="FCK46" s="78"/>
      <c r="FCL46" s="78"/>
      <c r="FCM46" s="78"/>
      <c r="FCN46" s="78"/>
      <c r="FCO46" s="78"/>
      <c r="FCP46" s="78"/>
      <c r="FCQ46" s="78"/>
      <c r="FCR46" s="78"/>
      <c r="FCS46" s="78"/>
      <c r="FCT46" s="78"/>
      <c r="FCU46" s="78"/>
      <c r="FCV46" s="78"/>
      <c r="FCW46" s="78"/>
      <c r="FCX46" s="78"/>
      <c r="FCY46" s="78"/>
      <c r="FCZ46" s="78"/>
      <c r="FDA46" s="78"/>
      <c r="FDB46" s="78"/>
      <c r="FDC46" s="78"/>
      <c r="FDD46" s="78"/>
      <c r="FDE46" s="78"/>
      <c r="FDF46" s="78"/>
      <c r="FDG46" s="78"/>
      <c r="FDH46" s="78"/>
      <c r="FDI46" s="78"/>
      <c r="FDJ46" s="78"/>
      <c r="FDK46" s="78"/>
      <c r="FDL46" s="78"/>
      <c r="FDM46" s="78"/>
      <c r="FDN46" s="78"/>
      <c r="FDO46" s="78"/>
      <c r="FDP46" s="78"/>
      <c r="FDQ46" s="78"/>
      <c r="FDR46" s="78"/>
      <c r="FDS46" s="78"/>
      <c r="FDT46" s="78"/>
      <c r="FDU46" s="78"/>
      <c r="FDV46" s="78"/>
      <c r="FDW46" s="78"/>
      <c r="FDX46" s="78"/>
      <c r="FDY46" s="78"/>
      <c r="FDZ46" s="78"/>
      <c r="FEA46" s="78"/>
      <c r="FEB46" s="78"/>
      <c r="FEC46" s="78"/>
      <c r="FED46" s="78"/>
      <c r="FEE46" s="78"/>
      <c r="FEF46" s="78"/>
      <c r="FEG46" s="78"/>
      <c r="FEH46" s="78"/>
      <c r="FEI46" s="78"/>
      <c r="FEJ46" s="78"/>
      <c r="FEK46" s="78"/>
      <c r="FEL46" s="78"/>
      <c r="FEM46" s="78"/>
      <c r="FEN46" s="78"/>
      <c r="FEO46" s="78"/>
      <c r="FEP46" s="78"/>
      <c r="FEQ46" s="78"/>
      <c r="FER46" s="78"/>
      <c r="FES46" s="78"/>
      <c r="FET46" s="78"/>
      <c r="FEU46" s="78"/>
      <c r="FEV46" s="78"/>
      <c r="FEW46" s="78"/>
      <c r="FEX46" s="78"/>
      <c r="FEY46" s="78"/>
      <c r="FEZ46" s="78"/>
      <c r="FFA46" s="78"/>
      <c r="FFB46" s="78"/>
      <c r="FFC46" s="78"/>
      <c r="FFD46" s="78"/>
      <c r="FFE46" s="78"/>
      <c r="FFF46" s="78"/>
      <c r="FFG46" s="78"/>
      <c r="FFH46" s="78"/>
      <c r="FFI46" s="78"/>
      <c r="FFJ46" s="78"/>
      <c r="FFK46" s="78"/>
      <c r="FFL46" s="78"/>
      <c r="FFM46" s="78"/>
      <c r="FFN46" s="78"/>
      <c r="FFO46" s="78"/>
      <c r="FFP46" s="78"/>
      <c r="FFQ46" s="78"/>
      <c r="FFR46" s="78"/>
      <c r="FFS46" s="78"/>
      <c r="FFT46" s="78"/>
      <c r="FFU46" s="78"/>
      <c r="FFV46" s="78"/>
      <c r="FFW46" s="78"/>
      <c r="FFX46" s="78"/>
      <c r="FFY46" s="78"/>
      <c r="FFZ46" s="78"/>
      <c r="FGA46" s="78"/>
      <c r="FGB46" s="78"/>
      <c r="FGC46" s="78"/>
      <c r="FGD46" s="78"/>
      <c r="FGE46" s="78"/>
      <c r="FGF46" s="78"/>
      <c r="FGG46" s="78"/>
      <c r="FGH46" s="78"/>
      <c r="FGI46" s="78"/>
      <c r="FGJ46" s="78"/>
      <c r="FGK46" s="78"/>
      <c r="FGL46" s="78"/>
      <c r="FGM46" s="78"/>
      <c r="FGN46" s="78"/>
      <c r="FGO46" s="78"/>
      <c r="FGP46" s="78"/>
      <c r="FGQ46" s="78"/>
      <c r="FGR46" s="78"/>
      <c r="FGS46" s="78"/>
      <c r="FGT46" s="78"/>
      <c r="FGU46" s="78"/>
      <c r="FGV46" s="78"/>
      <c r="FGW46" s="78"/>
      <c r="FGX46" s="78"/>
      <c r="FGY46" s="78"/>
      <c r="FGZ46" s="78"/>
      <c r="FHA46" s="78"/>
      <c r="FHB46" s="78"/>
      <c r="FHC46" s="78"/>
      <c r="FHD46" s="78"/>
      <c r="FHE46" s="78"/>
      <c r="FHF46" s="78"/>
      <c r="FHG46" s="78"/>
      <c r="FHH46" s="78"/>
      <c r="FHI46" s="78"/>
      <c r="FHJ46" s="78"/>
      <c r="FHK46" s="78"/>
      <c r="FHL46" s="78"/>
      <c r="FHM46" s="78"/>
      <c r="FHN46" s="78"/>
      <c r="FHO46" s="78"/>
      <c r="FHP46" s="78"/>
      <c r="FHQ46" s="78"/>
      <c r="FHR46" s="78"/>
      <c r="FHS46" s="78"/>
      <c r="FHT46" s="78"/>
      <c r="FHU46" s="78"/>
      <c r="FHV46" s="78"/>
      <c r="FHW46" s="78"/>
      <c r="FHX46" s="78"/>
      <c r="FHY46" s="78"/>
      <c r="FHZ46" s="78"/>
      <c r="FIA46" s="78"/>
      <c r="FIB46" s="78"/>
      <c r="FIC46" s="78"/>
      <c r="FID46" s="78"/>
      <c r="FIE46" s="78"/>
      <c r="FIF46" s="78"/>
      <c r="FIG46" s="78"/>
      <c r="FIH46" s="78"/>
      <c r="FII46" s="78"/>
      <c r="FIJ46" s="78"/>
      <c r="FIK46" s="78"/>
      <c r="FIL46" s="78"/>
      <c r="FIM46" s="78"/>
      <c r="FIN46" s="78"/>
      <c r="FIO46" s="78"/>
      <c r="FIP46" s="78"/>
      <c r="FIQ46" s="78"/>
      <c r="FIR46" s="78"/>
      <c r="FIS46" s="78"/>
      <c r="FIT46" s="78"/>
      <c r="FIU46" s="78"/>
      <c r="FIV46" s="78"/>
      <c r="FIW46" s="78"/>
      <c r="FIX46" s="78"/>
      <c r="FIY46" s="78"/>
      <c r="FIZ46" s="78"/>
      <c r="FJA46" s="78"/>
      <c r="FJB46" s="78"/>
      <c r="FJC46" s="78"/>
      <c r="FJD46" s="78"/>
      <c r="FJE46" s="78"/>
      <c r="FJF46" s="78"/>
      <c r="FJG46" s="78"/>
      <c r="FJH46" s="78"/>
      <c r="FJI46" s="78"/>
      <c r="FJJ46" s="78"/>
      <c r="FJK46" s="78"/>
      <c r="FJL46" s="78"/>
      <c r="FJM46" s="78"/>
      <c r="FJN46" s="78"/>
      <c r="FJO46" s="78"/>
      <c r="FJP46" s="78"/>
      <c r="FJQ46" s="78"/>
      <c r="FJR46" s="78"/>
      <c r="FJS46" s="78"/>
      <c r="FJT46" s="78"/>
      <c r="FJU46" s="78"/>
      <c r="FJV46" s="78"/>
      <c r="FJW46" s="78"/>
      <c r="FJX46" s="78"/>
      <c r="FJY46" s="78"/>
      <c r="FJZ46" s="78"/>
      <c r="FKA46" s="78"/>
      <c r="FKB46" s="78"/>
      <c r="FKC46" s="78"/>
      <c r="FKD46" s="78"/>
      <c r="FKE46" s="78"/>
      <c r="FKF46" s="78"/>
      <c r="FKG46" s="78"/>
      <c r="FKH46" s="78"/>
      <c r="FKI46" s="78"/>
      <c r="FKJ46" s="78"/>
      <c r="FKK46" s="78"/>
      <c r="FKL46" s="78"/>
      <c r="FKM46" s="78"/>
      <c r="FKN46" s="78"/>
      <c r="FKO46" s="78"/>
      <c r="FKP46" s="78"/>
      <c r="FKQ46" s="78"/>
      <c r="FKR46" s="78"/>
      <c r="FKS46" s="78"/>
      <c r="FKT46" s="78"/>
      <c r="FKU46" s="78"/>
      <c r="FKV46" s="78"/>
      <c r="FKW46" s="78"/>
      <c r="FKX46" s="78"/>
      <c r="FKY46" s="78"/>
      <c r="FKZ46" s="78"/>
      <c r="FLA46" s="78"/>
      <c r="FLB46" s="78"/>
      <c r="FLC46" s="78"/>
      <c r="FLD46" s="78"/>
      <c r="FLE46" s="78"/>
      <c r="FLF46" s="78"/>
      <c r="FLG46" s="78"/>
      <c r="FLH46" s="78"/>
      <c r="FLI46" s="78"/>
      <c r="FLJ46" s="78"/>
      <c r="FLK46" s="78"/>
      <c r="FLL46" s="78"/>
      <c r="FLM46" s="78"/>
      <c r="FLN46" s="78"/>
      <c r="FLO46" s="78"/>
      <c r="FLP46" s="78"/>
      <c r="FLQ46" s="78"/>
      <c r="FLR46" s="78"/>
      <c r="FLS46" s="78"/>
      <c r="FLT46" s="78"/>
      <c r="FLU46" s="78"/>
      <c r="FLV46" s="78"/>
      <c r="FLW46" s="78"/>
      <c r="FLX46" s="78"/>
      <c r="FLY46" s="78"/>
      <c r="FLZ46" s="78"/>
      <c r="FMA46" s="78"/>
      <c r="FMB46" s="78"/>
      <c r="FMC46" s="78"/>
      <c r="FMD46" s="78"/>
      <c r="FME46" s="78"/>
      <c r="FMF46" s="78"/>
      <c r="FMG46" s="78"/>
      <c r="FMH46" s="78"/>
      <c r="FMI46" s="78"/>
      <c r="FMJ46" s="78"/>
      <c r="FMK46" s="78"/>
      <c r="FML46" s="78"/>
      <c r="FMM46" s="78"/>
      <c r="FMN46" s="78"/>
      <c r="FMO46" s="78"/>
      <c r="FMP46" s="78"/>
      <c r="FMQ46" s="78"/>
      <c r="FMR46" s="78"/>
      <c r="FMS46" s="78"/>
      <c r="FMT46" s="78"/>
      <c r="FMU46" s="78"/>
      <c r="FMV46" s="78"/>
      <c r="FMW46" s="78"/>
      <c r="FMX46" s="78"/>
      <c r="FMY46" s="78"/>
      <c r="FMZ46" s="78"/>
      <c r="FNA46" s="78"/>
      <c r="FNB46" s="78"/>
      <c r="FNC46" s="78"/>
      <c r="FND46" s="78"/>
      <c r="FNE46" s="78"/>
      <c r="FNF46" s="78"/>
      <c r="FNG46" s="78"/>
      <c r="FNH46" s="78"/>
      <c r="FNI46" s="78"/>
      <c r="FNJ46" s="78"/>
      <c r="FNK46" s="78"/>
      <c r="FNL46" s="78"/>
      <c r="FNM46" s="78"/>
      <c r="FNN46" s="78"/>
      <c r="FNO46" s="78"/>
      <c r="FNP46" s="78"/>
      <c r="FNQ46" s="78"/>
      <c r="FNR46" s="78"/>
      <c r="FNS46" s="78"/>
      <c r="FNT46" s="78"/>
      <c r="FNU46" s="78"/>
      <c r="FNV46" s="78"/>
      <c r="FNW46" s="78"/>
      <c r="FNX46" s="78"/>
      <c r="FNY46" s="78"/>
      <c r="FNZ46" s="78"/>
      <c r="FOA46" s="78"/>
      <c r="FOB46" s="78"/>
      <c r="FOC46" s="78"/>
      <c r="FOD46" s="78"/>
      <c r="FOE46" s="78"/>
      <c r="FOF46" s="78"/>
      <c r="FOG46" s="78"/>
      <c r="FOH46" s="78"/>
      <c r="FOI46" s="78"/>
      <c r="FOJ46" s="78"/>
      <c r="FOK46" s="78"/>
      <c r="FOL46" s="78"/>
      <c r="FOM46" s="78"/>
      <c r="FON46" s="78"/>
      <c r="FOO46" s="78"/>
      <c r="FOP46" s="78"/>
      <c r="FOQ46" s="78"/>
      <c r="FOR46" s="78"/>
      <c r="FOS46" s="78"/>
      <c r="FOT46" s="78"/>
      <c r="FOU46" s="78"/>
      <c r="FOV46" s="78"/>
      <c r="FOW46" s="78"/>
      <c r="FOX46" s="78"/>
      <c r="FOY46" s="78"/>
      <c r="FOZ46" s="78"/>
      <c r="FPA46" s="78"/>
      <c r="FPB46" s="78"/>
      <c r="FPC46" s="78"/>
      <c r="FPD46" s="78"/>
      <c r="FPE46" s="78"/>
      <c r="FPF46" s="78"/>
      <c r="FPG46" s="78"/>
      <c r="FPH46" s="78"/>
      <c r="FPI46" s="78"/>
      <c r="FPJ46" s="78"/>
      <c r="FPK46" s="78"/>
      <c r="FPL46" s="78"/>
      <c r="FPM46" s="78"/>
      <c r="FPN46" s="78"/>
      <c r="FPO46" s="78"/>
      <c r="FPP46" s="78"/>
      <c r="FPQ46" s="78"/>
      <c r="FPR46" s="78"/>
      <c r="FPS46" s="78"/>
      <c r="FPT46" s="78"/>
      <c r="FPU46" s="78"/>
      <c r="FPV46" s="78"/>
      <c r="FPW46" s="78"/>
      <c r="FPX46" s="78"/>
      <c r="FPY46" s="78"/>
      <c r="FPZ46" s="78"/>
      <c r="FQA46" s="78"/>
      <c r="FQB46" s="78"/>
      <c r="FQC46" s="78"/>
      <c r="FQD46" s="78"/>
      <c r="FQE46" s="78"/>
      <c r="FQF46" s="78"/>
      <c r="FQG46" s="78"/>
      <c r="FQH46" s="78"/>
      <c r="FQI46" s="78"/>
      <c r="FQJ46" s="78"/>
      <c r="FQK46" s="78"/>
      <c r="FQL46" s="78"/>
      <c r="FQM46" s="78"/>
      <c r="FQN46" s="78"/>
      <c r="FQO46" s="78"/>
      <c r="FQP46" s="78"/>
      <c r="FQQ46" s="78"/>
      <c r="FQR46" s="78"/>
      <c r="FQS46" s="78"/>
      <c r="FQT46" s="78"/>
      <c r="FQU46" s="78"/>
      <c r="FQV46" s="78"/>
      <c r="FQW46" s="78"/>
      <c r="FQX46" s="78"/>
      <c r="FQY46" s="78"/>
      <c r="FQZ46" s="78"/>
      <c r="FRA46" s="78"/>
      <c r="FRB46" s="78"/>
      <c r="FRC46" s="78"/>
      <c r="FRD46" s="78"/>
      <c r="FRE46" s="78"/>
      <c r="FRF46" s="78"/>
      <c r="FRG46" s="78"/>
      <c r="FRH46" s="78"/>
      <c r="FRI46" s="78"/>
      <c r="FRJ46" s="78"/>
      <c r="FRK46" s="78"/>
      <c r="FRL46" s="78"/>
      <c r="FRM46" s="78"/>
      <c r="FRN46" s="78"/>
      <c r="FRO46" s="78"/>
      <c r="FRP46" s="78"/>
      <c r="FRQ46" s="78"/>
      <c r="FRR46" s="78"/>
      <c r="FRS46" s="78"/>
      <c r="FRT46" s="78"/>
      <c r="FRU46" s="78"/>
      <c r="FRV46" s="78"/>
      <c r="FRW46" s="78"/>
      <c r="FRX46" s="78"/>
      <c r="FRY46" s="78"/>
      <c r="FRZ46" s="78"/>
      <c r="FSA46" s="78"/>
      <c r="FSB46" s="78"/>
      <c r="FSC46" s="78"/>
      <c r="FSD46" s="78"/>
      <c r="FSE46" s="78"/>
      <c r="FSF46" s="78"/>
      <c r="FSG46" s="78"/>
      <c r="FSH46" s="78"/>
      <c r="FSI46" s="78"/>
      <c r="FSJ46" s="78"/>
      <c r="FSK46" s="78"/>
      <c r="FSL46" s="78"/>
      <c r="FSM46" s="78"/>
      <c r="FSN46" s="78"/>
      <c r="FSO46" s="78"/>
      <c r="FSP46" s="78"/>
      <c r="FSQ46" s="78"/>
      <c r="FSR46" s="78"/>
      <c r="FSS46" s="78"/>
      <c r="FST46" s="78"/>
      <c r="FSU46" s="78"/>
      <c r="FSV46" s="78"/>
      <c r="FSW46" s="78"/>
      <c r="FSX46" s="78"/>
      <c r="FSY46" s="78"/>
      <c r="FSZ46" s="78"/>
      <c r="FTA46" s="78"/>
      <c r="FTB46" s="78"/>
      <c r="FTC46" s="78"/>
      <c r="FTD46" s="78"/>
      <c r="FTE46" s="78"/>
      <c r="FTF46" s="78"/>
      <c r="FTG46" s="78"/>
      <c r="FTH46" s="78"/>
      <c r="FTI46" s="78"/>
      <c r="FTJ46" s="78"/>
      <c r="FTK46" s="78"/>
      <c r="FTL46" s="78"/>
      <c r="FTM46" s="78"/>
      <c r="FTN46" s="78"/>
      <c r="FTO46" s="78"/>
      <c r="FTP46" s="78"/>
      <c r="FTQ46" s="78"/>
      <c r="FTR46" s="78"/>
      <c r="FTS46" s="78"/>
      <c r="FTT46" s="78"/>
      <c r="FTU46" s="78"/>
      <c r="FTV46" s="78"/>
      <c r="FTW46" s="78"/>
      <c r="FTX46" s="78"/>
      <c r="FTY46" s="78"/>
      <c r="FTZ46" s="78"/>
      <c r="FUA46" s="78"/>
      <c r="FUB46" s="78"/>
      <c r="FUC46" s="78"/>
      <c r="FUD46" s="78"/>
      <c r="FUE46" s="78"/>
      <c r="FUF46" s="78"/>
      <c r="FUG46" s="78"/>
      <c r="FUH46" s="78"/>
      <c r="FUI46" s="78"/>
      <c r="FUJ46" s="78"/>
      <c r="FUK46" s="78"/>
      <c r="FUL46" s="78"/>
      <c r="FUM46" s="78"/>
      <c r="FUN46" s="78"/>
      <c r="FUO46" s="78"/>
      <c r="FUP46" s="78"/>
      <c r="FUQ46" s="78"/>
      <c r="FUR46" s="78"/>
      <c r="FUS46" s="78"/>
      <c r="FUT46" s="78"/>
      <c r="FUU46" s="78"/>
      <c r="FUV46" s="78"/>
      <c r="FUW46" s="78"/>
      <c r="FUX46" s="78"/>
      <c r="FUY46" s="78"/>
      <c r="FUZ46" s="78"/>
      <c r="FVA46" s="78"/>
      <c r="FVB46" s="78"/>
      <c r="FVC46" s="78"/>
      <c r="FVD46" s="78"/>
      <c r="FVE46" s="78"/>
      <c r="FVF46" s="78"/>
      <c r="FVG46" s="78"/>
      <c r="FVH46" s="78"/>
      <c r="FVI46" s="78"/>
      <c r="FVJ46" s="78"/>
      <c r="FVK46" s="78"/>
      <c r="FVL46" s="78"/>
      <c r="FVM46" s="78"/>
      <c r="FVN46" s="78"/>
      <c r="FVO46" s="78"/>
      <c r="FVP46" s="78"/>
      <c r="FVQ46" s="78"/>
      <c r="FVR46" s="78"/>
      <c r="FVS46" s="78"/>
      <c r="FVT46" s="78"/>
      <c r="FVU46" s="78"/>
      <c r="FVV46" s="78"/>
      <c r="FVW46" s="78"/>
      <c r="FVX46" s="78"/>
      <c r="FVY46" s="78"/>
      <c r="FVZ46" s="78"/>
      <c r="FWA46" s="78"/>
      <c r="FWB46" s="78"/>
      <c r="FWC46" s="78"/>
      <c r="FWD46" s="78"/>
      <c r="FWE46" s="78"/>
      <c r="FWF46" s="78"/>
      <c r="FWG46" s="78"/>
      <c r="FWH46" s="78"/>
      <c r="FWI46" s="78"/>
      <c r="FWJ46" s="78"/>
      <c r="FWK46" s="78"/>
      <c r="FWL46" s="78"/>
      <c r="FWM46" s="78"/>
      <c r="FWN46" s="78"/>
      <c r="FWO46" s="78"/>
      <c r="FWP46" s="78"/>
      <c r="FWQ46" s="78"/>
      <c r="FWR46" s="78"/>
      <c r="FWS46" s="78"/>
      <c r="FWT46" s="78"/>
      <c r="FWU46" s="78"/>
      <c r="FWV46" s="78"/>
      <c r="FWW46" s="78"/>
      <c r="FWX46" s="78"/>
      <c r="FWY46" s="78"/>
      <c r="FWZ46" s="78"/>
      <c r="FXA46" s="78"/>
      <c r="FXB46" s="78"/>
      <c r="FXC46" s="78"/>
      <c r="FXD46" s="78"/>
      <c r="FXE46" s="78"/>
      <c r="FXF46" s="78"/>
      <c r="FXG46" s="78"/>
      <c r="FXH46" s="78"/>
      <c r="FXI46" s="78"/>
      <c r="FXJ46" s="78"/>
      <c r="FXK46" s="78"/>
      <c r="FXL46" s="78"/>
      <c r="FXM46" s="78"/>
      <c r="FXN46" s="78"/>
      <c r="FXO46" s="78"/>
      <c r="FXP46" s="78"/>
      <c r="FXQ46" s="78"/>
      <c r="FXR46" s="78"/>
      <c r="FXS46" s="78"/>
      <c r="FXT46" s="78"/>
      <c r="FXU46" s="78"/>
      <c r="FXV46" s="78"/>
      <c r="FXW46" s="78"/>
      <c r="FXX46" s="78"/>
      <c r="FXY46" s="78"/>
      <c r="FXZ46" s="78"/>
      <c r="FYA46" s="78"/>
      <c r="FYB46" s="78"/>
      <c r="FYC46" s="78"/>
      <c r="FYD46" s="78"/>
      <c r="FYE46" s="78"/>
      <c r="FYF46" s="78"/>
      <c r="FYG46" s="78"/>
      <c r="FYH46" s="78"/>
      <c r="FYI46" s="78"/>
      <c r="FYJ46" s="78"/>
      <c r="FYK46" s="78"/>
      <c r="FYL46" s="78"/>
      <c r="FYM46" s="78"/>
      <c r="FYN46" s="78"/>
      <c r="FYO46" s="78"/>
      <c r="FYP46" s="78"/>
      <c r="FYQ46" s="78"/>
      <c r="FYR46" s="78"/>
      <c r="FYS46" s="78"/>
      <c r="FYT46" s="78"/>
      <c r="FYU46" s="78"/>
      <c r="FYV46" s="78"/>
      <c r="FYW46" s="78"/>
      <c r="FYX46" s="78"/>
      <c r="FYY46" s="78"/>
      <c r="FYZ46" s="78"/>
      <c r="FZA46" s="78"/>
      <c r="FZB46" s="78"/>
      <c r="FZC46" s="78"/>
      <c r="FZD46" s="78"/>
      <c r="FZE46" s="78"/>
      <c r="FZF46" s="78"/>
      <c r="FZG46" s="78"/>
      <c r="FZH46" s="78"/>
      <c r="FZI46" s="78"/>
      <c r="FZJ46" s="78"/>
      <c r="FZK46" s="78"/>
      <c r="FZL46" s="78"/>
      <c r="FZM46" s="78"/>
      <c r="FZN46" s="78"/>
      <c r="FZO46" s="78"/>
      <c r="FZP46" s="78"/>
      <c r="FZQ46" s="78"/>
      <c r="FZR46" s="78"/>
      <c r="FZS46" s="78"/>
      <c r="FZT46" s="78"/>
      <c r="FZU46" s="78"/>
      <c r="FZV46" s="78"/>
      <c r="FZW46" s="78"/>
      <c r="FZX46" s="78"/>
      <c r="FZY46" s="78"/>
      <c r="FZZ46" s="78"/>
      <c r="GAA46" s="78"/>
      <c r="GAB46" s="78"/>
      <c r="GAC46" s="78"/>
      <c r="GAD46" s="78"/>
      <c r="GAE46" s="78"/>
      <c r="GAF46" s="78"/>
      <c r="GAG46" s="78"/>
      <c r="GAH46" s="78"/>
      <c r="GAI46" s="78"/>
      <c r="GAJ46" s="78"/>
      <c r="GAK46" s="78"/>
      <c r="GAL46" s="78"/>
      <c r="GAM46" s="78"/>
      <c r="GAN46" s="78"/>
      <c r="GAO46" s="78"/>
      <c r="GAP46" s="78"/>
      <c r="GAQ46" s="78"/>
      <c r="GAR46" s="78"/>
      <c r="GAS46" s="78"/>
      <c r="GAT46" s="78"/>
      <c r="GAU46" s="78"/>
      <c r="GAV46" s="78"/>
      <c r="GAW46" s="78"/>
      <c r="GAX46" s="78"/>
      <c r="GAY46" s="78"/>
      <c r="GAZ46" s="78"/>
      <c r="GBA46" s="78"/>
      <c r="GBB46" s="78"/>
      <c r="GBC46" s="78"/>
      <c r="GBD46" s="78"/>
      <c r="GBE46" s="78"/>
      <c r="GBF46" s="78"/>
      <c r="GBG46" s="78"/>
      <c r="GBH46" s="78"/>
      <c r="GBI46" s="78"/>
      <c r="GBJ46" s="78"/>
      <c r="GBK46" s="78"/>
      <c r="GBL46" s="78"/>
      <c r="GBM46" s="78"/>
      <c r="GBN46" s="78"/>
      <c r="GBO46" s="78"/>
      <c r="GBP46" s="78"/>
      <c r="GBQ46" s="78"/>
      <c r="GBR46" s="78"/>
      <c r="GBS46" s="78"/>
      <c r="GBT46" s="78"/>
      <c r="GBU46" s="78"/>
      <c r="GBV46" s="78"/>
      <c r="GBW46" s="78"/>
      <c r="GBX46" s="78"/>
      <c r="GBY46" s="78"/>
      <c r="GBZ46" s="78"/>
      <c r="GCA46" s="78"/>
      <c r="GCB46" s="78"/>
      <c r="GCC46" s="78"/>
      <c r="GCD46" s="78"/>
      <c r="GCE46" s="78"/>
      <c r="GCF46" s="78"/>
      <c r="GCG46" s="78"/>
      <c r="GCH46" s="78"/>
      <c r="GCI46" s="78"/>
      <c r="GCJ46" s="78"/>
      <c r="GCK46" s="78"/>
      <c r="GCL46" s="78"/>
      <c r="GCM46" s="78"/>
      <c r="GCN46" s="78"/>
      <c r="GCO46" s="78"/>
      <c r="GCP46" s="78"/>
      <c r="GCQ46" s="78"/>
      <c r="GCR46" s="78"/>
      <c r="GCS46" s="78"/>
      <c r="GCT46" s="78"/>
      <c r="GCU46" s="78"/>
      <c r="GCV46" s="78"/>
      <c r="GCW46" s="78"/>
      <c r="GCX46" s="78"/>
      <c r="GCY46" s="78"/>
      <c r="GCZ46" s="78"/>
      <c r="GDA46" s="78"/>
      <c r="GDB46" s="78"/>
      <c r="GDC46" s="78"/>
      <c r="GDD46" s="78"/>
      <c r="GDE46" s="78"/>
      <c r="GDF46" s="78"/>
      <c r="GDG46" s="78"/>
      <c r="GDH46" s="78"/>
      <c r="GDI46" s="78"/>
      <c r="GDJ46" s="78"/>
      <c r="GDK46" s="78"/>
      <c r="GDL46" s="78"/>
      <c r="GDM46" s="78"/>
      <c r="GDN46" s="78"/>
      <c r="GDO46" s="78"/>
      <c r="GDP46" s="78"/>
      <c r="GDQ46" s="78"/>
      <c r="GDR46" s="78"/>
      <c r="GDS46" s="78"/>
      <c r="GDT46" s="78"/>
      <c r="GDU46" s="78"/>
      <c r="GDV46" s="78"/>
      <c r="GDW46" s="78"/>
      <c r="GDX46" s="78"/>
      <c r="GDY46" s="78"/>
      <c r="GDZ46" s="78"/>
      <c r="GEA46" s="78"/>
      <c r="GEB46" s="78"/>
      <c r="GEC46" s="78"/>
      <c r="GED46" s="78"/>
      <c r="GEE46" s="78"/>
      <c r="GEF46" s="78"/>
      <c r="GEG46" s="78"/>
      <c r="GEH46" s="78"/>
      <c r="GEI46" s="78"/>
      <c r="GEJ46" s="78"/>
      <c r="GEK46" s="78"/>
      <c r="GEL46" s="78"/>
      <c r="GEM46" s="78"/>
      <c r="GEN46" s="78"/>
      <c r="GEO46" s="78"/>
      <c r="GEP46" s="78"/>
      <c r="GEQ46" s="78"/>
      <c r="GER46" s="78"/>
      <c r="GES46" s="78"/>
      <c r="GET46" s="78"/>
      <c r="GEU46" s="78"/>
      <c r="GEV46" s="78"/>
      <c r="GEW46" s="78"/>
      <c r="GEX46" s="78"/>
      <c r="GEY46" s="78"/>
      <c r="GEZ46" s="78"/>
      <c r="GFA46" s="78"/>
      <c r="GFB46" s="78"/>
      <c r="GFC46" s="78"/>
      <c r="GFD46" s="78"/>
      <c r="GFE46" s="78"/>
      <c r="GFF46" s="78"/>
      <c r="GFG46" s="78"/>
      <c r="GFH46" s="78"/>
      <c r="GFI46" s="78"/>
      <c r="GFJ46" s="78"/>
      <c r="GFK46" s="78"/>
      <c r="GFL46" s="78"/>
      <c r="GFM46" s="78"/>
      <c r="GFN46" s="78"/>
      <c r="GFO46" s="78"/>
      <c r="GFP46" s="78"/>
      <c r="GFQ46" s="78"/>
      <c r="GFR46" s="78"/>
      <c r="GFS46" s="78"/>
      <c r="GFT46" s="78"/>
      <c r="GFU46" s="78"/>
      <c r="GFV46" s="78"/>
      <c r="GFW46" s="78"/>
      <c r="GFX46" s="78"/>
      <c r="GFY46" s="78"/>
      <c r="GFZ46" s="78"/>
      <c r="GGA46" s="78"/>
      <c r="GGB46" s="78"/>
      <c r="GGC46" s="78"/>
      <c r="GGD46" s="78"/>
      <c r="GGE46" s="78"/>
      <c r="GGF46" s="78"/>
      <c r="GGG46" s="78"/>
      <c r="GGH46" s="78"/>
      <c r="GGI46" s="78"/>
      <c r="GGJ46" s="78"/>
      <c r="GGK46" s="78"/>
      <c r="GGL46" s="78"/>
      <c r="GGM46" s="78"/>
      <c r="GGN46" s="78"/>
      <c r="GGO46" s="78"/>
      <c r="GGP46" s="78"/>
      <c r="GGQ46" s="78"/>
      <c r="GGR46" s="78"/>
      <c r="GGS46" s="78"/>
      <c r="GGT46" s="78"/>
      <c r="GGU46" s="78"/>
      <c r="GGV46" s="78"/>
      <c r="GGW46" s="78"/>
      <c r="GGX46" s="78"/>
      <c r="GGY46" s="78"/>
      <c r="GGZ46" s="78"/>
      <c r="GHA46" s="78"/>
      <c r="GHB46" s="78"/>
      <c r="GHC46" s="78"/>
      <c r="GHD46" s="78"/>
      <c r="GHE46" s="78"/>
      <c r="GHF46" s="78"/>
      <c r="GHG46" s="78"/>
      <c r="GHH46" s="78"/>
      <c r="GHI46" s="78"/>
      <c r="GHJ46" s="78"/>
      <c r="GHK46" s="78"/>
      <c r="GHL46" s="78"/>
      <c r="GHM46" s="78"/>
      <c r="GHN46" s="78"/>
      <c r="GHO46" s="78"/>
      <c r="GHP46" s="78"/>
      <c r="GHQ46" s="78"/>
      <c r="GHR46" s="78"/>
      <c r="GHS46" s="78"/>
      <c r="GHT46" s="78"/>
      <c r="GHU46" s="78"/>
      <c r="GHV46" s="78"/>
      <c r="GHW46" s="78"/>
      <c r="GHX46" s="78"/>
      <c r="GHY46" s="78"/>
      <c r="GHZ46" s="78"/>
      <c r="GIA46" s="78"/>
      <c r="GIB46" s="78"/>
      <c r="GIC46" s="78"/>
      <c r="GID46" s="78"/>
      <c r="GIE46" s="78"/>
      <c r="GIF46" s="78"/>
      <c r="GIG46" s="78"/>
      <c r="GIH46" s="78"/>
      <c r="GII46" s="78"/>
      <c r="GIJ46" s="78"/>
      <c r="GIK46" s="78"/>
      <c r="GIL46" s="78"/>
      <c r="GIM46" s="78"/>
      <c r="GIN46" s="78"/>
      <c r="GIO46" s="78"/>
      <c r="GIP46" s="78"/>
      <c r="GIQ46" s="78"/>
      <c r="GIR46" s="78"/>
      <c r="GIS46" s="78"/>
      <c r="GIT46" s="78"/>
      <c r="GIU46" s="78"/>
      <c r="GIV46" s="78"/>
      <c r="GIW46" s="78"/>
      <c r="GIX46" s="78"/>
      <c r="GIY46" s="78"/>
      <c r="GIZ46" s="78"/>
      <c r="GJA46" s="78"/>
      <c r="GJB46" s="78"/>
      <c r="GJC46" s="78"/>
      <c r="GJD46" s="78"/>
      <c r="GJE46" s="78"/>
      <c r="GJF46" s="78"/>
      <c r="GJG46" s="78"/>
      <c r="GJH46" s="78"/>
      <c r="GJI46" s="78"/>
      <c r="GJJ46" s="78"/>
      <c r="GJK46" s="78"/>
      <c r="GJL46" s="78"/>
      <c r="GJM46" s="78"/>
      <c r="GJN46" s="78"/>
      <c r="GJO46" s="78"/>
      <c r="GJP46" s="78"/>
      <c r="GJQ46" s="78"/>
      <c r="GJR46" s="78"/>
      <c r="GJS46" s="78"/>
      <c r="GJT46" s="78"/>
      <c r="GJU46" s="78"/>
      <c r="GJV46" s="78"/>
      <c r="GJW46" s="78"/>
      <c r="GJX46" s="78"/>
      <c r="GJY46" s="78"/>
      <c r="GJZ46" s="78"/>
      <c r="GKA46" s="78"/>
      <c r="GKB46" s="78"/>
      <c r="GKC46" s="78"/>
      <c r="GKD46" s="78"/>
      <c r="GKE46" s="78"/>
      <c r="GKF46" s="78"/>
      <c r="GKG46" s="78"/>
      <c r="GKH46" s="78"/>
      <c r="GKI46" s="78"/>
      <c r="GKJ46" s="78"/>
      <c r="GKK46" s="78"/>
      <c r="GKL46" s="78"/>
      <c r="GKM46" s="78"/>
      <c r="GKN46" s="78"/>
      <c r="GKO46" s="78"/>
      <c r="GKP46" s="78"/>
      <c r="GKQ46" s="78"/>
      <c r="GKR46" s="78"/>
      <c r="GKS46" s="78"/>
      <c r="GKT46" s="78"/>
      <c r="GKU46" s="78"/>
      <c r="GKV46" s="78"/>
      <c r="GKW46" s="78"/>
      <c r="GKX46" s="78"/>
      <c r="GKY46" s="78"/>
      <c r="GKZ46" s="78"/>
      <c r="GLA46" s="78"/>
      <c r="GLB46" s="78"/>
      <c r="GLC46" s="78"/>
      <c r="GLD46" s="78"/>
      <c r="GLE46" s="78"/>
      <c r="GLF46" s="78"/>
      <c r="GLG46" s="78"/>
      <c r="GLH46" s="78"/>
      <c r="GLI46" s="78"/>
      <c r="GLJ46" s="78"/>
      <c r="GLK46" s="78"/>
      <c r="GLL46" s="78"/>
      <c r="GLM46" s="78"/>
      <c r="GLN46" s="78"/>
      <c r="GLO46" s="78"/>
      <c r="GLP46" s="78"/>
      <c r="GLQ46" s="78"/>
      <c r="GLR46" s="78"/>
      <c r="GLS46" s="78"/>
      <c r="GLT46" s="78"/>
      <c r="GLU46" s="78"/>
      <c r="GLV46" s="78"/>
      <c r="GLW46" s="78"/>
      <c r="GLX46" s="78"/>
      <c r="GLY46" s="78"/>
      <c r="GLZ46" s="78"/>
      <c r="GMA46" s="78"/>
      <c r="GMB46" s="78"/>
      <c r="GMC46" s="78"/>
      <c r="GMD46" s="78"/>
      <c r="GME46" s="78"/>
      <c r="GMF46" s="78"/>
      <c r="GMG46" s="78"/>
      <c r="GMH46" s="78"/>
      <c r="GMI46" s="78"/>
      <c r="GMJ46" s="78"/>
      <c r="GMK46" s="78"/>
      <c r="GML46" s="78"/>
      <c r="GMM46" s="78"/>
      <c r="GMN46" s="78"/>
      <c r="GMO46" s="78"/>
      <c r="GMP46" s="78"/>
      <c r="GMQ46" s="78"/>
      <c r="GMR46" s="78"/>
      <c r="GMS46" s="78"/>
      <c r="GMT46" s="78"/>
      <c r="GMU46" s="78"/>
      <c r="GMV46" s="78"/>
      <c r="GMW46" s="78"/>
      <c r="GMX46" s="78"/>
      <c r="GMY46" s="78"/>
      <c r="GMZ46" s="78"/>
      <c r="GNA46" s="78"/>
      <c r="GNB46" s="78"/>
      <c r="GNC46" s="78"/>
      <c r="GND46" s="78"/>
      <c r="GNE46" s="78"/>
      <c r="GNF46" s="78"/>
      <c r="GNG46" s="78"/>
      <c r="GNH46" s="78"/>
      <c r="GNI46" s="78"/>
      <c r="GNJ46" s="78"/>
      <c r="GNK46" s="78"/>
      <c r="GNL46" s="78"/>
      <c r="GNM46" s="78"/>
      <c r="GNN46" s="78"/>
      <c r="GNO46" s="78"/>
      <c r="GNP46" s="78"/>
      <c r="GNQ46" s="78"/>
      <c r="GNR46" s="78"/>
      <c r="GNS46" s="78"/>
      <c r="GNT46" s="78"/>
      <c r="GNU46" s="78"/>
      <c r="GNV46" s="78"/>
      <c r="GNW46" s="78"/>
      <c r="GNX46" s="78"/>
      <c r="GNY46" s="78"/>
      <c r="GNZ46" s="78"/>
      <c r="GOA46" s="78"/>
      <c r="GOB46" s="78"/>
      <c r="GOC46" s="78"/>
      <c r="GOD46" s="78"/>
      <c r="GOE46" s="78"/>
      <c r="GOF46" s="78"/>
      <c r="GOG46" s="78"/>
      <c r="GOH46" s="78"/>
      <c r="GOI46" s="78"/>
      <c r="GOJ46" s="78"/>
      <c r="GOK46" s="78"/>
      <c r="GOL46" s="78"/>
      <c r="GOM46" s="78"/>
      <c r="GON46" s="78"/>
      <c r="GOO46" s="78"/>
      <c r="GOP46" s="78"/>
      <c r="GOQ46" s="78"/>
      <c r="GOR46" s="78"/>
      <c r="GOS46" s="78"/>
      <c r="GOT46" s="78"/>
      <c r="GOU46" s="78"/>
      <c r="GOV46" s="78"/>
      <c r="GOW46" s="78"/>
      <c r="GOX46" s="78"/>
      <c r="GOY46" s="78"/>
      <c r="GOZ46" s="78"/>
      <c r="GPA46" s="78"/>
      <c r="GPB46" s="78"/>
      <c r="GPC46" s="78"/>
      <c r="GPD46" s="78"/>
      <c r="GPE46" s="78"/>
      <c r="GPF46" s="78"/>
      <c r="GPG46" s="78"/>
      <c r="GPH46" s="78"/>
      <c r="GPI46" s="78"/>
      <c r="GPJ46" s="78"/>
      <c r="GPK46" s="78"/>
      <c r="GPL46" s="78"/>
      <c r="GPM46" s="78"/>
      <c r="GPN46" s="78"/>
      <c r="GPO46" s="78"/>
      <c r="GPP46" s="78"/>
      <c r="GPQ46" s="78"/>
      <c r="GPR46" s="78"/>
      <c r="GPS46" s="78"/>
      <c r="GPT46" s="78"/>
      <c r="GPU46" s="78"/>
      <c r="GPV46" s="78"/>
      <c r="GPW46" s="78"/>
      <c r="GPX46" s="78"/>
      <c r="GPY46" s="78"/>
      <c r="GPZ46" s="78"/>
      <c r="GQA46" s="78"/>
      <c r="GQB46" s="78"/>
      <c r="GQC46" s="78"/>
      <c r="GQD46" s="78"/>
      <c r="GQE46" s="78"/>
      <c r="GQF46" s="78"/>
      <c r="GQG46" s="78"/>
      <c r="GQH46" s="78"/>
      <c r="GQI46" s="78"/>
      <c r="GQJ46" s="78"/>
      <c r="GQK46" s="78"/>
      <c r="GQL46" s="78"/>
      <c r="GQM46" s="78"/>
      <c r="GQN46" s="78"/>
      <c r="GQO46" s="78"/>
      <c r="GQP46" s="78"/>
      <c r="GQQ46" s="78"/>
      <c r="GQR46" s="78"/>
      <c r="GQS46" s="78"/>
      <c r="GQT46" s="78"/>
      <c r="GQU46" s="78"/>
      <c r="GQV46" s="78"/>
      <c r="GQW46" s="78"/>
      <c r="GQX46" s="78"/>
      <c r="GQY46" s="78"/>
      <c r="GQZ46" s="78"/>
      <c r="GRA46" s="78"/>
      <c r="GRB46" s="78"/>
      <c r="GRC46" s="78"/>
      <c r="GRD46" s="78"/>
      <c r="GRE46" s="78"/>
      <c r="GRF46" s="78"/>
      <c r="GRG46" s="78"/>
      <c r="GRH46" s="78"/>
      <c r="GRI46" s="78"/>
      <c r="GRJ46" s="78"/>
      <c r="GRK46" s="78"/>
      <c r="GRL46" s="78"/>
      <c r="GRM46" s="78"/>
      <c r="GRN46" s="78"/>
      <c r="GRO46" s="78"/>
      <c r="GRP46" s="78"/>
      <c r="GRQ46" s="78"/>
      <c r="GRR46" s="78"/>
      <c r="GRS46" s="78"/>
      <c r="GRT46" s="78"/>
      <c r="GRU46" s="78"/>
      <c r="GRV46" s="78"/>
      <c r="GRW46" s="78"/>
      <c r="GRX46" s="78"/>
      <c r="GRY46" s="78"/>
      <c r="GRZ46" s="78"/>
      <c r="GSA46" s="78"/>
      <c r="GSB46" s="78"/>
      <c r="GSC46" s="78"/>
      <c r="GSD46" s="78"/>
      <c r="GSE46" s="78"/>
      <c r="GSF46" s="78"/>
      <c r="GSG46" s="78"/>
      <c r="GSH46" s="78"/>
      <c r="GSI46" s="78"/>
      <c r="GSJ46" s="78"/>
      <c r="GSK46" s="78"/>
      <c r="GSL46" s="78"/>
      <c r="GSM46" s="78"/>
      <c r="GSN46" s="78"/>
      <c r="GSO46" s="78"/>
      <c r="GSP46" s="78"/>
      <c r="GSQ46" s="78"/>
      <c r="GSR46" s="78"/>
      <c r="GSS46" s="78"/>
      <c r="GST46" s="78"/>
      <c r="GSU46" s="78"/>
      <c r="GSV46" s="78"/>
      <c r="GSW46" s="78"/>
      <c r="GSX46" s="78"/>
      <c r="GSY46" s="78"/>
      <c r="GSZ46" s="78"/>
      <c r="GTA46" s="78"/>
      <c r="GTB46" s="78"/>
      <c r="GTC46" s="78"/>
      <c r="GTD46" s="78"/>
      <c r="GTE46" s="78"/>
      <c r="GTF46" s="78"/>
      <c r="GTG46" s="78"/>
      <c r="GTH46" s="78"/>
      <c r="GTI46" s="78"/>
      <c r="GTJ46" s="78"/>
      <c r="GTK46" s="78"/>
      <c r="GTL46" s="78"/>
      <c r="GTM46" s="78"/>
      <c r="GTN46" s="78"/>
      <c r="GTO46" s="78"/>
      <c r="GTP46" s="78"/>
      <c r="GTQ46" s="78"/>
      <c r="GTR46" s="78"/>
      <c r="GTS46" s="78"/>
      <c r="GTT46" s="78"/>
      <c r="GTU46" s="78"/>
      <c r="GTV46" s="78"/>
      <c r="GTW46" s="78"/>
      <c r="GTX46" s="78"/>
      <c r="GTY46" s="78"/>
      <c r="GTZ46" s="78"/>
      <c r="GUA46" s="78"/>
      <c r="GUB46" s="78"/>
      <c r="GUC46" s="78"/>
      <c r="GUD46" s="78"/>
      <c r="GUE46" s="78"/>
      <c r="GUF46" s="78"/>
      <c r="GUG46" s="78"/>
      <c r="GUH46" s="78"/>
      <c r="GUI46" s="78"/>
      <c r="GUJ46" s="78"/>
      <c r="GUK46" s="78"/>
      <c r="GUL46" s="78"/>
      <c r="GUM46" s="78"/>
      <c r="GUN46" s="78"/>
      <c r="GUO46" s="78"/>
      <c r="GUP46" s="78"/>
      <c r="GUQ46" s="78"/>
      <c r="GUR46" s="78"/>
      <c r="GUS46" s="78"/>
      <c r="GUT46" s="78"/>
      <c r="GUU46" s="78"/>
      <c r="GUV46" s="78"/>
      <c r="GUW46" s="78"/>
      <c r="GUX46" s="78"/>
      <c r="GUY46" s="78"/>
      <c r="GUZ46" s="78"/>
      <c r="GVA46" s="78"/>
      <c r="GVB46" s="78"/>
      <c r="GVC46" s="78"/>
      <c r="GVD46" s="78"/>
      <c r="GVE46" s="78"/>
      <c r="GVF46" s="78"/>
      <c r="GVG46" s="78"/>
      <c r="GVH46" s="78"/>
      <c r="GVI46" s="78"/>
      <c r="GVJ46" s="78"/>
      <c r="GVK46" s="78"/>
      <c r="GVL46" s="78"/>
      <c r="GVM46" s="78"/>
      <c r="GVN46" s="78"/>
      <c r="GVO46" s="78"/>
      <c r="GVP46" s="78"/>
      <c r="GVQ46" s="78"/>
      <c r="GVR46" s="78"/>
      <c r="GVS46" s="78"/>
      <c r="GVT46" s="78"/>
      <c r="GVU46" s="78"/>
      <c r="GVV46" s="78"/>
      <c r="GVW46" s="78"/>
      <c r="GVX46" s="78"/>
      <c r="GVY46" s="78"/>
      <c r="GVZ46" s="78"/>
      <c r="GWA46" s="78"/>
      <c r="GWB46" s="78"/>
      <c r="GWC46" s="78"/>
      <c r="GWD46" s="78"/>
      <c r="GWE46" s="78"/>
      <c r="GWF46" s="78"/>
      <c r="GWG46" s="78"/>
      <c r="GWH46" s="78"/>
      <c r="GWI46" s="78"/>
      <c r="GWJ46" s="78"/>
      <c r="GWK46" s="78"/>
      <c r="GWL46" s="78"/>
      <c r="GWM46" s="78"/>
      <c r="GWN46" s="78"/>
      <c r="GWO46" s="78"/>
      <c r="GWP46" s="78"/>
      <c r="GWQ46" s="78"/>
      <c r="GWR46" s="78"/>
      <c r="GWS46" s="78"/>
      <c r="GWT46" s="78"/>
      <c r="GWU46" s="78"/>
      <c r="GWV46" s="78"/>
      <c r="GWW46" s="78"/>
      <c r="GWX46" s="78"/>
      <c r="GWY46" s="78"/>
      <c r="GWZ46" s="78"/>
      <c r="GXA46" s="78"/>
      <c r="GXB46" s="78"/>
      <c r="GXC46" s="78"/>
      <c r="GXD46" s="78"/>
      <c r="GXE46" s="78"/>
      <c r="GXF46" s="78"/>
      <c r="GXG46" s="78"/>
      <c r="GXH46" s="78"/>
      <c r="GXI46" s="78"/>
      <c r="GXJ46" s="78"/>
      <c r="GXK46" s="78"/>
      <c r="GXL46" s="78"/>
      <c r="GXM46" s="78"/>
      <c r="GXN46" s="78"/>
      <c r="GXO46" s="78"/>
      <c r="GXP46" s="78"/>
      <c r="GXQ46" s="78"/>
      <c r="GXR46" s="78"/>
      <c r="GXS46" s="78"/>
      <c r="GXT46" s="78"/>
      <c r="GXU46" s="78"/>
      <c r="GXV46" s="78"/>
      <c r="GXW46" s="78"/>
      <c r="GXX46" s="78"/>
      <c r="GXY46" s="78"/>
      <c r="GXZ46" s="78"/>
      <c r="GYA46" s="78"/>
      <c r="GYB46" s="78"/>
      <c r="GYC46" s="78"/>
      <c r="GYD46" s="78"/>
      <c r="GYE46" s="78"/>
      <c r="GYF46" s="78"/>
      <c r="GYG46" s="78"/>
      <c r="GYH46" s="78"/>
      <c r="GYI46" s="78"/>
      <c r="GYJ46" s="78"/>
      <c r="GYK46" s="78"/>
      <c r="GYL46" s="78"/>
      <c r="GYM46" s="78"/>
      <c r="GYN46" s="78"/>
      <c r="GYO46" s="78"/>
      <c r="GYP46" s="78"/>
      <c r="GYQ46" s="78"/>
      <c r="GYR46" s="78"/>
      <c r="GYS46" s="78"/>
      <c r="GYT46" s="78"/>
      <c r="GYU46" s="78"/>
      <c r="GYV46" s="78"/>
      <c r="GYW46" s="78"/>
      <c r="GYX46" s="78"/>
      <c r="GYY46" s="78"/>
      <c r="GYZ46" s="78"/>
      <c r="GZA46" s="78"/>
      <c r="GZB46" s="78"/>
      <c r="GZC46" s="78"/>
      <c r="GZD46" s="78"/>
      <c r="GZE46" s="78"/>
      <c r="GZF46" s="78"/>
      <c r="GZG46" s="78"/>
      <c r="GZH46" s="78"/>
      <c r="GZI46" s="78"/>
      <c r="GZJ46" s="78"/>
      <c r="GZK46" s="78"/>
      <c r="GZL46" s="78"/>
      <c r="GZM46" s="78"/>
      <c r="GZN46" s="78"/>
      <c r="GZO46" s="78"/>
      <c r="GZP46" s="78"/>
      <c r="GZQ46" s="78"/>
      <c r="GZR46" s="78"/>
      <c r="GZS46" s="78"/>
      <c r="GZT46" s="78"/>
      <c r="GZU46" s="78"/>
      <c r="GZV46" s="78"/>
      <c r="GZW46" s="78"/>
      <c r="GZX46" s="78"/>
      <c r="GZY46" s="78"/>
      <c r="GZZ46" s="78"/>
      <c r="HAA46" s="78"/>
      <c r="HAB46" s="78"/>
      <c r="HAC46" s="78"/>
      <c r="HAD46" s="78"/>
      <c r="HAE46" s="78"/>
      <c r="HAF46" s="78"/>
      <c r="HAG46" s="78"/>
      <c r="HAH46" s="78"/>
      <c r="HAI46" s="78"/>
      <c r="HAJ46" s="78"/>
      <c r="HAK46" s="78"/>
      <c r="HAL46" s="78"/>
      <c r="HAM46" s="78"/>
      <c r="HAN46" s="78"/>
      <c r="HAO46" s="78"/>
      <c r="HAP46" s="78"/>
      <c r="HAQ46" s="78"/>
      <c r="HAR46" s="78"/>
      <c r="HAS46" s="78"/>
      <c r="HAT46" s="78"/>
      <c r="HAU46" s="78"/>
      <c r="HAV46" s="78"/>
      <c r="HAW46" s="78"/>
      <c r="HAX46" s="78"/>
      <c r="HAY46" s="78"/>
      <c r="HAZ46" s="78"/>
      <c r="HBA46" s="78"/>
      <c r="HBB46" s="78"/>
      <c r="HBC46" s="78"/>
      <c r="HBD46" s="78"/>
      <c r="HBE46" s="78"/>
      <c r="HBF46" s="78"/>
      <c r="HBG46" s="78"/>
      <c r="HBH46" s="78"/>
      <c r="HBI46" s="78"/>
      <c r="HBJ46" s="78"/>
      <c r="HBK46" s="78"/>
      <c r="HBL46" s="78"/>
      <c r="HBM46" s="78"/>
      <c r="HBN46" s="78"/>
      <c r="HBO46" s="78"/>
      <c r="HBP46" s="78"/>
      <c r="HBQ46" s="78"/>
      <c r="HBR46" s="78"/>
      <c r="HBS46" s="78"/>
      <c r="HBT46" s="78"/>
      <c r="HBU46" s="78"/>
      <c r="HBV46" s="78"/>
      <c r="HBW46" s="78"/>
      <c r="HBX46" s="78"/>
      <c r="HBY46" s="78"/>
      <c r="HBZ46" s="78"/>
      <c r="HCA46" s="78"/>
      <c r="HCB46" s="78"/>
      <c r="HCC46" s="78"/>
      <c r="HCD46" s="78"/>
      <c r="HCE46" s="78"/>
      <c r="HCF46" s="78"/>
      <c r="HCG46" s="78"/>
      <c r="HCH46" s="78"/>
      <c r="HCI46" s="78"/>
      <c r="HCJ46" s="78"/>
      <c r="HCK46" s="78"/>
      <c r="HCL46" s="78"/>
      <c r="HCM46" s="78"/>
      <c r="HCN46" s="78"/>
      <c r="HCO46" s="78"/>
      <c r="HCP46" s="78"/>
      <c r="HCQ46" s="78"/>
      <c r="HCR46" s="78"/>
      <c r="HCS46" s="78"/>
      <c r="HCT46" s="78"/>
      <c r="HCU46" s="78"/>
      <c r="HCV46" s="78"/>
      <c r="HCW46" s="78"/>
      <c r="HCX46" s="78"/>
      <c r="HCY46" s="78"/>
      <c r="HCZ46" s="78"/>
      <c r="HDA46" s="78"/>
      <c r="HDB46" s="78"/>
      <c r="HDC46" s="78"/>
      <c r="HDD46" s="78"/>
      <c r="HDE46" s="78"/>
      <c r="HDF46" s="78"/>
      <c r="HDG46" s="78"/>
      <c r="HDH46" s="78"/>
      <c r="HDI46" s="78"/>
      <c r="HDJ46" s="78"/>
      <c r="HDK46" s="78"/>
      <c r="HDL46" s="78"/>
      <c r="HDM46" s="78"/>
      <c r="HDN46" s="78"/>
      <c r="HDO46" s="78"/>
      <c r="HDP46" s="78"/>
      <c r="HDQ46" s="78"/>
      <c r="HDR46" s="78"/>
      <c r="HDS46" s="78"/>
      <c r="HDT46" s="78"/>
      <c r="HDU46" s="78"/>
      <c r="HDV46" s="78"/>
      <c r="HDW46" s="78"/>
      <c r="HDX46" s="78"/>
      <c r="HDY46" s="78"/>
      <c r="HDZ46" s="78"/>
      <c r="HEA46" s="78"/>
      <c r="HEB46" s="78"/>
      <c r="HEC46" s="78"/>
      <c r="HED46" s="78"/>
      <c r="HEE46" s="78"/>
      <c r="HEF46" s="78"/>
      <c r="HEG46" s="78"/>
      <c r="HEH46" s="78"/>
      <c r="HEI46" s="78"/>
      <c r="HEJ46" s="78"/>
      <c r="HEK46" s="78"/>
      <c r="HEL46" s="78"/>
      <c r="HEM46" s="78"/>
      <c r="HEN46" s="78"/>
      <c r="HEO46" s="78"/>
      <c r="HEP46" s="78"/>
      <c r="HEQ46" s="78"/>
      <c r="HER46" s="78"/>
      <c r="HES46" s="78"/>
      <c r="HET46" s="78"/>
      <c r="HEU46" s="78"/>
      <c r="HEV46" s="78"/>
      <c r="HEW46" s="78"/>
      <c r="HEX46" s="78"/>
      <c r="HEY46" s="78"/>
      <c r="HEZ46" s="78"/>
      <c r="HFA46" s="78"/>
      <c r="HFB46" s="78"/>
      <c r="HFC46" s="78"/>
      <c r="HFD46" s="78"/>
      <c r="HFE46" s="78"/>
      <c r="HFF46" s="78"/>
      <c r="HFG46" s="78"/>
      <c r="HFH46" s="78"/>
      <c r="HFI46" s="78"/>
      <c r="HFJ46" s="78"/>
      <c r="HFK46" s="78"/>
      <c r="HFL46" s="78"/>
      <c r="HFM46" s="78"/>
      <c r="HFN46" s="78"/>
      <c r="HFO46" s="78"/>
      <c r="HFP46" s="78"/>
      <c r="HFQ46" s="78"/>
      <c r="HFR46" s="78"/>
      <c r="HFS46" s="78"/>
      <c r="HFT46" s="78"/>
      <c r="HFU46" s="78"/>
      <c r="HFV46" s="78"/>
      <c r="HFW46" s="78"/>
      <c r="HFX46" s="78"/>
      <c r="HFY46" s="78"/>
      <c r="HFZ46" s="78"/>
      <c r="HGA46" s="78"/>
      <c r="HGB46" s="78"/>
      <c r="HGC46" s="78"/>
      <c r="HGD46" s="78"/>
      <c r="HGE46" s="78"/>
      <c r="HGF46" s="78"/>
      <c r="HGG46" s="78"/>
      <c r="HGH46" s="78"/>
      <c r="HGI46" s="78"/>
      <c r="HGJ46" s="78"/>
      <c r="HGK46" s="78"/>
      <c r="HGL46" s="78"/>
      <c r="HGM46" s="78"/>
      <c r="HGN46" s="78"/>
      <c r="HGO46" s="78"/>
      <c r="HGP46" s="78"/>
      <c r="HGQ46" s="78"/>
      <c r="HGR46" s="78"/>
      <c r="HGS46" s="78"/>
      <c r="HGT46" s="78"/>
      <c r="HGU46" s="78"/>
      <c r="HGV46" s="78"/>
      <c r="HGW46" s="78"/>
      <c r="HGX46" s="78"/>
      <c r="HGY46" s="78"/>
      <c r="HGZ46" s="78"/>
      <c r="HHA46" s="78"/>
      <c r="HHB46" s="78"/>
      <c r="HHC46" s="78"/>
      <c r="HHD46" s="78"/>
      <c r="HHE46" s="78"/>
      <c r="HHF46" s="78"/>
      <c r="HHG46" s="78"/>
      <c r="HHH46" s="78"/>
      <c r="HHI46" s="78"/>
      <c r="HHJ46" s="78"/>
      <c r="HHK46" s="78"/>
      <c r="HHL46" s="78"/>
      <c r="HHM46" s="78"/>
      <c r="HHN46" s="78"/>
      <c r="HHO46" s="78"/>
      <c r="HHP46" s="78"/>
      <c r="HHQ46" s="78"/>
      <c r="HHR46" s="78"/>
      <c r="HHS46" s="78"/>
      <c r="HHT46" s="78"/>
      <c r="HHU46" s="78"/>
      <c r="HHV46" s="78"/>
      <c r="HHW46" s="78"/>
      <c r="HHX46" s="78"/>
      <c r="HHY46" s="78"/>
      <c r="HHZ46" s="78"/>
      <c r="HIA46" s="78"/>
      <c r="HIB46" s="78"/>
      <c r="HIC46" s="78"/>
      <c r="HID46" s="78"/>
      <c r="HIE46" s="78"/>
      <c r="HIF46" s="78"/>
      <c r="HIG46" s="78"/>
      <c r="HIH46" s="78"/>
      <c r="HII46" s="78"/>
      <c r="HIJ46" s="78"/>
      <c r="HIK46" s="78"/>
      <c r="HIL46" s="78"/>
      <c r="HIM46" s="78"/>
      <c r="HIN46" s="78"/>
      <c r="HIO46" s="78"/>
      <c r="HIP46" s="78"/>
      <c r="HIQ46" s="78"/>
      <c r="HIR46" s="78"/>
      <c r="HIS46" s="78"/>
      <c r="HIT46" s="78"/>
      <c r="HIU46" s="78"/>
      <c r="HIV46" s="78"/>
      <c r="HIW46" s="78"/>
      <c r="HIX46" s="78"/>
      <c r="HIY46" s="78"/>
      <c r="HIZ46" s="78"/>
      <c r="HJA46" s="78"/>
      <c r="HJB46" s="78"/>
      <c r="HJC46" s="78"/>
      <c r="HJD46" s="78"/>
      <c r="HJE46" s="78"/>
      <c r="HJF46" s="78"/>
      <c r="HJG46" s="78"/>
      <c r="HJH46" s="78"/>
      <c r="HJI46" s="78"/>
      <c r="HJJ46" s="78"/>
      <c r="HJK46" s="78"/>
      <c r="HJL46" s="78"/>
      <c r="HJM46" s="78"/>
      <c r="HJN46" s="78"/>
      <c r="HJO46" s="78"/>
      <c r="HJP46" s="78"/>
      <c r="HJQ46" s="78"/>
      <c r="HJR46" s="78"/>
      <c r="HJS46" s="78"/>
      <c r="HJT46" s="78"/>
      <c r="HJU46" s="78"/>
      <c r="HJV46" s="78"/>
      <c r="HJW46" s="78"/>
      <c r="HJX46" s="78"/>
      <c r="HJY46" s="78"/>
      <c r="HJZ46" s="78"/>
      <c r="HKA46" s="78"/>
      <c r="HKB46" s="78"/>
      <c r="HKC46" s="78"/>
      <c r="HKD46" s="78"/>
      <c r="HKE46" s="78"/>
      <c r="HKF46" s="78"/>
      <c r="HKG46" s="78"/>
      <c r="HKH46" s="78"/>
      <c r="HKI46" s="78"/>
      <c r="HKJ46" s="78"/>
      <c r="HKK46" s="78"/>
      <c r="HKL46" s="78"/>
      <c r="HKM46" s="78"/>
      <c r="HKN46" s="78"/>
      <c r="HKO46" s="78"/>
      <c r="HKP46" s="78"/>
      <c r="HKQ46" s="78"/>
      <c r="HKR46" s="78"/>
      <c r="HKS46" s="78"/>
      <c r="HKT46" s="78"/>
      <c r="HKU46" s="78"/>
      <c r="HKV46" s="78"/>
      <c r="HKW46" s="78"/>
      <c r="HKX46" s="78"/>
      <c r="HKY46" s="78"/>
      <c r="HKZ46" s="78"/>
      <c r="HLA46" s="78"/>
      <c r="HLB46" s="78"/>
      <c r="HLC46" s="78"/>
      <c r="HLD46" s="78"/>
      <c r="HLE46" s="78"/>
      <c r="HLF46" s="78"/>
      <c r="HLG46" s="78"/>
      <c r="HLH46" s="78"/>
      <c r="HLI46" s="78"/>
      <c r="HLJ46" s="78"/>
      <c r="HLK46" s="78"/>
      <c r="HLL46" s="78"/>
      <c r="HLM46" s="78"/>
      <c r="HLN46" s="78"/>
      <c r="HLO46" s="78"/>
      <c r="HLP46" s="78"/>
      <c r="HLQ46" s="78"/>
      <c r="HLR46" s="78"/>
      <c r="HLS46" s="78"/>
      <c r="HLT46" s="78"/>
      <c r="HLU46" s="78"/>
      <c r="HLV46" s="78"/>
      <c r="HLW46" s="78"/>
      <c r="HLX46" s="78"/>
      <c r="HLY46" s="78"/>
      <c r="HLZ46" s="78"/>
      <c r="HMA46" s="78"/>
      <c r="HMB46" s="78"/>
      <c r="HMC46" s="78"/>
      <c r="HMD46" s="78"/>
      <c r="HME46" s="78"/>
      <c r="HMF46" s="78"/>
      <c r="HMG46" s="78"/>
      <c r="HMH46" s="78"/>
      <c r="HMI46" s="78"/>
      <c r="HMJ46" s="78"/>
      <c r="HMK46" s="78"/>
      <c r="HML46" s="78"/>
      <c r="HMM46" s="78"/>
      <c r="HMN46" s="78"/>
      <c r="HMO46" s="78"/>
      <c r="HMP46" s="78"/>
      <c r="HMQ46" s="78"/>
      <c r="HMR46" s="78"/>
      <c r="HMS46" s="78"/>
      <c r="HMT46" s="78"/>
      <c r="HMU46" s="78"/>
      <c r="HMV46" s="78"/>
      <c r="HMW46" s="78"/>
      <c r="HMX46" s="78"/>
      <c r="HMY46" s="78"/>
      <c r="HMZ46" s="78"/>
      <c r="HNA46" s="78"/>
      <c r="HNB46" s="78"/>
      <c r="HNC46" s="78"/>
      <c r="HND46" s="78"/>
      <c r="HNE46" s="78"/>
      <c r="HNF46" s="78"/>
      <c r="HNG46" s="78"/>
      <c r="HNH46" s="78"/>
      <c r="HNI46" s="78"/>
      <c r="HNJ46" s="78"/>
      <c r="HNK46" s="78"/>
      <c r="HNL46" s="78"/>
      <c r="HNM46" s="78"/>
      <c r="HNN46" s="78"/>
      <c r="HNO46" s="78"/>
      <c r="HNP46" s="78"/>
      <c r="HNQ46" s="78"/>
      <c r="HNR46" s="78"/>
      <c r="HNS46" s="78"/>
      <c r="HNT46" s="78"/>
      <c r="HNU46" s="78"/>
      <c r="HNV46" s="78"/>
      <c r="HNW46" s="78"/>
      <c r="HNX46" s="78"/>
      <c r="HNY46" s="78"/>
      <c r="HNZ46" s="78"/>
      <c r="HOA46" s="78"/>
      <c r="HOB46" s="78"/>
      <c r="HOC46" s="78"/>
      <c r="HOD46" s="78"/>
      <c r="HOE46" s="78"/>
      <c r="HOF46" s="78"/>
      <c r="HOG46" s="78"/>
      <c r="HOH46" s="78"/>
      <c r="HOI46" s="78"/>
      <c r="HOJ46" s="78"/>
      <c r="HOK46" s="78"/>
      <c r="HOL46" s="78"/>
      <c r="HOM46" s="78"/>
      <c r="HON46" s="78"/>
      <c r="HOO46" s="78"/>
      <c r="HOP46" s="78"/>
      <c r="HOQ46" s="78"/>
      <c r="HOR46" s="78"/>
      <c r="HOS46" s="78"/>
      <c r="HOT46" s="78"/>
      <c r="HOU46" s="78"/>
      <c r="HOV46" s="78"/>
      <c r="HOW46" s="78"/>
      <c r="HOX46" s="78"/>
      <c r="HOY46" s="78"/>
      <c r="HOZ46" s="78"/>
      <c r="HPA46" s="78"/>
      <c r="HPB46" s="78"/>
      <c r="HPC46" s="78"/>
      <c r="HPD46" s="78"/>
      <c r="HPE46" s="78"/>
      <c r="HPF46" s="78"/>
      <c r="HPG46" s="78"/>
      <c r="HPH46" s="78"/>
      <c r="HPI46" s="78"/>
      <c r="HPJ46" s="78"/>
      <c r="HPK46" s="78"/>
      <c r="HPL46" s="78"/>
      <c r="HPM46" s="78"/>
      <c r="HPN46" s="78"/>
      <c r="HPO46" s="78"/>
      <c r="HPP46" s="78"/>
      <c r="HPQ46" s="78"/>
      <c r="HPR46" s="78"/>
      <c r="HPS46" s="78"/>
      <c r="HPT46" s="78"/>
      <c r="HPU46" s="78"/>
      <c r="HPV46" s="78"/>
      <c r="HPW46" s="78"/>
      <c r="HPX46" s="78"/>
      <c r="HPY46" s="78"/>
      <c r="HPZ46" s="78"/>
      <c r="HQA46" s="78"/>
      <c r="HQB46" s="78"/>
      <c r="HQC46" s="78"/>
      <c r="HQD46" s="78"/>
      <c r="HQE46" s="78"/>
      <c r="HQF46" s="78"/>
      <c r="HQG46" s="78"/>
      <c r="HQH46" s="78"/>
      <c r="HQI46" s="78"/>
      <c r="HQJ46" s="78"/>
      <c r="HQK46" s="78"/>
      <c r="HQL46" s="78"/>
      <c r="HQM46" s="78"/>
      <c r="HQN46" s="78"/>
      <c r="HQO46" s="78"/>
      <c r="HQP46" s="78"/>
      <c r="HQQ46" s="78"/>
      <c r="HQR46" s="78"/>
      <c r="HQS46" s="78"/>
      <c r="HQT46" s="78"/>
      <c r="HQU46" s="78"/>
      <c r="HQV46" s="78"/>
      <c r="HQW46" s="78"/>
      <c r="HQX46" s="78"/>
      <c r="HQY46" s="78"/>
      <c r="HQZ46" s="78"/>
      <c r="HRA46" s="78"/>
      <c r="HRB46" s="78"/>
      <c r="HRC46" s="78"/>
      <c r="HRD46" s="78"/>
      <c r="HRE46" s="78"/>
      <c r="HRF46" s="78"/>
      <c r="HRG46" s="78"/>
      <c r="HRH46" s="78"/>
      <c r="HRI46" s="78"/>
      <c r="HRJ46" s="78"/>
      <c r="HRK46" s="78"/>
      <c r="HRL46" s="78"/>
      <c r="HRM46" s="78"/>
      <c r="HRN46" s="78"/>
      <c r="HRO46" s="78"/>
      <c r="HRP46" s="78"/>
      <c r="HRQ46" s="78"/>
      <c r="HRR46" s="78"/>
      <c r="HRS46" s="78"/>
      <c r="HRT46" s="78"/>
      <c r="HRU46" s="78"/>
      <c r="HRV46" s="78"/>
      <c r="HRW46" s="78"/>
      <c r="HRX46" s="78"/>
      <c r="HRY46" s="78"/>
      <c r="HRZ46" s="78"/>
      <c r="HSA46" s="78"/>
      <c r="HSB46" s="78"/>
      <c r="HSC46" s="78"/>
      <c r="HSD46" s="78"/>
      <c r="HSE46" s="78"/>
      <c r="HSF46" s="78"/>
      <c r="HSG46" s="78"/>
      <c r="HSH46" s="78"/>
      <c r="HSI46" s="78"/>
      <c r="HSJ46" s="78"/>
      <c r="HSK46" s="78"/>
      <c r="HSL46" s="78"/>
      <c r="HSM46" s="78"/>
      <c r="HSN46" s="78"/>
      <c r="HSO46" s="78"/>
      <c r="HSP46" s="78"/>
      <c r="HSQ46" s="78"/>
      <c r="HSR46" s="78"/>
      <c r="HSS46" s="78"/>
      <c r="HST46" s="78"/>
      <c r="HSU46" s="78"/>
      <c r="HSV46" s="78"/>
      <c r="HSW46" s="78"/>
      <c r="HSX46" s="78"/>
      <c r="HSY46" s="78"/>
      <c r="HSZ46" s="78"/>
      <c r="HTA46" s="78"/>
      <c r="HTB46" s="78"/>
      <c r="HTC46" s="78"/>
      <c r="HTD46" s="78"/>
      <c r="HTE46" s="78"/>
      <c r="HTF46" s="78"/>
      <c r="HTG46" s="78"/>
      <c r="HTH46" s="78"/>
      <c r="HTI46" s="78"/>
      <c r="HTJ46" s="78"/>
      <c r="HTK46" s="78"/>
      <c r="HTL46" s="78"/>
      <c r="HTM46" s="78"/>
      <c r="HTN46" s="78"/>
      <c r="HTO46" s="78"/>
      <c r="HTP46" s="78"/>
      <c r="HTQ46" s="78"/>
      <c r="HTR46" s="78"/>
      <c r="HTS46" s="78"/>
      <c r="HTT46" s="78"/>
      <c r="HTU46" s="78"/>
      <c r="HTV46" s="78"/>
      <c r="HTW46" s="78"/>
      <c r="HTX46" s="78"/>
      <c r="HTY46" s="78"/>
      <c r="HTZ46" s="78"/>
      <c r="HUA46" s="78"/>
      <c r="HUB46" s="78"/>
      <c r="HUC46" s="78"/>
      <c r="HUD46" s="78"/>
      <c r="HUE46" s="78"/>
      <c r="HUF46" s="78"/>
      <c r="HUG46" s="78"/>
      <c r="HUH46" s="78"/>
      <c r="HUI46" s="78"/>
      <c r="HUJ46" s="78"/>
      <c r="HUK46" s="78"/>
      <c r="HUL46" s="78"/>
      <c r="HUM46" s="78"/>
      <c r="HUN46" s="78"/>
      <c r="HUO46" s="78"/>
      <c r="HUP46" s="78"/>
      <c r="HUQ46" s="78"/>
      <c r="HUR46" s="78"/>
      <c r="HUS46" s="78"/>
      <c r="HUT46" s="78"/>
      <c r="HUU46" s="78"/>
      <c r="HUV46" s="78"/>
      <c r="HUW46" s="78"/>
      <c r="HUX46" s="78"/>
      <c r="HUY46" s="78"/>
      <c r="HUZ46" s="78"/>
      <c r="HVA46" s="78"/>
      <c r="HVB46" s="78"/>
      <c r="HVC46" s="78"/>
      <c r="HVD46" s="78"/>
      <c r="HVE46" s="78"/>
      <c r="HVF46" s="78"/>
      <c r="HVG46" s="78"/>
      <c r="HVH46" s="78"/>
      <c r="HVI46" s="78"/>
      <c r="HVJ46" s="78"/>
      <c r="HVK46" s="78"/>
      <c r="HVL46" s="78"/>
      <c r="HVM46" s="78"/>
      <c r="HVN46" s="78"/>
      <c r="HVO46" s="78"/>
      <c r="HVP46" s="78"/>
      <c r="HVQ46" s="78"/>
      <c r="HVR46" s="78"/>
      <c r="HVS46" s="78"/>
      <c r="HVT46" s="78"/>
      <c r="HVU46" s="78"/>
      <c r="HVV46" s="78"/>
      <c r="HVW46" s="78"/>
      <c r="HVX46" s="78"/>
      <c r="HVY46" s="78"/>
      <c r="HVZ46" s="78"/>
      <c r="HWA46" s="78"/>
      <c r="HWB46" s="78"/>
      <c r="HWC46" s="78"/>
      <c r="HWD46" s="78"/>
      <c r="HWE46" s="78"/>
      <c r="HWF46" s="78"/>
      <c r="HWG46" s="78"/>
      <c r="HWH46" s="78"/>
      <c r="HWI46" s="78"/>
      <c r="HWJ46" s="78"/>
      <c r="HWK46" s="78"/>
      <c r="HWL46" s="78"/>
      <c r="HWM46" s="78"/>
      <c r="HWN46" s="78"/>
      <c r="HWO46" s="78"/>
      <c r="HWP46" s="78"/>
      <c r="HWQ46" s="78"/>
      <c r="HWR46" s="78"/>
      <c r="HWS46" s="78"/>
      <c r="HWT46" s="78"/>
      <c r="HWU46" s="78"/>
      <c r="HWV46" s="78"/>
      <c r="HWW46" s="78"/>
      <c r="HWX46" s="78"/>
      <c r="HWY46" s="78"/>
      <c r="HWZ46" s="78"/>
      <c r="HXA46" s="78"/>
      <c r="HXB46" s="78"/>
      <c r="HXC46" s="78"/>
      <c r="HXD46" s="78"/>
      <c r="HXE46" s="78"/>
      <c r="HXF46" s="78"/>
      <c r="HXG46" s="78"/>
      <c r="HXH46" s="78"/>
      <c r="HXI46" s="78"/>
      <c r="HXJ46" s="78"/>
      <c r="HXK46" s="78"/>
      <c r="HXL46" s="78"/>
      <c r="HXM46" s="78"/>
      <c r="HXN46" s="78"/>
      <c r="HXO46" s="78"/>
      <c r="HXP46" s="78"/>
      <c r="HXQ46" s="78"/>
      <c r="HXR46" s="78"/>
      <c r="HXS46" s="78"/>
      <c r="HXT46" s="78"/>
      <c r="HXU46" s="78"/>
      <c r="HXV46" s="78"/>
      <c r="HXW46" s="78"/>
      <c r="HXX46" s="78"/>
      <c r="HXY46" s="78"/>
      <c r="HXZ46" s="78"/>
      <c r="HYA46" s="78"/>
      <c r="HYB46" s="78"/>
      <c r="HYC46" s="78"/>
      <c r="HYD46" s="78"/>
      <c r="HYE46" s="78"/>
      <c r="HYF46" s="78"/>
      <c r="HYG46" s="78"/>
      <c r="HYH46" s="78"/>
      <c r="HYI46" s="78"/>
      <c r="HYJ46" s="78"/>
      <c r="HYK46" s="78"/>
      <c r="HYL46" s="78"/>
      <c r="HYM46" s="78"/>
      <c r="HYN46" s="78"/>
      <c r="HYO46" s="78"/>
      <c r="HYP46" s="78"/>
      <c r="HYQ46" s="78"/>
      <c r="HYR46" s="78"/>
      <c r="HYS46" s="78"/>
      <c r="HYT46" s="78"/>
      <c r="HYU46" s="78"/>
      <c r="HYV46" s="78"/>
      <c r="HYW46" s="78"/>
      <c r="HYX46" s="78"/>
      <c r="HYY46" s="78"/>
      <c r="HYZ46" s="78"/>
      <c r="HZA46" s="78"/>
      <c r="HZB46" s="78"/>
      <c r="HZC46" s="78"/>
      <c r="HZD46" s="78"/>
      <c r="HZE46" s="78"/>
      <c r="HZF46" s="78"/>
      <c r="HZG46" s="78"/>
      <c r="HZH46" s="78"/>
      <c r="HZI46" s="78"/>
      <c r="HZJ46" s="78"/>
      <c r="HZK46" s="78"/>
      <c r="HZL46" s="78"/>
      <c r="HZM46" s="78"/>
      <c r="HZN46" s="78"/>
      <c r="HZO46" s="78"/>
      <c r="HZP46" s="78"/>
      <c r="HZQ46" s="78"/>
      <c r="HZR46" s="78"/>
      <c r="HZS46" s="78"/>
      <c r="HZT46" s="78"/>
      <c r="HZU46" s="78"/>
      <c r="HZV46" s="78"/>
      <c r="HZW46" s="78"/>
      <c r="HZX46" s="78"/>
      <c r="HZY46" s="78"/>
      <c r="HZZ46" s="78"/>
      <c r="IAA46" s="78"/>
      <c r="IAB46" s="78"/>
      <c r="IAC46" s="78"/>
      <c r="IAD46" s="78"/>
      <c r="IAE46" s="78"/>
      <c r="IAF46" s="78"/>
      <c r="IAG46" s="78"/>
      <c r="IAH46" s="78"/>
      <c r="IAI46" s="78"/>
      <c r="IAJ46" s="78"/>
      <c r="IAK46" s="78"/>
      <c r="IAL46" s="78"/>
      <c r="IAM46" s="78"/>
      <c r="IAN46" s="78"/>
      <c r="IAO46" s="78"/>
      <c r="IAP46" s="78"/>
      <c r="IAQ46" s="78"/>
      <c r="IAR46" s="78"/>
      <c r="IAS46" s="78"/>
      <c r="IAT46" s="78"/>
      <c r="IAU46" s="78"/>
      <c r="IAV46" s="78"/>
      <c r="IAW46" s="78"/>
      <c r="IAX46" s="78"/>
      <c r="IAY46" s="78"/>
      <c r="IAZ46" s="78"/>
      <c r="IBA46" s="78"/>
      <c r="IBB46" s="78"/>
      <c r="IBC46" s="78"/>
      <c r="IBD46" s="78"/>
      <c r="IBE46" s="78"/>
      <c r="IBF46" s="78"/>
      <c r="IBG46" s="78"/>
      <c r="IBH46" s="78"/>
      <c r="IBI46" s="78"/>
      <c r="IBJ46" s="78"/>
      <c r="IBK46" s="78"/>
      <c r="IBL46" s="78"/>
      <c r="IBM46" s="78"/>
      <c r="IBN46" s="78"/>
      <c r="IBO46" s="78"/>
      <c r="IBP46" s="78"/>
      <c r="IBQ46" s="78"/>
      <c r="IBR46" s="78"/>
      <c r="IBS46" s="78"/>
      <c r="IBT46" s="78"/>
      <c r="IBU46" s="78"/>
      <c r="IBV46" s="78"/>
      <c r="IBW46" s="78"/>
      <c r="IBX46" s="78"/>
      <c r="IBY46" s="78"/>
      <c r="IBZ46" s="78"/>
      <c r="ICA46" s="78"/>
      <c r="ICB46" s="78"/>
      <c r="ICC46" s="78"/>
      <c r="ICD46" s="78"/>
      <c r="ICE46" s="78"/>
      <c r="ICF46" s="78"/>
      <c r="ICG46" s="78"/>
      <c r="ICH46" s="78"/>
      <c r="ICI46" s="78"/>
      <c r="ICJ46" s="78"/>
      <c r="ICK46" s="78"/>
      <c r="ICL46" s="78"/>
      <c r="ICM46" s="78"/>
      <c r="ICN46" s="78"/>
      <c r="ICO46" s="78"/>
      <c r="ICP46" s="78"/>
      <c r="ICQ46" s="78"/>
      <c r="ICR46" s="78"/>
      <c r="ICS46" s="78"/>
      <c r="ICT46" s="78"/>
      <c r="ICU46" s="78"/>
      <c r="ICV46" s="78"/>
      <c r="ICW46" s="78"/>
      <c r="ICX46" s="78"/>
      <c r="ICY46" s="78"/>
      <c r="ICZ46" s="78"/>
      <c r="IDA46" s="78"/>
      <c r="IDB46" s="78"/>
      <c r="IDC46" s="78"/>
      <c r="IDD46" s="78"/>
      <c r="IDE46" s="78"/>
      <c r="IDF46" s="78"/>
      <c r="IDG46" s="78"/>
      <c r="IDH46" s="78"/>
      <c r="IDI46" s="78"/>
      <c r="IDJ46" s="78"/>
      <c r="IDK46" s="78"/>
      <c r="IDL46" s="78"/>
      <c r="IDM46" s="78"/>
      <c r="IDN46" s="78"/>
      <c r="IDO46" s="78"/>
      <c r="IDP46" s="78"/>
      <c r="IDQ46" s="78"/>
      <c r="IDR46" s="78"/>
      <c r="IDS46" s="78"/>
      <c r="IDT46" s="78"/>
      <c r="IDU46" s="78"/>
      <c r="IDV46" s="78"/>
      <c r="IDW46" s="78"/>
      <c r="IDX46" s="78"/>
      <c r="IDY46" s="78"/>
      <c r="IDZ46" s="78"/>
      <c r="IEA46" s="78"/>
      <c r="IEB46" s="78"/>
      <c r="IEC46" s="78"/>
      <c r="IED46" s="78"/>
      <c r="IEE46" s="78"/>
      <c r="IEF46" s="78"/>
      <c r="IEG46" s="78"/>
      <c r="IEH46" s="78"/>
      <c r="IEI46" s="78"/>
      <c r="IEJ46" s="78"/>
      <c r="IEK46" s="78"/>
      <c r="IEL46" s="78"/>
      <c r="IEM46" s="78"/>
      <c r="IEN46" s="78"/>
      <c r="IEO46" s="78"/>
      <c r="IEP46" s="78"/>
      <c r="IEQ46" s="78"/>
      <c r="IER46" s="78"/>
      <c r="IES46" s="78"/>
      <c r="IET46" s="78"/>
      <c r="IEU46" s="78"/>
      <c r="IEV46" s="78"/>
      <c r="IEW46" s="78"/>
      <c r="IEX46" s="78"/>
      <c r="IEY46" s="78"/>
      <c r="IEZ46" s="78"/>
      <c r="IFA46" s="78"/>
      <c r="IFB46" s="78"/>
      <c r="IFC46" s="78"/>
      <c r="IFD46" s="78"/>
      <c r="IFE46" s="78"/>
      <c r="IFF46" s="78"/>
      <c r="IFG46" s="78"/>
      <c r="IFH46" s="78"/>
      <c r="IFI46" s="78"/>
      <c r="IFJ46" s="78"/>
      <c r="IFK46" s="78"/>
      <c r="IFL46" s="78"/>
      <c r="IFM46" s="78"/>
      <c r="IFN46" s="78"/>
      <c r="IFO46" s="78"/>
      <c r="IFP46" s="78"/>
      <c r="IFQ46" s="78"/>
      <c r="IFR46" s="78"/>
      <c r="IFS46" s="78"/>
      <c r="IFT46" s="78"/>
      <c r="IFU46" s="78"/>
      <c r="IFV46" s="78"/>
      <c r="IFW46" s="78"/>
      <c r="IFX46" s="78"/>
      <c r="IFY46" s="78"/>
      <c r="IFZ46" s="78"/>
      <c r="IGA46" s="78"/>
      <c r="IGB46" s="78"/>
      <c r="IGC46" s="78"/>
      <c r="IGD46" s="78"/>
      <c r="IGE46" s="78"/>
      <c r="IGF46" s="78"/>
      <c r="IGG46" s="78"/>
      <c r="IGH46" s="78"/>
      <c r="IGI46" s="78"/>
      <c r="IGJ46" s="78"/>
      <c r="IGK46" s="78"/>
      <c r="IGL46" s="78"/>
      <c r="IGM46" s="78"/>
      <c r="IGN46" s="78"/>
      <c r="IGO46" s="78"/>
      <c r="IGP46" s="78"/>
      <c r="IGQ46" s="78"/>
      <c r="IGR46" s="78"/>
      <c r="IGS46" s="78"/>
      <c r="IGT46" s="78"/>
      <c r="IGU46" s="78"/>
      <c r="IGV46" s="78"/>
      <c r="IGW46" s="78"/>
      <c r="IGX46" s="78"/>
      <c r="IGY46" s="78"/>
      <c r="IGZ46" s="78"/>
      <c r="IHA46" s="78"/>
      <c r="IHB46" s="78"/>
      <c r="IHC46" s="78"/>
      <c r="IHD46" s="78"/>
      <c r="IHE46" s="78"/>
      <c r="IHF46" s="78"/>
      <c r="IHG46" s="78"/>
      <c r="IHH46" s="78"/>
      <c r="IHI46" s="78"/>
      <c r="IHJ46" s="78"/>
      <c r="IHK46" s="78"/>
      <c r="IHL46" s="78"/>
      <c r="IHM46" s="78"/>
      <c r="IHN46" s="78"/>
      <c r="IHO46" s="78"/>
      <c r="IHP46" s="78"/>
      <c r="IHQ46" s="78"/>
      <c r="IHR46" s="78"/>
      <c r="IHS46" s="78"/>
      <c r="IHT46" s="78"/>
      <c r="IHU46" s="78"/>
      <c r="IHV46" s="78"/>
      <c r="IHW46" s="78"/>
      <c r="IHX46" s="78"/>
      <c r="IHY46" s="78"/>
      <c r="IHZ46" s="78"/>
      <c r="IIA46" s="78"/>
      <c r="IIB46" s="78"/>
      <c r="IIC46" s="78"/>
      <c r="IID46" s="78"/>
      <c r="IIE46" s="78"/>
      <c r="IIF46" s="78"/>
      <c r="IIG46" s="78"/>
      <c r="IIH46" s="78"/>
      <c r="III46" s="78"/>
      <c r="IIJ46" s="78"/>
      <c r="IIK46" s="78"/>
      <c r="IIL46" s="78"/>
      <c r="IIM46" s="78"/>
      <c r="IIN46" s="78"/>
      <c r="IIO46" s="78"/>
      <c r="IIP46" s="78"/>
      <c r="IIQ46" s="78"/>
      <c r="IIR46" s="78"/>
      <c r="IIS46" s="78"/>
      <c r="IIT46" s="78"/>
      <c r="IIU46" s="78"/>
      <c r="IIV46" s="78"/>
      <c r="IIW46" s="78"/>
      <c r="IIX46" s="78"/>
      <c r="IIY46" s="78"/>
      <c r="IIZ46" s="78"/>
      <c r="IJA46" s="78"/>
      <c r="IJB46" s="78"/>
      <c r="IJC46" s="78"/>
      <c r="IJD46" s="78"/>
      <c r="IJE46" s="78"/>
      <c r="IJF46" s="78"/>
      <c r="IJG46" s="78"/>
      <c r="IJH46" s="78"/>
      <c r="IJI46" s="78"/>
      <c r="IJJ46" s="78"/>
      <c r="IJK46" s="78"/>
      <c r="IJL46" s="78"/>
      <c r="IJM46" s="78"/>
      <c r="IJN46" s="78"/>
      <c r="IJO46" s="78"/>
      <c r="IJP46" s="78"/>
      <c r="IJQ46" s="78"/>
      <c r="IJR46" s="78"/>
      <c r="IJS46" s="78"/>
      <c r="IJT46" s="78"/>
      <c r="IJU46" s="78"/>
      <c r="IJV46" s="78"/>
      <c r="IJW46" s="78"/>
      <c r="IJX46" s="78"/>
      <c r="IJY46" s="78"/>
      <c r="IJZ46" s="78"/>
      <c r="IKA46" s="78"/>
      <c r="IKB46" s="78"/>
      <c r="IKC46" s="78"/>
      <c r="IKD46" s="78"/>
      <c r="IKE46" s="78"/>
      <c r="IKF46" s="78"/>
      <c r="IKG46" s="78"/>
      <c r="IKH46" s="78"/>
      <c r="IKI46" s="78"/>
      <c r="IKJ46" s="78"/>
      <c r="IKK46" s="78"/>
      <c r="IKL46" s="78"/>
      <c r="IKM46" s="78"/>
      <c r="IKN46" s="78"/>
      <c r="IKO46" s="78"/>
      <c r="IKP46" s="78"/>
      <c r="IKQ46" s="78"/>
      <c r="IKR46" s="78"/>
      <c r="IKS46" s="78"/>
      <c r="IKT46" s="78"/>
      <c r="IKU46" s="78"/>
      <c r="IKV46" s="78"/>
      <c r="IKW46" s="78"/>
      <c r="IKX46" s="78"/>
      <c r="IKY46" s="78"/>
      <c r="IKZ46" s="78"/>
      <c r="ILA46" s="78"/>
      <c r="ILB46" s="78"/>
      <c r="ILC46" s="78"/>
      <c r="ILD46" s="78"/>
      <c r="ILE46" s="78"/>
      <c r="ILF46" s="78"/>
      <c r="ILG46" s="78"/>
      <c r="ILH46" s="78"/>
      <c r="ILI46" s="78"/>
      <c r="ILJ46" s="78"/>
      <c r="ILK46" s="78"/>
      <c r="ILL46" s="78"/>
      <c r="ILM46" s="78"/>
      <c r="ILN46" s="78"/>
      <c r="ILO46" s="78"/>
      <c r="ILP46" s="78"/>
      <c r="ILQ46" s="78"/>
      <c r="ILR46" s="78"/>
      <c r="ILS46" s="78"/>
      <c r="ILT46" s="78"/>
      <c r="ILU46" s="78"/>
      <c r="ILV46" s="78"/>
      <c r="ILW46" s="78"/>
      <c r="ILX46" s="78"/>
      <c r="ILY46" s="78"/>
      <c r="ILZ46" s="78"/>
      <c r="IMA46" s="78"/>
      <c r="IMB46" s="78"/>
      <c r="IMC46" s="78"/>
      <c r="IMD46" s="78"/>
      <c r="IME46" s="78"/>
      <c r="IMF46" s="78"/>
      <c r="IMG46" s="78"/>
      <c r="IMH46" s="78"/>
      <c r="IMI46" s="78"/>
      <c r="IMJ46" s="78"/>
      <c r="IMK46" s="78"/>
      <c r="IML46" s="78"/>
      <c r="IMM46" s="78"/>
      <c r="IMN46" s="78"/>
      <c r="IMO46" s="78"/>
      <c r="IMP46" s="78"/>
      <c r="IMQ46" s="78"/>
      <c r="IMR46" s="78"/>
      <c r="IMS46" s="78"/>
      <c r="IMT46" s="78"/>
      <c r="IMU46" s="78"/>
      <c r="IMV46" s="78"/>
      <c r="IMW46" s="78"/>
      <c r="IMX46" s="78"/>
      <c r="IMY46" s="78"/>
      <c r="IMZ46" s="78"/>
      <c r="INA46" s="78"/>
      <c r="INB46" s="78"/>
      <c r="INC46" s="78"/>
      <c r="IND46" s="78"/>
      <c r="INE46" s="78"/>
      <c r="INF46" s="78"/>
      <c r="ING46" s="78"/>
      <c r="INH46" s="78"/>
      <c r="INI46" s="78"/>
      <c r="INJ46" s="78"/>
      <c r="INK46" s="78"/>
      <c r="INL46" s="78"/>
      <c r="INM46" s="78"/>
      <c r="INN46" s="78"/>
      <c r="INO46" s="78"/>
      <c r="INP46" s="78"/>
      <c r="INQ46" s="78"/>
      <c r="INR46" s="78"/>
      <c r="INS46" s="78"/>
      <c r="INT46" s="78"/>
      <c r="INU46" s="78"/>
      <c r="INV46" s="78"/>
      <c r="INW46" s="78"/>
      <c r="INX46" s="78"/>
      <c r="INY46" s="78"/>
      <c r="INZ46" s="78"/>
      <c r="IOA46" s="78"/>
      <c r="IOB46" s="78"/>
      <c r="IOC46" s="78"/>
      <c r="IOD46" s="78"/>
      <c r="IOE46" s="78"/>
      <c r="IOF46" s="78"/>
      <c r="IOG46" s="78"/>
      <c r="IOH46" s="78"/>
      <c r="IOI46" s="78"/>
      <c r="IOJ46" s="78"/>
      <c r="IOK46" s="78"/>
      <c r="IOL46" s="78"/>
      <c r="IOM46" s="78"/>
      <c r="ION46" s="78"/>
      <c r="IOO46" s="78"/>
      <c r="IOP46" s="78"/>
      <c r="IOQ46" s="78"/>
      <c r="IOR46" s="78"/>
      <c r="IOS46" s="78"/>
      <c r="IOT46" s="78"/>
      <c r="IOU46" s="78"/>
      <c r="IOV46" s="78"/>
      <c r="IOW46" s="78"/>
      <c r="IOX46" s="78"/>
      <c r="IOY46" s="78"/>
      <c r="IOZ46" s="78"/>
      <c r="IPA46" s="78"/>
      <c r="IPB46" s="78"/>
      <c r="IPC46" s="78"/>
      <c r="IPD46" s="78"/>
      <c r="IPE46" s="78"/>
      <c r="IPF46" s="78"/>
      <c r="IPG46" s="78"/>
      <c r="IPH46" s="78"/>
      <c r="IPI46" s="78"/>
      <c r="IPJ46" s="78"/>
      <c r="IPK46" s="78"/>
      <c r="IPL46" s="78"/>
      <c r="IPM46" s="78"/>
      <c r="IPN46" s="78"/>
      <c r="IPO46" s="78"/>
      <c r="IPP46" s="78"/>
      <c r="IPQ46" s="78"/>
      <c r="IPR46" s="78"/>
      <c r="IPS46" s="78"/>
      <c r="IPT46" s="78"/>
      <c r="IPU46" s="78"/>
      <c r="IPV46" s="78"/>
      <c r="IPW46" s="78"/>
      <c r="IPX46" s="78"/>
      <c r="IPY46" s="78"/>
      <c r="IPZ46" s="78"/>
      <c r="IQA46" s="78"/>
      <c r="IQB46" s="78"/>
      <c r="IQC46" s="78"/>
      <c r="IQD46" s="78"/>
      <c r="IQE46" s="78"/>
      <c r="IQF46" s="78"/>
      <c r="IQG46" s="78"/>
      <c r="IQH46" s="78"/>
      <c r="IQI46" s="78"/>
      <c r="IQJ46" s="78"/>
      <c r="IQK46" s="78"/>
      <c r="IQL46" s="78"/>
      <c r="IQM46" s="78"/>
      <c r="IQN46" s="78"/>
      <c r="IQO46" s="78"/>
      <c r="IQP46" s="78"/>
      <c r="IQQ46" s="78"/>
      <c r="IQR46" s="78"/>
      <c r="IQS46" s="78"/>
      <c r="IQT46" s="78"/>
      <c r="IQU46" s="78"/>
      <c r="IQV46" s="78"/>
      <c r="IQW46" s="78"/>
      <c r="IQX46" s="78"/>
      <c r="IQY46" s="78"/>
      <c r="IQZ46" s="78"/>
      <c r="IRA46" s="78"/>
      <c r="IRB46" s="78"/>
      <c r="IRC46" s="78"/>
      <c r="IRD46" s="78"/>
      <c r="IRE46" s="78"/>
      <c r="IRF46" s="78"/>
      <c r="IRG46" s="78"/>
      <c r="IRH46" s="78"/>
      <c r="IRI46" s="78"/>
      <c r="IRJ46" s="78"/>
      <c r="IRK46" s="78"/>
      <c r="IRL46" s="78"/>
      <c r="IRM46" s="78"/>
      <c r="IRN46" s="78"/>
      <c r="IRO46" s="78"/>
      <c r="IRP46" s="78"/>
      <c r="IRQ46" s="78"/>
      <c r="IRR46" s="78"/>
      <c r="IRS46" s="78"/>
      <c r="IRT46" s="78"/>
      <c r="IRU46" s="78"/>
      <c r="IRV46" s="78"/>
      <c r="IRW46" s="78"/>
      <c r="IRX46" s="78"/>
      <c r="IRY46" s="78"/>
      <c r="IRZ46" s="78"/>
      <c r="ISA46" s="78"/>
      <c r="ISB46" s="78"/>
      <c r="ISC46" s="78"/>
      <c r="ISD46" s="78"/>
      <c r="ISE46" s="78"/>
      <c r="ISF46" s="78"/>
      <c r="ISG46" s="78"/>
      <c r="ISH46" s="78"/>
      <c r="ISI46" s="78"/>
      <c r="ISJ46" s="78"/>
      <c r="ISK46" s="78"/>
      <c r="ISL46" s="78"/>
      <c r="ISM46" s="78"/>
      <c r="ISN46" s="78"/>
      <c r="ISO46" s="78"/>
      <c r="ISP46" s="78"/>
      <c r="ISQ46" s="78"/>
      <c r="ISR46" s="78"/>
      <c r="ISS46" s="78"/>
      <c r="IST46" s="78"/>
      <c r="ISU46" s="78"/>
      <c r="ISV46" s="78"/>
      <c r="ISW46" s="78"/>
      <c r="ISX46" s="78"/>
      <c r="ISY46" s="78"/>
      <c r="ISZ46" s="78"/>
      <c r="ITA46" s="78"/>
      <c r="ITB46" s="78"/>
      <c r="ITC46" s="78"/>
      <c r="ITD46" s="78"/>
      <c r="ITE46" s="78"/>
      <c r="ITF46" s="78"/>
      <c r="ITG46" s="78"/>
      <c r="ITH46" s="78"/>
      <c r="ITI46" s="78"/>
      <c r="ITJ46" s="78"/>
      <c r="ITK46" s="78"/>
      <c r="ITL46" s="78"/>
      <c r="ITM46" s="78"/>
      <c r="ITN46" s="78"/>
      <c r="ITO46" s="78"/>
      <c r="ITP46" s="78"/>
      <c r="ITQ46" s="78"/>
      <c r="ITR46" s="78"/>
      <c r="ITS46" s="78"/>
      <c r="ITT46" s="78"/>
      <c r="ITU46" s="78"/>
      <c r="ITV46" s="78"/>
      <c r="ITW46" s="78"/>
      <c r="ITX46" s="78"/>
      <c r="ITY46" s="78"/>
      <c r="ITZ46" s="78"/>
      <c r="IUA46" s="78"/>
      <c r="IUB46" s="78"/>
      <c r="IUC46" s="78"/>
      <c r="IUD46" s="78"/>
      <c r="IUE46" s="78"/>
      <c r="IUF46" s="78"/>
      <c r="IUG46" s="78"/>
      <c r="IUH46" s="78"/>
      <c r="IUI46" s="78"/>
      <c r="IUJ46" s="78"/>
      <c r="IUK46" s="78"/>
      <c r="IUL46" s="78"/>
      <c r="IUM46" s="78"/>
      <c r="IUN46" s="78"/>
      <c r="IUO46" s="78"/>
      <c r="IUP46" s="78"/>
      <c r="IUQ46" s="78"/>
      <c r="IUR46" s="78"/>
      <c r="IUS46" s="78"/>
      <c r="IUT46" s="78"/>
      <c r="IUU46" s="78"/>
      <c r="IUV46" s="78"/>
      <c r="IUW46" s="78"/>
      <c r="IUX46" s="78"/>
      <c r="IUY46" s="78"/>
      <c r="IUZ46" s="78"/>
      <c r="IVA46" s="78"/>
      <c r="IVB46" s="78"/>
      <c r="IVC46" s="78"/>
      <c r="IVD46" s="78"/>
      <c r="IVE46" s="78"/>
      <c r="IVF46" s="78"/>
      <c r="IVG46" s="78"/>
      <c r="IVH46" s="78"/>
      <c r="IVI46" s="78"/>
      <c r="IVJ46" s="78"/>
      <c r="IVK46" s="78"/>
      <c r="IVL46" s="78"/>
      <c r="IVM46" s="78"/>
      <c r="IVN46" s="78"/>
      <c r="IVO46" s="78"/>
      <c r="IVP46" s="78"/>
      <c r="IVQ46" s="78"/>
      <c r="IVR46" s="78"/>
      <c r="IVS46" s="78"/>
      <c r="IVT46" s="78"/>
      <c r="IVU46" s="78"/>
      <c r="IVV46" s="78"/>
      <c r="IVW46" s="78"/>
      <c r="IVX46" s="78"/>
      <c r="IVY46" s="78"/>
      <c r="IVZ46" s="78"/>
      <c r="IWA46" s="78"/>
      <c r="IWB46" s="78"/>
      <c r="IWC46" s="78"/>
      <c r="IWD46" s="78"/>
      <c r="IWE46" s="78"/>
      <c r="IWF46" s="78"/>
      <c r="IWG46" s="78"/>
      <c r="IWH46" s="78"/>
      <c r="IWI46" s="78"/>
      <c r="IWJ46" s="78"/>
      <c r="IWK46" s="78"/>
      <c r="IWL46" s="78"/>
      <c r="IWM46" s="78"/>
      <c r="IWN46" s="78"/>
      <c r="IWO46" s="78"/>
      <c r="IWP46" s="78"/>
      <c r="IWQ46" s="78"/>
      <c r="IWR46" s="78"/>
      <c r="IWS46" s="78"/>
      <c r="IWT46" s="78"/>
      <c r="IWU46" s="78"/>
      <c r="IWV46" s="78"/>
      <c r="IWW46" s="78"/>
      <c r="IWX46" s="78"/>
      <c r="IWY46" s="78"/>
      <c r="IWZ46" s="78"/>
      <c r="IXA46" s="78"/>
      <c r="IXB46" s="78"/>
      <c r="IXC46" s="78"/>
      <c r="IXD46" s="78"/>
      <c r="IXE46" s="78"/>
      <c r="IXF46" s="78"/>
      <c r="IXG46" s="78"/>
      <c r="IXH46" s="78"/>
      <c r="IXI46" s="78"/>
      <c r="IXJ46" s="78"/>
      <c r="IXK46" s="78"/>
      <c r="IXL46" s="78"/>
      <c r="IXM46" s="78"/>
      <c r="IXN46" s="78"/>
      <c r="IXO46" s="78"/>
      <c r="IXP46" s="78"/>
      <c r="IXQ46" s="78"/>
      <c r="IXR46" s="78"/>
      <c r="IXS46" s="78"/>
      <c r="IXT46" s="78"/>
      <c r="IXU46" s="78"/>
      <c r="IXV46" s="78"/>
      <c r="IXW46" s="78"/>
      <c r="IXX46" s="78"/>
      <c r="IXY46" s="78"/>
      <c r="IXZ46" s="78"/>
      <c r="IYA46" s="78"/>
      <c r="IYB46" s="78"/>
      <c r="IYC46" s="78"/>
      <c r="IYD46" s="78"/>
      <c r="IYE46" s="78"/>
      <c r="IYF46" s="78"/>
      <c r="IYG46" s="78"/>
      <c r="IYH46" s="78"/>
      <c r="IYI46" s="78"/>
      <c r="IYJ46" s="78"/>
      <c r="IYK46" s="78"/>
      <c r="IYL46" s="78"/>
      <c r="IYM46" s="78"/>
      <c r="IYN46" s="78"/>
      <c r="IYO46" s="78"/>
      <c r="IYP46" s="78"/>
      <c r="IYQ46" s="78"/>
      <c r="IYR46" s="78"/>
      <c r="IYS46" s="78"/>
      <c r="IYT46" s="78"/>
      <c r="IYU46" s="78"/>
      <c r="IYV46" s="78"/>
      <c r="IYW46" s="78"/>
      <c r="IYX46" s="78"/>
      <c r="IYY46" s="78"/>
      <c r="IYZ46" s="78"/>
      <c r="IZA46" s="78"/>
      <c r="IZB46" s="78"/>
      <c r="IZC46" s="78"/>
      <c r="IZD46" s="78"/>
      <c r="IZE46" s="78"/>
      <c r="IZF46" s="78"/>
      <c r="IZG46" s="78"/>
      <c r="IZH46" s="78"/>
      <c r="IZI46" s="78"/>
      <c r="IZJ46" s="78"/>
      <c r="IZK46" s="78"/>
      <c r="IZL46" s="78"/>
      <c r="IZM46" s="78"/>
      <c r="IZN46" s="78"/>
      <c r="IZO46" s="78"/>
      <c r="IZP46" s="78"/>
      <c r="IZQ46" s="78"/>
      <c r="IZR46" s="78"/>
      <c r="IZS46" s="78"/>
      <c r="IZT46" s="78"/>
      <c r="IZU46" s="78"/>
      <c r="IZV46" s="78"/>
      <c r="IZW46" s="78"/>
      <c r="IZX46" s="78"/>
      <c r="IZY46" s="78"/>
      <c r="IZZ46" s="78"/>
      <c r="JAA46" s="78"/>
      <c r="JAB46" s="78"/>
      <c r="JAC46" s="78"/>
      <c r="JAD46" s="78"/>
      <c r="JAE46" s="78"/>
      <c r="JAF46" s="78"/>
      <c r="JAG46" s="78"/>
      <c r="JAH46" s="78"/>
      <c r="JAI46" s="78"/>
      <c r="JAJ46" s="78"/>
      <c r="JAK46" s="78"/>
      <c r="JAL46" s="78"/>
      <c r="JAM46" s="78"/>
      <c r="JAN46" s="78"/>
      <c r="JAO46" s="78"/>
      <c r="JAP46" s="78"/>
      <c r="JAQ46" s="78"/>
      <c r="JAR46" s="78"/>
      <c r="JAS46" s="78"/>
      <c r="JAT46" s="78"/>
      <c r="JAU46" s="78"/>
      <c r="JAV46" s="78"/>
      <c r="JAW46" s="78"/>
      <c r="JAX46" s="78"/>
      <c r="JAY46" s="78"/>
      <c r="JAZ46" s="78"/>
      <c r="JBA46" s="78"/>
      <c r="JBB46" s="78"/>
      <c r="JBC46" s="78"/>
      <c r="JBD46" s="78"/>
      <c r="JBE46" s="78"/>
      <c r="JBF46" s="78"/>
      <c r="JBG46" s="78"/>
      <c r="JBH46" s="78"/>
      <c r="JBI46" s="78"/>
      <c r="JBJ46" s="78"/>
      <c r="JBK46" s="78"/>
      <c r="JBL46" s="78"/>
      <c r="JBM46" s="78"/>
      <c r="JBN46" s="78"/>
      <c r="JBO46" s="78"/>
      <c r="JBP46" s="78"/>
      <c r="JBQ46" s="78"/>
      <c r="JBR46" s="78"/>
      <c r="JBS46" s="78"/>
      <c r="JBT46" s="78"/>
      <c r="JBU46" s="78"/>
      <c r="JBV46" s="78"/>
      <c r="JBW46" s="78"/>
      <c r="JBX46" s="78"/>
      <c r="JBY46" s="78"/>
      <c r="JBZ46" s="78"/>
      <c r="JCA46" s="78"/>
      <c r="JCB46" s="78"/>
      <c r="JCC46" s="78"/>
      <c r="JCD46" s="78"/>
      <c r="JCE46" s="78"/>
      <c r="JCF46" s="78"/>
      <c r="JCG46" s="78"/>
      <c r="JCH46" s="78"/>
      <c r="JCI46" s="78"/>
      <c r="JCJ46" s="78"/>
      <c r="JCK46" s="78"/>
      <c r="JCL46" s="78"/>
      <c r="JCM46" s="78"/>
      <c r="JCN46" s="78"/>
      <c r="JCO46" s="78"/>
      <c r="JCP46" s="78"/>
      <c r="JCQ46" s="78"/>
      <c r="JCR46" s="78"/>
      <c r="JCS46" s="78"/>
      <c r="JCT46" s="78"/>
      <c r="JCU46" s="78"/>
      <c r="JCV46" s="78"/>
      <c r="JCW46" s="78"/>
      <c r="JCX46" s="78"/>
      <c r="JCY46" s="78"/>
      <c r="JCZ46" s="78"/>
      <c r="JDA46" s="78"/>
      <c r="JDB46" s="78"/>
      <c r="JDC46" s="78"/>
      <c r="JDD46" s="78"/>
      <c r="JDE46" s="78"/>
      <c r="JDF46" s="78"/>
      <c r="JDG46" s="78"/>
      <c r="JDH46" s="78"/>
      <c r="JDI46" s="78"/>
      <c r="JDJ46" s="78"/>
      <c r="JDK46" s="78"/>
      <c r="JDL46" s="78"/>
      <c r="JDM46" s="78"/>
      <c r="JDN46" s="78"/>
      <c r="JDO46" s="78"/>
      <c r="JDP46" s="78"/>
      <c r="JDQ46" s="78"/>
      <c r="JDR46" s="78"/>
      <c r="JDS46" s="78"/>
      <c r="JDT46" s="78"/>
      <c r="JDU46" s="78"/>
      <c r="JDV46" s="78"/>
      <c r="JDW46" s="78"/>
      <c r="JDX46" s="78"/>
      <c r="JDY46" s="78"/>
      <c r="JDZ46" s="78"/>
      <c r="JEA46" s="78"/>
      <c r="JEB46" s="78"/>
      <c r="JEC46" s="78"/>
      <c r="JED46" s="78"/>
      <c r="JEE46" s="78"/>
      <c r="JEF46" s="78"/>
      <c r="JEG46" s="78"/>
      <c r="JEH46" s="78"/>
      <c r="JEI46" s="78"/>
      <c r="JEJ46" s="78"/>
      <c r="JEK46" s="78"/>
      <c r="JEL46" s="78"/>
      <c r="JEM46" s="78"/>
      <c r="JEN46" s="78"/>
      <c r="JEO46" s="78"/>
      <c r="JEP46" s="78"/>
      <c r="JEQ46" s="78"/>
      <c r="JER46" s="78"/>
      <c r="JES46" s="78"/>
      <c r="JET46" s="78"/>
      <c r="JEU46" s="78"/>
      <c r="JEV46" s="78"/>
      <c r="JEW46" s="78"/>
      <c r="JEX46" s="78"/>
      <c r="JEY46" s="78"/>
      <c r="JEZ46" s="78"/>
      <c r="JFA46" s="78"/>
      <c r="JFB46" s="78"/>
      <c r="JFC46" s="78"/>
      <c r="JFD46" s="78"/>
      <c r="JFE46" s="78"/>
      <c r="JFF46" s="78"/>
      <c r="JFG46" s="78"/>
      <c r="JFH46" s="78"/>
      <c r="JFI46" s="78"/>
      <c r="JFJ46" s="78"/>
      <c r="JFK46" s="78"/>
      <c r="JFL46" s="78"/>
      <c r="JFM46" s="78"/>
      <c r="JFN46" s="78"/>
      <c r="JFO46" s="78"/>
      <c r="JFP46" s="78"/>
      <c r="JFQ46" s="78"/>
      <c r="JFR46" s="78"/>
      <c r="JFS46" s="78"/>
      <c r="JFT46" s="78"/>
      <c r="JFU46" s="78"/>
      <c r="JFV46" s="78"/>
      <c r="JFW46" s="78"/>
      <c r="JFX46" s="78"/>
      <c r="JFY46" s="78"/>
      <c r="JFZ46" s="78"/>
      <c r="JGA46" s="78"/>
      <c r="JGB46" s="78"/>
      <c r="JGC46" s="78"/>
      <c r="JGD46" s="78"/>
      <c r="JGE46" s="78"/>
      <c r="JGF46" s="78"/>
      <c r="JGG46" s="78"/>
      <c r="JGH46" s="78"/>
      <c r="JGI46" s="78"/>
      <c r="JGJ46" s="78"/>
      <c r="JGK46" s="78"/>
      <c r="JGL46" s="78"/>
      <c r="JGM46" s="78"/>
      <c r="JGN46" s="78"/>
      <c r="JGO46" s="78"/>
      <c r="JGP46" s="78"/>
      <c r="JGQ46" s="78"/>
      <c r="JGR46" s="78"/>
      <c r="JGS46" s="78"/>
      <c r="JGT46" s="78"/>
      <c r="JGU46" s="78"/>
      <c r="JGV46" s="78"/>
      <c r="JGW46" s="78"/>
      <c r="JGX46" s="78"/>
      <c r="JGY46" s="78"/>
      <c r="JGZ46" s="78"/>
      <c r="JHA46" s="78"/>
      <c r="JHB46" s="78"/>
      <c r="JHC46" s="78"/>
      <c r="JHD46" s="78"/>
      <c r="JHE46" s="78"/>
      <c r="JHF46" s="78"/>
      <c r="JHG46" s="78"/>
      <c r="JHH46" s="78"/>
      <c r="JHI46" s="78"/>
      <c r="JHJ46" s="78"/>
      <c r="JHK46" s="78"/>
      <c r="JHL46" s="78"/>
      <c r="JHM46" s="78"/>
      <c r="JHN46" s="78"/>
      <c r="JHO46" s="78"/>
      <c r="JHP46" s="78"/>
      <c r="JHQ46" s="78"/>
      <c r="JHR46" s="78"/>
      <c r="JHS46" s="78"/>
      <c r="JHT46" s="78"/>
      <c r="JHU46" s="78"/>
      <c r="JHV46" s="78"/>
      <c r="JHW46" s="78"/>
      <c r="JHX46" s="78"/>
      <c r="JHY46" s="78"/>
      <c r="JHZ46" s="78"/>
      <c r="JIA46" s="78"/>
      <c r="JIB46" s="78"/>
      <c r="JIC46" s="78"/>
      <c r="JID46" s="78"/>
      <c r="JIE46" s="78"/>
      <c r="JIF46" s="78"/>
      <c r="JIG46" s="78"/>
      <c r="JIH46" s="78"/>
      <c r="JII46" s="78"/>
      <c r="JIJ46" s="78"/>
      <c r="JIK46" s="78"/>
      <c r="JIL46" s="78"/>
      <c r="JIM46" s="78"/>
      <c r="JIN46" s="78"/>
      <c r="JIO46" s="78"/>
      <c r="JIP46" s="78"/>
      <c r="JIQ46" s="78"/>
      <c r="JIR46" s="78"/>
      <c r="JIS46" s="78"/>
      <c r="JIT46" s="78"/>
      <c r="JIU46" s="78"/>
      <c r="JIV46" s="78"/>
      <c r="JIW46" s="78"/>
      <c r="JIX46" s="78"/>
      <c r="JIY46" s="78"/>
      <c r="JIZ46" s="78"/>
      <c r="JJA46" s="78"/>
      <c r="JJB46" s="78"/>
      <c r="JJC46" s="78"/>
      <c r="JJD46" s="78"/>
      <c r="JJE46" s="78"/>
      <c r="JJF46" s="78"/>
      <c r="JJG46" s="78"/>
      <c r="JJH46" s="78"/>
      <c r="JJI46" s="78"/>
      <c r="JJJ46" s="78"/>
      <c r="JJK46" s="78"/>
      <c r="JJL46" s="78"/>
      <c r="JJM46" s="78"/>
      <c r="JJN46" s="78"/>
      <c r="JJO46" s="78"/>
      <c r="JJP46" s="78"/>
      <c r="JJQ46" s="78"/>
      <c r="JJR46" s="78"/>
      <c r="JJS46" s="78"/>
      <c r="JJT46" s="78"/>
      <c r="JJU46" s="78"/>
      <c r="JJV46" s="78"/>
      <c r="JJW46" s="78"/>
      <c r="JJX46" s="78"/>
      <c r="JJY46" s="78"/>
      <c r="JJZ46" s="78"/>
      <c r="JKA46" s="78"/>
      <c r="JKB46" s="78"/>
      <c r="JKC46" s="78"/>
      <c r="JKD46" s="78"/>
      <c r="JKE46" s="78"/>
      <c r="JKF46" s="78"/>
      <c r="JKG46" s="78"/>
      <c r="JKH46" s="78"/>
      <c r="JKI46" s="78"/>
      <c r="JKJ46" s="78"/>
      <c r="JKK46" s="78"/>
      <c r="JKL46" s="78"/>
      <c r="JKM46" s="78"/>
      <c r="JKN46" s="78"/>
      <c r="JKO46" s="78"/>
      <c r="JKP46" s="78"/>
      <c r="JKQ46" s="78"/>
      <c r="JKR46" s="78"/>
      <c r="JKS46" s="78"/>
      <c r="JKT46" s="78"/>
      <c r="JKU46" s="78"/>
      <c r="JKV46" s="78"/>
      <c r="JKW46" s="78"/>
      <c r="JKX46" s="78"/>
      <c r="JKY46" s="78"/>
      <c r="JKZ46" s="78"/>
      <c r="JLA46" s="78"/>
      <c r="JLB46" s="78"/>
      <c r="JLC46" s="78"/>
      <c r="JLD46" s="78"/>
      <c r="JLE46" s="78"/>
      <c r="JLF46" s="78"/>
      <c r="JLG46" s="78"/>
      <c r="JLH46" s="78"/>
      <c r="JLI46" s="78"/>
      <c r="JLJ46" s="78"/>
      <c r="JLK46" s="78"/>
      <c r="JLL46" s="78"/>
      <c r="JLM46" s="78"/>
      <c r="JLN46" s="78"/>
      <c r="JLO46" s="78"/>
      <c r="JLP46" s="78"/>
      <c r="JLQ46" s="78"/>
      <c r="JLR46" s="78"/>
      <c r="JLS46" s="78"/>
      <c r="JLT46" s="78"/>
      <c r="JLU46" s="78"/>
      <c r="JLV46" s="78"/>
      <c r="JLW46" s="78"/>
      <c r="JLX46" s="78"/>
      <c r="JLY46" s="78"/>
      <c r="JLZ46" s="78"/>
      <c r="JMA46" s="78"/>
      <c r="JMB46" s="78"/>
      <c r="JMC46" s="78"/>
      <c r="JMD46" s="78"/>
      <c r="JME46" s="78"/>
      <c r="JMF46" s="78"/>
      <c r="JMG46" s="78"/>
      <c r="JMH46" s="78"/>
      <c r="JMI46" s="78"/>
      <c r="JMJ46" s="78"/>
      <c r="JMK46" s="78"/>
      <c r="JML46" s="78"/>
      <c r="JMM46" s="78"/>
      <c r="JMN46" s="78"/>
      <c r="JMO46" s="78"/>
      <c r="JMP46" s="78"/>
      <c r="JMQ46" s="78"/>
      <c r="JMR46" s="78"/>
      <c r="JMS46" s="78"/>
      <c r="JMT46" s="78"/>
      <c r="JMU46" s="78"/>
      <c r="JMV46" s="78"/>
      <c r="JMW46" s="78"/>
      <c r="JMX46" s="78"/>
      <c r="JMY46" s="78"/>
      <c r="JMZ46" s="78"/>
      <c r="JNA46" s="78"/>
      <c r="JNB46" s="78"/>
      <c r="JNC46" s="78"/>
      <c r="JND46" s="78"/>
      <c r="JNE46" s="78"/>
      <c r="JNF46" s="78"/>
      <c r="JNG46" s="78"/>
      <c r="JNH46" s="78"/>
      <c r="JNI46" s="78"/>
      <c r="JNJ46" s="78"/>
      <c r="JNK46" s="78"/>
      <c r="JNL46" s="78"/>
      <c r="JNM46" s="78"/>
      <c r="JNN46" s="78"/>
      <c r="JNO46" s="78"/>
      <c r="JNP46" s="78"/>
      <c r="JNQ46" s="78"/>
      <c r="JNR46" s="78"/>
      <c r="JNS46" s="78"/>
      <c r="JNT46" s="78"/>
      <c r="JNU46" s="78"/>
      <c r="JNV46" s="78"/>
      <c r="JNW46" s="78"/>
      <c r="JNX46" s="78"/>
      <c r="JNY46" s="78"/>
      <c r="JNZ46" s="78"/>
      <c r="JOA46" s="78"/>
      <c r="JOB46" s="78"/>
      <c r="JOC46" s="78"/>
      <c r="JOD46" s="78"/>
      <c r="JOE46" s="78"/>
      <c r="JOF46" s="78"/>
      <c r="JOG46" s="78"/>
      <c r="JOH46" s="78"/>
      <c r="JOI46" s="78"/>
      <c r="JOJ46" s="78"/>
      <c r="JOK46" s="78"/>
      <c r="JOL46" s="78"/>
      <c r="JOM46" s="78"/>
      <c r="JON46" s="78"/>
      <c r="JOO46" s="78"/>
      <c r="JOP46" s="78"/>
      <c r="JOQ46" s="78"/>
      <c r="JOR46" s="78"/>
      <c r="JOS46" s="78"/>
      <c r="JOT46" s="78"/>
      <c r="JOU46" s="78"/>
      <c r="JOV46" s="78"/>
      <c r="JOW46" s="78"/>
      <c r="JOX46" s="78"/>
      <c r="JOY46" s="78"/>
      <c r="JOZ46" s="78"/>
      <c r="JPA46" s="78"/>
      <c r="JPB46" s="78"/>
      <c r="JPC46" s="78"/>
      <c r="JPD46" s="78"/>
      <c r="JPE46" s="78"/>
      <c r="JPF46" s="78"/>
      <c r="JPG46" s="78"/>
      <c r="JPH46" s="78"/>
      <c r="JPI46" s="78"/>
      <c r="JPJ46" s="78"/>
      <c r="JPK46" s="78"/>
      <c r="JPL46" s="78"/>
      <c r="JPM46" s="78"/>
      <c r="JPN46" s="78"/>
      <c r="JPO46" s="78"/>
      <c r="JPP46" s="78"/>
      <c r="JPQ46" s="78"/>
      <c r="JPR46" s="78"/>
      <c r="JPS46" s="78"/>
      <c r="JPT46" s="78"/>
      <c r="JPU46" s="78"/>
      <c r="JPV46" s="78"/>
      <c r="JPW46" s="78"/>
      <c r="JPX46" s="78"/>
      <c r="JPY46" s="78"/>
      <c r="JPZ46" s="78"/>
      <c r="JQA46" s="78"/>
      <c r="JQB46" s="78"/>
      <c r="JQC46" s="78"/>
      <c r="JQD46" s="78"/>
      <c r="JQE46" s="78"/>
      <c r="JQF46" s="78"/>
      <c r="JQG46" s="78"/>
      <c r="JQH46" s="78"/>
      <c r="JQI46" s="78"/>
      <c r="JQJ46" s="78"/>
      <c r="JQK46" s="78"/>
      <c r="JQL46" s="78"/>
      <c r="JQM46" s="78"/>
      <c r="JQN46" s="78"/>
      <c r="JQO46" s="78"/>
      <c r="JQP46" s="78"/>
      <c r="JQQ46" s="78"/>
      <c r="JQR46" s="78"/>
      <c r="JQS46" s="78"/>
      <c r="JQT46" s="78"/>
      <c r="JQU46" s="78"/>
      <c r="JQV46" s="78"/>
      <c r="JQW46" s="78"/>
      <c r="JQX46" s="78"/>
      <c r="JQY46" s="78"/>
      <c r="JQZ46" s="78"/>
      <c r="JRA46" s="78"/>
      <c r="JRB46" s="78"/>
      <c r="JRC46" s="78"/>
      <c r="JRD46" s="78"/>
      <c r="JRE46" s="78"/>
      <c r="JRF46" s="78"/>
      <c r="JRG46" s="78"/>
      <c r="JRH46" s="78"/>
      <c r="JRI46" s="78"/>
      <c r="JRJ46" s="78"/>
      <c r="JRK46" s="78"/>
      <c r="JRL46" s="78"/>
      <c r="JRM46" s="78"/>
      <c r="JRN46" s="78"/>
      <c r="JRO46" s="78"/>
      <c r="JRP46" s="78"/>
      <c r="JRQ46" s="78"/>
      <c r="JRR46" s="78"/>
      <c r="JRS46" s="78"/>
      <c r="JRT46" s="78"/>
      <c r="JRU46" s="78"/>
      <c r="JRV46" s="78"/>
      <c r="JRW46" s="78"/>
      <c r="JRX46" s="78"/>
      <c r="JRY46" s="78"/>
      <c r="JRZ46" s="78"/>
      <c r="JSA46" s="78"/>
      <c r="JSB46" s="78"/>
      <c r="JSC46" s="78"/>
      <c r="JSD46" s="78"/>
      <c r="JSE46" s="78"/>
      <c r="JSF46" s="78"/>
      <c r="JSG46" s="78"/>
      <c r="JSH46" s="78"/>
      <c r="JSI46" s="78"/>
      <c r="JSJ46" s="78"/>
      <c r="JSK46" s="78"/>
      <c r="JSL46" s="78"/>
      <c r="JSM46" s="78"/>
      <c r="JSN46" s="78"/>
      <c r="JSO46" s="78"/>
      <c r="JSP46" s="78"/>
      <c r="JSQ46" s="78"/>
      <c r="JSR46" s="78"/>
      <c r="JSS46" s="78"/>
      <c r="JST46" s="78"/>
      <c r="JSU46" s="78"/>
      <c r="JSV46" s="78"/>
      <c r="JSW46" s="78"/>
      <c r="JSX46" s="78"/>
      <c r="JSY46" s="78"/>
      <c r="JSZ46" s="78"/>
      <c r="JTA46" s="78"/>
      <c r="JTB46" s="78"/>
      <c r="JTC46" s="78"/>
      <c r="JTD46" s="78"/>
      <c r="JTE46" s="78"/>
      <c r="JTF46" s="78"/>
      <c r="JTG46" s="78"/>
      <c r="JTH46" s="78"/>
      <c r="JTI46" s="78"/>
      <c r="JTJ46" s="78"/>
      <c r="JTK46" s="78"/>
      <c r="JTL46" s="78"/>
      <c r="JTM46" s="78"/>
      <c r="JTN46" s="78"/>
      <c r="JTO46" s="78"/>
      <c r="JTP46" s="78"/>
      <c r="JTQ46" s="78"/>
      <c r="JTR46" s="78"/>
      <c r="JTS46" s="78"/>
      <c r="JTT46" s="78"/>
      <c r="JTU46" s="78"/>
      <c r="JTV46" s="78"/>
      <c r="JTW46" s="78"/>
      <c r="JTX46" s="78"/>
      <c r="JTY46" s="78"/>
      <c r="JTZ46" s="78"/>
      <c r="JUA46" s="78"/>
      <c r="JUB46" s="78"/>
      <c r="JUC46" s="78"/>
      <c r="JUD46" s="78"/>
      <c r="JUE46" s="78"/>
      <c r="JUF46" s="78"/>
      <c r="JUG46" s="78"/>
      <c r="JUH46" s="78"/>
      <c r="JUI46" s="78"/>
      <c r="JUJ46" s="78"/>
      <c r="JUK46" s="78"/>
      <c r="JUL46" s="78"/>
      <c r="JUM46" s="78"/>
      <c r="JUN46" s="78"/>
      <c r="JUO46" s="78"/>
      <c r="JUP46" s="78"/>
      <c r="JUQ46" s="78"/>
      <c r="JUR46" s="78"/>
      <c r="JUS46" s="78"/>
      <c r="JUT46" s="78"/>
      <c r="JUU46" s="78"/>
      <c r="JUV46" s="78"/>
      <c r="JUW46" s="78"/>
      <c r="JUX46" s="78"/>
      <c r="JUY46" s="78"/>
      <c r="JUZ46" s="78"/>
      <c r="JVA46" s="78"/>
      <c r="JVB46" s="78"/>
      <c r="JVC46" s="78"/>
      <c r="JVD46" s="78"/>
      <c r="JVE46" s="78"/>
      <c r="JVF46" s="78"/>
      <c r="JVG46" s="78"/>
      <c r="JVH46" s="78"/>
      <c r="JVI46" s="78"/>
      <c r="JVJ46" s="78"/>
      <c r="JVK46" s="78"/>
      <c r="JVL46" s="78"/>
      <c r="JVM46" s="78"/>
      <c r="JVN46" s="78"/>
      <c r="JVO46" s="78"/>
      <c r="JVP46" s="78"/>
      <c r="JVQ46" s="78"/>
      <c r="JVR46" s="78"/>
      <c r="JVS46" s="78"/>
      <c r="JVT46" s="78"/>
      <c r="JVU46" s="78"/>
      <c r="JVV46" s="78"/>
      <c r="JVW46" s="78"/>
      <c r="JVX46" s="78"/>
      <c r="JVY46" s="78"/>
      <c r="JVZ46" s="78"/>
      <c r="JWA46" s="78"/>
      <c r="JWB46" s="78"/>
      <c r="JWC46" s="78"/>
      <c r="JWD46" s="78"/>
      <c r="JWE46" s="78"/>
      <c r="JWF46" s="78"/>
      <c r="JWG46" s="78"/>
      <c r="JWH46" s="78"/>
      <c r="JWI46" s="78"/>
      <c r="JWJ46" s="78"/>
      <c r="JWK46" s="78"/>
      <c r="JWL46" s="78"/>
      <c r="JWM46" s="78"/>
      <c r="JWN46" s="78"/>
      <c r="JWO46" s="78"/>
      <c r="JWP46" s="78"/>
      <c r="JWQ46" s="78"/>
      <c r="JWR46" s="78"/>
      <c r="JWS46" s="78"/>
      <c r="JWT46" s="78"/>
      <c r="JWU46" s="78"/>
      <c r="JWV46" s="78"/>
      <c r="JWW46" s="78"/>
      <c r="JWX46" s="78"/>
      <c r="JWY46" s="78"/>
      <c r="JWZ46" s="78"/>
      <c r="JXA46" s="78"/>
      <c r="JXB46" s="78"/>
      <c r="JXC46" s="78"/>
      <c r="JXD46" s="78"/>
      <c r="JXE46" s="78"/>
      <c r="JXF46" s="78"/>
      <c r="JXG46" s="78"/>
      <c r="JXH46" s="78"/>
      <c r="JXI46" s="78"/>
      <c r="JXJ46" s="78"/>
      <c r="JXK46" s="78"/>
      <c r="JXL46" s="78"/>
      <c r="JXM46" s="78"/>
      <c r="JXN46" s="78"/>
      <c r="JXO46" s="78"/>
      <c r="JXP46" s="78"/>
      <c r="JXQ46" s="78"/>
      <c r="JXR46" s="78"/>
      <c r="JXS46" s="78"/>
      <c r="JXT46" s="78"/>
      <c r="JXU46" s="78"/>
      <c r="JXV46" s="78"/>
      <c r="JXW46" s="78"/>
      <c r="JXX46" s="78"/>
      <c r="JXY46" s="78"/>
      <c r="JXZ46" s="78"/>
      <c r="JYA46" s="78"/>
      <c r="JYB46" s="78"/>
      <c r="JYC46" s="78"/>
      <c r="JYD46" s="78"/>
      <c r="JYE46" s="78"/>
      <c r="JYF46" s="78"/>
      <c r="JYG46" s="78"/>
      <c r="JYH46" s="78"/>
      <c r="JYI46" s="78"/>
      <c r="JYJ46" s="78"/>
      <c r="JYK46" s="78"/>
      <c r="JYL46" s="78"/>
      <c r="JYM46" s="78"/>
      <c r="JYN46" s="78"/>
      <c r="JYO46" s="78"/>
      <c r="JYP46" s="78"/>
      <c r="JYQ46" s="78"/>
      <c r="JYR46" s="78"/>
      <c r="JYS46" s="78"/>
      <c r="JYT46" s="78"/>
      <c r="JYU46" s="78"/>
      <c r="JYV46" s="78"/>
      <c r="JYW46" s="78"/>
      <c r="JYX46" s="78"/>
      <c r="JYY46" s="78"/>
      <c r="JYZ46" s="78"/>
      <c r="JZA46" s="78"/>
      <c r="JZB46" s="78"/>
      <c r="JZC46" s="78"/>
      <c r="JZD46" s="78"/>
      <c r="JZE46" s="78"/>
      <c r="JZF46" s="78"/>
      <c r="JZG46" s="78"/>
      <c r="JZH46" s="78"/>
      <c r="JZI46" s="78"/>
      <c r="JZJ46" s="78"/>
      <c r="JZK46" s="78"/>
      <c r="JZL46" s="78"/>
      <c r="JZM46" s="78"/>
      <c r="JZN46" s="78"/>
      <c r="JZO46" s="78"/>
      <c r="JZP46" s="78"/>
      <c r="JZQ46" s="78"/>
      <c r="JZR46" s="78"/>
      <c r="JZS46" s="78"/>
      <c r="JZT46" s="78"/>
      <c r="JZU46" s="78"/>
      <c r="JZV46" s="78"/>
      <c r="JZW46" s="78"/>
      <c r="JZX46" s="78"/>
      <c r="JZY46" s="78"/>
      <c r="JZZ46" s="78"/>
      <c r="KAA46" s="78"/>
      <c r="KAB46" s="78"/>
      <c r="KAC46" s="78"/>
      <c r="KAD46" s="78"/>
      <c r="KAE46" s="78"/>
      <c r="KAF46" s="78"/>
      <c r="KAG46" s="78"/>
      <c r="KAH46" s="78"/>
      <c r="KAI46" s="78"/>
      <c r="KAJ46" s="78"/>
      <c r="KAK46" s="78"/>
      <c r="KAL46" s="78"/>
      <c r="KAM46" s="78"/>
      <c r="KAN46" s="78"/>
      <c r="KAO46" s="78"/>
      <c r="KAP46" s="78"/>
      <c r="KAQ46" s="78"/>
      <c r="KAR46" s="78"/>
      <c r="KAS46" s="78"/>
      <c r="KAT46" s="78"/>
      <c r="KAU46" s="78"/>
      <c r="KAV46" s="78"/>
      <c r="KAW46" s="78"/>
      <c r="KAX46" s="78"/>
      <c r="KAY46" s="78"/>
      <c r="KAZ46" s="78"/>
      <c r="KBA46" s="78"/>
      <c r="KBB46" s="78"/>
      <c r="KBC46" s="78"/>
      <c r="KBD46" s="78"/>
      <c r="KBE46" s="78"/>
      <c r="KBF46" s="78"/>
      <c r="KBG46" s="78"/>
      <c r="KBH46" s="78"/>
      <c r="KBI46" s="78"/>
      <c r="KBJ46" s="78"/>
      <c r="KBK46" s="78"/>
      <c r="KBL46" s="78"/>
      <c r="KBM46" s="78"/>
      <c r="KBN46" s="78"/>
      <c r="KBO46" s="78"/>
      <c r="KBP46" s="78"/>
      <c r="KBQ46" s="78"/>
      <c r="KBR46" s="78"/>
      <c r="KBS46" s="78"/>
      <c r="KBT46" s="78"/>
      <c r="KBU46" s="78"/>
      <c r="KBV46" s="78"/>
      <c r="KBW46" s="78"/>
      <c r="KBX46" s="78"/>
      <c r="KBY46" s="78"/>
      <c r="KBZ46" s="78"/>
      <c r="KCA46" s="78"/>
      <c r="KCB46" s="78"/>
      <c r="KCC46" s="78"/>
      <c r="KCD46" s="78"/>
      <c r="KCE46" s="78"/>
      <c r="KCF46" s="78"/>
      <c r="KCG46" s="78"/>
      <c r="KCH46" s="78"/>
      <c r="KCI46" s="78"/>
      <c r="KCJ46" s="78"/>
      <c r="KCK46" s="78"/>
      <c r="KCL46" s="78"/>
      <c r="KCM46" s="78"/>
      <c r="KCN46" s="78"/>
      <c r="KCO46" s="78"/>
      <c r="KCP46" s="78"/>
      <c r="KCQ46" s="78"/>
      <c r="KCR46" s="78"/>
      <c r="KCS46" s="78"/>
      <c r="KCT46" s="78"/>
      <c r="KCU46" s="78"/>
      <c r="KCV46" s="78"/>
      <c r="KCW46" s="78"/>
      <c r="KCX46" s="78"/>
      <c r="KCY46" s="78"/>
      <c r="KCZ46" s="78"/>
      <c r="KDA46" s="78"/>
      <c r="KDB46" s="78"/>
      <c r="KDC46" s="78"/>
      <c r="KDD46" s="78"/>
      <c r="KDE46" s="78"/>
      <c r="KDF46" s="78"/>
      <c r="KDG46" s="78"/>
      <c r="KDH46" s="78"/>
      <c r="KDI46" s="78"/>
      <c r="KDJ46" s="78"/>
      <c r="KDK46" s="78"/>
      <c r="KDL46" s="78"/>
      <c r="KDM46" s="78"/>
      <c r="KDN46" s="78"/>
      <c r="KDO46" s="78"/>
      <c r="KDP46" s="78"/>
      <c r="KDQ46" s="78"/>
      <c r="KDR46" s="78"/>
      <c r="KDS46" s="78"/>
      <c r="KDT46" s="78"/>
      <c r="KDU46" s="78"/>
      <c r="KDV46" s="78"/>
      <c r="KDW46" s="78"/>
      <c r="KDX46" s="78"/>
      <c r="KDY46" s="78"/>
      <c r="KDZ46" s="78"/>
      <c r="KEA46" s="78"/>
      <c r="KEB46" s="78"/>
      <c r="KEC46" s="78"/>
      <c r="KED46" s="78"/>
      <c r="KEE46" s="78"/>
      <c r="KEF46" s="78"/>
      <c r="KEG46" s="78"/>
      <c r="KEH46" s="78"/>
      <c r="KEI46" s="78"/>
      <c r="KEJ46" s="78"/>
      <c r="KEK46" s="78"/>
      <c r="KEL46" s="78"/>
      <c r="KEM46" s="78"/>
      <c r="KEN46" s="78"/>
      <c r="KEO46" s="78"/>
      <c r="KEP46" s="78"/>
      <c r="KEQ46" s="78"/>
      <c r="KER46" s="78"/>
      <c r="KES46" s="78"/>
      <c r="KET46" s="78"/>
      <c r="KEU46" s="78"/>
      <c r="KEV46" s="78"/>
      <c r="KEW46" s="78"/>
      <c r="KEX46" s="78"/>
      <c r="KEY46" s="78"/>
      <c r="KEZ46" s="78"/>
      <c r="KFA46" s="78"/>
      <c r="KFB46" s="78"/>
      <c r="KFC46" s="78"/>
      <c r="KFD46" s="78"/>
      <c r="KFE46" s="78"/>
      <c r="KFF46" s="78"/>
      <c r="KFG46" s="78"/>
      <c r="KFH46" s="78"/>
      <c r="KFI46" s="78"/>
      <c r="KFJ46" s="78"/>
      <c r="KFK46" s="78"/>
      <c r="KFL46" s="78"/>
      <c r="KFM46" s="78"/>
      <c r="KFN46" s="78"/>
      <c r="KFO46" s="78"/>
      <c r="KFP46" s="78"/>
      <c r="KFQ46" s="78"/>
      <c r="KFR46" s="78"/>
      <c r="KFS46" s="78"/>
      <c r="KFT46" s="78"/>
      <c r="KFU46" s="78"/>
      <c r="KFV46" s="78"/>
      <c r="KFW46" s="78"/>
      <c r="KFX46" s="78"/>
      <c r="KFY46" s="78"/>
      <c r="KFZ46" s="78"/>
      <c r="KGA46" s="78"/>
      <c r="KGB46" s="78"/>
      <c r="KGC46" s="78"/>
      <c r="KGD46" s="78"/>
      <c r="KGE46" s="78"/>
      <c r="KGF46" s="78"/>
      <c r="KGG46" s="78"/>
      <c r="KGH46" s="78"/>
      <c r="KGI46" s="78"/>
      <c r="KGJ46" s="78"/>
      <c r="KGK46" s="78"/>
      <c r="KGL46" s="78"/>
      <c r="KGM46" s="78"/>
      <c r="KGN46" s="78"/>
      <c r="KGO46" s="78"/>
      <c r="KGP46" s="78"/>
      <c r="KGQ46" s="78"/>
      <c r="KGR46" s="78"/>
      <c r="KGS46" s="78"/>
      <c r="KGT46" s="78"/>
      <c r="KGU46" s="78"/>
      <c r="KGV46" s="78"/>
      <c r="KGW46" s="78"/>
      <c r="KGX46" s="78"/>
      <c r="KGY46" s="78"/>
      <c r="KGZ46" s="78"/>
      <c r="KHA46" s="78"/>
      <c r="KHB46" s="78"/>
      <c r="KHC46" s="78"/>
      <c r="KHD46" s="78"/>
      <c r="KHE46" s="78"/>
      <c r="KHF46" s="78"/>
      <c r="KHG46" s="78"/>
      <c r="KHH46" s="78"/>
      <c r="KHI46" s="78"/>
      <c r="KHJ46" s="78"/>
      <c r="KHK46" s="78"/>
      <c r="KHL46" s="78"/>
      <c r="KHM46" s="78"/>
      <c r="KHN46" s="78"/>
      <c r="KHO46" s="78"/>
      <c r="KHP46" s="78"/>
      <c r="KHQ46" s="78"/>
      <c r="KHR46" s="78"/>
      <c r="KHS46" s="78"/>
      <c r="KHT46" s="78"/>
      <c r="KHU46" s="78"/>
      <c r="KHV46" s="78"/>
      <c r="KHW46" s="78"/>
      <c r="KHX46" s="78"/>
      <c r="KHY46" s="78"/>
      <c r="KHZ46" s="78"/>
      <c r="KIA46" s="78"/>
      <c r="KIB46" s="78"/>
      <c r="KIC46" s="78"/>
      <c r="KID46" s="78"/>
      <c r="KIE46" s="78"/>
      <c r="KIF46" s="78"/>
      <c r="KIG46" s="78"/>
      <c r="KIH46" s="78"/>
      <c r="KII46" s="78"/>
      <c r="KIJ46" s="78"/>
      <c r="KIK46" s="78"/>
      <c r="KIL46" s="78"/>
      <c r="KIM46" s="78"/>
      <c r="KIN46" s="78"/>
      <c r="KIO46" s="78"/>
      <c r="KIP46" s="78"/>
      <c r="KIQ46" s="78"/>
      <c r="KIR46" s="78"/>
      <c r="KIS46" s="78"/>
      <c r="KIT46" s="78"/>
      <c r="KIU46" s="78"/>
      <c r="KIV46" s="78"/>
      <c r="KIW46" s="78"/>
      <c r="KIX46" s="78"/>
      <c r="KIY46" s="78"/>
      <c r="KIZ46" s="78"/>
      <c r="KJA46" s="78"/>
      <c r="KJB46" s="78"/>
      <c r="KJC46" s="78"/>
      <c r="KJD46" s="78"/>
      <c r="KJE46" s="78"/>
      <c r="KJF46" s="78"/>
      <c r="KJG46" s="78"/>
      <c r="KJH46" s="78"/>
      <c r="KJI46" s="78"/>
      <c r="KJJ46" s="78"/>
      <c r="KJK46" s="78"/>
      <c r="KJL46" s="78"/>
      <c r="KJM46" s="78"/>
      <c r="KJN46" s="78"/>
      <c r="KJO46" s="78"/>
      <c r="KJP46" s="78"/>
      <c r="KJQ46" s="78"/>
      <c r="KJR46" s="78"/>
      <c r="KJS46" s="78"/>
      <c r="KJT46" s="78"/>
      <c r="KJU46" s="78"/>
      <c r="KJV46" s="78"/>
      <c r="KJW46" s="78"/>
      <c r="KJX46" s="78"/>
      <c r="KJY46" s="78"/>
      <c r="KJZ46" s="78"/>
      <c r="KKA46" s="78"/>
      <c r="KKB46" s="78"/>
      <c r="KKC46" s="78"/>
      <c r="KKD46" s="78"/>
      <c r="KKE46" s="78"/>
      <c r="KKF46" s="78"/>
      <c r="KKG46" s="78"/>
      <c r="KKH46" s="78"/>
      <c r="KKI46" s="78"/>
      <c r="KKJ46" s="78"/>
      <c r="KKK46" s="78"/>
      <c r="KKL46" s="78"/>
      <c r="KKM46" s="78"/>
      <c r="KKN46" s="78"/>
      <c r="KKO46" s="78"/>
      <c r="KKP46" s="78"/>
      <c r="KKQ46" s="78"/>
      <c r="KKR46" s="78"/>
      <c r="KKS46" s="78"/>
      <c r="KKT46" s="78"/>
      <c r="KKU46" s="78"/>
      <c r="KKV46" s="78"/>
      <c r="KKW46" s="78"/>
      <c r="KKX46" s="78"/>
      <c r="KKY46" s="78"/>
      <c r="KKZ46" s="78"/>
      <c r="KLA46" s="78"/>
      <c r="KLB46" s="78"/>
      <c r="KLC46" s="78"/>
      <c r="KLD46" s="78"/>
      <c r="KLE46" s="78"/>
      <c r="KLF46" s="78"/>
      <c r="KLG46" s="78"/>
      <c r="KLH46" s="78"/>
      <c r="KLI46" s="78"/>
      <c r="KLJ46" s="78"/>
      <c r="KLK46" s="78"/>
      <c r="KLL46" s="78"/>
      <c r="KLM46" s="78"/>
      <c r="KLN46" s="78"/>
      <c r="KLO46" s="78"/>
      <c r="KLP46" s="78"/>
      <c r="KLQ46" s="78"/>
      <c r="KLR46" s="78"/>
      <c r="KLS46" s="78"/>
      <c r="KLT46" s="78"/>
      <c r="KLU46" s="78"/>
      <c r="KLV46" s="78"/>
      <c r="KLW46" s="78"/>
      <c r="KLX46" s="78"/>
      <c r="KLY46" s="78"/>
      <c r="KLZ46" s="78"/>
      <c r="KMA46" s="78"/>
      <c r="KMB46" s="78"/>
      <c r="KMC46" s="78"/>
      <c r="KMD46" s="78"/>
      <c r="KME46" s="78"/>
      <c r="KMF46" s="78"/>
      <c r="KMG46" s="78"/>
      <c r="KMH46" s="78"/>
      <c r="KMI46" s="78"/>
      <c r="KMJ46" s="78"/>
      <c r="KMK46" s="78"/>
      <c r="KML46" s="78"/>
      <c r="KMM46" s="78"/>
      <c r="KMN46" s="78"/>
      <c r="KMO46" s="78"/>
      <c r="KMP46" s="78"/>
      <c r="KMQ46" s="78"/>
      <c r="KMR46" s="78"/>
      <c r="KMS46" s="78"/>
      <c r="KMT46" s="78"/>
      <c r="KMU46" s="78"/>
      <c r="KMV46" s="78"/>
      <c r="KMW46" s="78"/>
      <c r="KMX46" s="78"/>
      <c r="KMY46" s="78"/>
      <c r="KMZ46" s="78"/>
      <c r="KNA46" s="78"/>
      <c r="KNB46" s="78"/>
      <c r="KNC46" s="78"/>
      <c r="KND46" s="78"/>
      <c r="KNE46" s="78"/>
      <c r="KNF46" s="78"/>
      <c r="KNG46" s="78"/>
      <c r="KNH46" s="78"/>
      <c r="KNI46" s="78"/>
      <c r="KNJ46" s="78"/>
      <c r="KNK46" s="78"/>
      <c r="KNL46" s="78"/>
      <c r="KNM46" s="78"/>
      <c r="KNN46" s="78"/>
      <c r="KNO46" s="78"/>
      <c r="KNP46" s="78"/>
      <c r="KNQ46" s="78"/>
      <c r="KNR46" s="78"/>
      <c r="KNS46" s="78"/>
      <c r="KNT46" s="78"/>
      <c r="KNU46" s="78"/>
      <c r="KNV46" s="78"/>
      <c r="KNW46" s="78"/>
      <c r="KNX46" s="78"/>
      <c r="KNY46" s="78"/>
      <c r="KNZ46" s="78"/>
      <c r="KOA46" s="78"/>
      <c r="KOB46" s="78"/>
      <c r="KOC46" s="78"/>
      <c r="KOD46" s="78"/>
      <c r="KOE46" s="78"/>
      <c r="KOF46" s="78"/>
      <c r="KOG46" s="78"/>
      <c r="KOH46" s="78"/>
      <c r="KOI46" s="78"/>
      <c r="KOJ46" s="78"/>
      <c r="KOK46" s="78"/>
      <c r="KOL46" s="78"/>
      <c r="KOM46" s="78"/>
      <c r="KON46" s="78"/>
      <c r="KOO46" s="78"/>
      <c r="KOP46" s="78"/>
      <c r="KOQ46" s="78"/>
      <c r="KOR46" s="78"/>
      <c r="KOS46" s="78"/>
      <c r="KOT46" s="78"/>
      <c r="KOU46" s="78"/>
      <c r="KOV46" s="78"/>
      <c r="KOW46" s="78"/>
      <c r="KOX46" s="78"/>
      <c r="KOY46" s="78"/>
      <c r="KOZ46" s="78"/>
      <c r="KPA46" s="78"/>
      <c r="KPB46" s="78"/>
      <c r="KPC46" s="78"/>
      <c r="KPD46" s="78"/>
      <c r="KPE46" s="78"/>
      <c r="KPF46" s="78"/>
      <c r="KPG46" s="78"/>
      <c r="KPH46" s="78"/>
      <c r="KPI46" s="78"/>
      <c r="KPJ46" s="78"/>
      <c r="KPK46" s="78"/>
      <c r="KPL46" s="78"/>
      <c r="KPM46" s="78"/>
      <c r="KPN46" s="78"/>
      <c r="KPO46" s="78"/>
      <c r="KPP46" s="78"/>
      <c r="KPQ46" s="78"/>
      <c r="KPR46" s="78"/>
      <c r="KPS46" s="78"/>
      <c r="KPT46" s="78"/>
      <c r="KPU46" s="78"/>
      <c r="KPV46" s="78"/>
      <c r="KPW46" s="78"/>
      <c r="KPX46" s="78"/>
      <c r="KPY46" s="78"/>
      <c r="KPZ46" s="78"/>
      <c r="KQA46" s="78"/>
      <c r="KQB46" s="78"/>
      <c r="KQC46" s="78"/>
      <c r="KQD46" s="78"/>
      <c r="KQE46" s="78"/>
      <c r="KQF46" s="78"/>
      <c r="KQG46" s="78"/>
      <c r="KQH46" s="78"/>
      <c r="KQI46" s="78"/>
      <c r="KQJ46" s="78"/>
      <c r="KQK46" s="78"/>
      <c r="KQL46" s="78"/>
      <c r="KQM46" s="78"/>
      <c r="KQN46" s="78"/>
      <c r="KQO46" s="78"/>
      <c r="KQP46" s="78"/>
      <c r="KQQ46" s="78"/>
      <c r="KQR46" s="78"/>
      <c r="KQS46" s="78"/>
      <c r="KQT46" s="78"/>
      <c r="KQU46" s="78"/>
      <c r="KQV46" s="78"/>
      <c r="KQW46" s="78"/>
      <c r="KQX46" s="78"/>
      <c r="KQY46" s="78"/>
      <c r="KQZ46" s="78"/>
      <c r="KRA46" s="78"/>
      <c r="KRB46" s="78"/>
      <c r="KRC46" s="78"/>
      <c r="KRD46" s="78"/>
      <c r="KRE46" s="78"/>
      <c r="KRF46" s="78"/>
      <c r="KRG46" s="78"/>
      <c r="KRH46" s="78"/>
      <c r="KRI46" s="78"/>
      <c r="KRJ46" s="78"/>
      <c r="KRK46" s="78"/>
      <c r="KRL46" s="78"/>
      <c r="KRM46" s="78"/>
      <c r="KRN46" s="78"/>
      <c r="KRO46" s="78"/>
      <c r="KRP46" s="78"/>
      <c r="KRQ46" s="78"/>
      <c r="KRR46" s="78"/>
      <c r="KRS46" s="78"/>
      <c r="KRT46" s="78"/>
      <c r="KRU46" s="78"/>
      <c r="KRV46" s="78"/>
      <c r="KRW46" s="78"/>
      <c r="KRX46" s="78"/>
      <c r="KRY46" s="78"/>
      <c r="KRZ46" s="78"/>
      <c r="KSA46" s="78"/>
      <c r="KSB46" s="78"/>
      <c r="KSC46" s="78"/>
      <c r="KSD46" s="78"/>
      <c r="KSE46" s="78"/>
      <c r="KSF46" s="78"/>
      <c r="KSG46" s="78"/>
      <c r="KSH46" s="78"/>
      <c r="KSI46" s="78"/>
      <c r="KSJ46" s="78"/>
      <c r="KSK46" s="78"/>
      <c r="KSL46" s="78"/>
      <c r="KSM46" s="78"/>
      <c r="KSN46" s="78"/>
      <c r="KSO46" s="78"/>
      <c r="KSP46" s="78"/>
      <c r="KSQ46" s="78"/>
      <c r="KSR46" s="78"/>
      <c r="KSS46" s="78"/>
      <c r="KST46" s="78"/>
      <c r="KSU46" s="78"/>
      <c r="KSV46" s="78"/>
      <c r="KSW46" s="78"/>
      <c r="KSX46" s="78"/>
      <c r="KSY46" s="78"/>
      <c r="KSZ46" s="78"/>
      <c r="KTA46" s="78"/>
      <c r="KTB46" s="78"/>
      <c r="KTC46" s="78"/>
      <c r="KTD46" s="78"/>
      <c r="KTE46" s="78"/>
      <c r="KTF46" s="78"/>
      <c r="KTG46" s="78"/>
      <c r="KTH46" s="78"/>
      <c r="KTI46" s="78"/>
      <c r="KTJ46" s="78"/>
      <c r="KTK46" s="78"/>
      <c r="KTL46" s="78"/>
      <c r="KTM46" s="78"/>
      <c r="KTN46" s="78"/>
      <c r="KTO46" s="78"/>
      <c r="KTP46" s="78"/>
      <c r="KTQ46" s="78"/>
      <c r="KTR46" s="78"/>
      <c r="KTS46" s="78"/>
      <c r="KTT46" s="78"/>
      <c r="KTU46" s="78"/>
      <c r="KTV46" s="78"/>
      <c r="KTW46" s="78"/>
      <c r="KTX46" s="78"/>
      <c r="KTY46" s="78"/>
      <c r="KTZ46" s="78"/>
      <c r="KUA46" s="78"/>
      <c r="KUB46" s="78"/>
      <c r="KUC46" s="78"/>
      <c r="KUD46" s="78"/>
      <c r="KUE46" s="78"/>
      <c r="KUF46" s="78"/>
      <c r="KUG46" s="78"/>
      <c r="KUH46" s="78"/>
      <c r="KUI46" s="78"/>
      <c r="KUJ46" s="78"/>
      <c r="KUK46" s="78"/>
      <c r="KUL46" s="78"/>
      <c r="KUM46" s="78"/>
      <c r="KUN46" s="78"/>
      <c r="KUO46" s="78"/>
      <c r="KUP46" s="78"/>
      <c r="KUQ46" s="78"/>
      <c r="KUR46" s="78"/>
      <c r="KUS46" s="78"/>
      <c r="KUT46" s="78"/>
      <c r="KUU46" s="78"/>
      <c r="KUV46" s="78"/>
      <c r="KUW46" s="78"/>
      <c r="KUX46" s="78"/>
      <c r="KUY46" s="78"/>
      <c r="KUZ46" s="78"/>
      <c r="KVA46" s="78"/>
      <c r="KVB46" s="78"/>
      <c r="KVC46" s="78"/>
      <c r="KVD46" s="78"/>
      <c r="KVE46" s="78"/>
      <c r="KVF46" s="78"/>
      <c r="KVG46" s="78"/>
      <c r="KVH46" s="78"/>
      <c r="KVI46" s="78"/>
      <c r="KVJ46" s="78"/>
      <c r="KVK46" s="78"/>
      <c r="KVL46" s="78"/>
      <c r="KVM46" s="78"/>
      <c r="KVN46" s="78"/>
      <c r="KVO46" s="78"/>
      <c r="KVP46" s="78"/>
      <c r="KVQ46" s="78"/>
      <c r="KVR46" s="78"/>
      <c r="KVS46" s="78"/>
      <c r="KVT46" s="78"/>
      <c r="KVU46" s="78"/>
      <c r="KVV46" s="78"/>
      <c r="KVW46" s="78"/>
      <c r="KVX46" s="78"/>
      <c r="KVY46" s="78"/>
      <c r="KVZ46" s="78"/>
      <c r="KWA46" s="78"/>
      <c r="KWB46" s="78"/>
      <c r="KWC46" s="78"/>
      <c r="KWD46" s="78"/>
      <c r="KWE46" s="78"/>
      <c r="KWF46" s="78"/>
      <c r="KWG46" s="78"/>
      <c r="KWH46" s="78"/>
      <c r="KWI46" s="78"/>
      <c r="KWJ46" s="78"/>
      <c r="KWK46" s="78"/>
      <c r="KWL46" s="78"/>
      <c r="KWM46" s="78"/>
      <c r="KWN46" s="78"/>
      <c r="KWO46" s="78"/>
      <c r="KWP46" s="78"/>
      <c r="KWQ46" s="78"/>
      <c r="KWR46" s="78"/>
      <c r="KWS46" s="78"/>
      <c r="KWT46" s="78"/>
      <c r="KWU46" s="78"/>
      <c r="KWV46" s="78"/>
      <c r="KWW46" s="78"/>
      <c r="KWX46" s="78"/>
      <c r="KWY46" s="78"/>
      <c r="KWZ46" s="78"/>
      <c r="KXA46" s="78"/>
      <c r="KXB46" s="78"/>
      <c r="KXC46" s="78"/>
      <c r="KXD46" s="78"/>
      <c r="KXE46" s="78"/>
      <c r="KXF46" s="78"/>
      <c r="KXG46" s="78"/>
      <c r="KXH46" s="78"/>
      <c r="KXI46" s="78"/>
      <c r="KXJ46" s="78"/>
      <c r="KXK46" s="78"/>
      <c r="KXL46" s="78"/>
      <c r="KXM46" s="78"/>
      <c r="KXN46" s="78"/>
      <c r="KXO46" s="78"/>
      <c r="KXP46" s="78"/>
      <c r="KXQ46" s="78"/>
      <c r="KXR46" s="78"/>
      <c r="KXS46" s="78"/>
      <c r="KXT46" s="78"/>
      <c r="KXU46" s="78"/>
      <c r="KXV46" s="78"/>
      <c r="KXW46" s="78"/>
      <c r="KXX46" s="78"/>
      <c r="KXY46" s="78"/>
      <c r="KXZ46" s="78"/>
      <c r="KYA46" s="78"/>
      <c r="KYB46" s="78"/>
      <c r="KYC46" s="78"/>
      <c r="KYD46" s="78"/>
      <c r="KYE46" s="78"/>
      <c r="KYF46" s="78"/>
      <c r="KYG46" s="78"/>
      <c r="KYH46" s="78"/>
      <c r="KYI46" s="78"/>
      <c r="KYJ46" s="78"/>
      <c r="KYK46" s="78"/>
      <c r="KYL46" s="78"/>
      <c r="KYM46" s="78"/>
      <c r="KYN46" s="78"/>
      <c r="KYO46" s="78"/>
      <c r="KYP46" s="78"/>
      <c r="KYQ46" s="78"/>
      <c r="KYR46" s="78"/>
      <c r="KYS46" s="78"/>
      <c r="KYT46" s="78"/>
      <c r="KYU46" s="78"/>
      <c r="KYV46" s="78"/>
      <c r="KYW46" s="78"/>
      <c r="KYX46" s="78"/>
      <c r="KYY46" s="78"/>
      <c r="KYZ46" s="78"/>
      <c r="KZA46" s="78"/>
      <c r="KZB46" s="78"/>
      <c r="KZC46" s="78"/>
      <c r="KZD46" s="78"/>
      <c r="KZE46" s="78"/>
      <c r="KZF46" s="78"/>
      <c r="KZG46" s="78"/>
      <c r="KZH46" s="78"/>
      <c r="KZI46" s="78"/>
      <c r="KZJ46" s="78"/>
      <c r="KZK46" s="78"/>
      <c r="KZL46" s="78"/>
      <c r="KZM46" s="78"/>
      <c r="KZN46" s="78"/>
      <c r="KZO46" s="78"/>
      <c r="KZP46" s="78"/>
      <c r="KZQ46" s="78"/>
      <c r="KZR46" s="78"/>
      <c r="KZS46" s="78"/>
      <c r="KZT46" s="78"/>
      <c r="KZU46" s="78"/>
      <c r="KZV46" s="78"/>
      <c r="KZW46" s="78"/>
      <c r="KZX46" s="78"/>
      <c r="KZY46" s="78"/>
      <c r="KZZ46" s="78"/>
      <c r="LAA46" s="78"/>
      <c r="LAB46" s="78"/>
      <c r="LAC46" s="78"/>
      <c r="LAD46" s="78"/>
      <c r="LAE46" s="78"/>
      <c r="LAF46" s="78"/>
      <c r="LAG46" s="78"/>
      <c r="LAH46" s="78"/>
      <c r="LAI46" s="78"/>
      <c r="LAJ46" s="78"/>
      <c r="LAK46" s="78"/>
      <c r="LAL46" s="78"/>
      <c r="LAM46" s="78"/>
      <c r="LAN46" s="78"/>
      <c r="LAO46" s="78"/>
      <c r="LAP46" s="78"/>
      <c r="LAQ46" s="78"/>
      <c r="LAR46" s="78"/>
      <c r="LAS46" s="78"/>
      <c r="LAT46" s="78"/>
      <c r="LAU46" s="78"/>
      <c r="LAV46" s="78"/>
      <c r="LAW46" s="78"/>
      <c r="LAX46" s="78"/>
      <c r="LAY46" s="78"/>
      <c r="LAZ46" s="78"/>
      <c r="LBA46" s="78"/>
      <c r="LBB46" s="78"/>
      <c r="LBC46" s="78"/>
      <c r="LBD46" s="78"/>
      <c r="LBE46" s="78"/>
      <c r="LBF46" s="78"/>
      <c r="LBG46" s="78"/>
      <c r="LBH46" s="78"/>
      <c r="LBI46" s="78"/>
      <c r="LBJ46" s="78"/>
      <c r="LBK46" s="78"/>
      <c r="LBL46" s="78"/>
      <c r="LBM46" s="78"/>
      <c r="LBN46" s="78"/>
      <c r="LBO46" s="78"/>
      <c r="LBP46" s="78"/>
      <c r="LBQ46" s="78"/>
      <c r="LBR46" s="78"/>
      <c r="LBS46" s="78"/>
      <c r="LBT46" s="78"/>
      <c r="LBU46" s="78"/>
      <c r="LBV46" s="78"/>
      <c r="LBW46" s="78"/>
      <c r="LBX46" s="78"/>
      <c r="LBY46" s="78"/>
      <c r="LBZ46" s="78"/>
      <c r="LCA46" s="78"/>
      <c r="LCB46" s="78"/>
      <c r="LCC46" s="78"/>
      <c r="LCD46" s="78"/>
      <c r="LCE46" s="78"/>
      <c r="LCF46" s="78"/>
      <c r="LCG46" s="78"/>
      <c r="LCH46" s="78"/>
      <c r="LCI46" s="78"/>
      <c r="LCJ46" s="78"/>
      <c r="LCK46" s="78"/>
      <c r="LCL46" s="78"/>
      <c r="LCM46" s="78"/>
      <c r="LCN46" s="78"/>
      <c r="LCO46" s="78"/>
      <c r="LCP46" s="78"/>
      <c r="LCQ46" s="78"/>
      <c r="LCR46" s="78"/>
      <c r="LCS46" s="78"/>
      <c r="LCT46" s="78"/>
      <c r="LCU46" s="78"/>
      <c r="LCV46" s="78"/>
      <c r="LCW46" s="78"/>
      <c r="LCX46" s="78"/>
      <c r="LCY46" s="78"/>
      <c r="LCZ46" s="78"/>
      <c r="LDA46" s="78"/>
      <c r="LDB46" s="78"/>
      <c r="LDC46" s="78"/>
      <c r="LDD46" s="78"/>
      <c r="LDE46" s="78"/>
      <c r="LDF46" s="78"/>
      <c r="LDG46" s="78"/>
      <c r="LDH46" s="78"/>
      <c r="LDI46" s="78"/>
      <c r="LDJ46" s="78"/>
      <c r="LDK46" s="78"/>
      <c r="LDL46" s="78"/>
      <c r="LDM46" s="78"/>
      <c r="LDN46" s="78"/>
      <c r="LDO46" s="78"/>
      <c r="LDP46" s="78"/>
      <c r="LDQ46" s="78"/>
      <c r="LDR46" s="78"/>
      <c r="LDS46" s="78"/>
      <c r="LDT46" s="78"/>
      <c r="LDU46" s="78"/>
      <c r="LDV46" s="78"/>
      <c r="LDW46" s="78"/>
      <c r="LDX46" s="78"/>
      <c r="LDY46" s="78"/>
      <c r="LDZ46" s="78"/>
      <c r="LEA46" s="78"/>
      <c r="LEB46" s="78"/>
      <c r="LEC46" s="78"/>
      <c r="LED46" s="78"/>
      <c r="LEE46" s="78"/>
      <c r="LEF46" s="78"/>
      <c r="LEG46" s="78"/>
      <c r="LEH46" s="78"/>
      <c r="LEI46" s="78"/>
      <c r="LEJ46" s="78"/>
      <c r="LEK46" s="78"/>
      <c r="LEL46" s="78"/>
      <c r="LEM46" s="78"/>
      <c r="LEN46" s="78"/>
      <c r="LEO46" s="78"/>
      <c r="LEP46" s="78"/>
      <c r="LEQ46" s="78"/>
      <c r="LER46" s="78"/>
      <c r="LES46" s="78"/>
      <c r="LET46" s="78"/>
      <c r="LEU46" s="78"/>
      <c r="LEV46" s="78"/>
      <c r="LEW46" s="78"/>
      <c r="LEX46" s="78"/>
      <c r="LEY46" s="78"/>
      <c r="LEZ46" s="78"/>
      <c r="LFA46" s="78"/>
      <c r="LFB46" s="78"/>
      <c r="LFC46" s="78"/>
      <c r="LFD46" s="78"/>
      <c r="LFE46" s="78"/>
      <c r="LFF46" s="78"/>
      <c r="LFG46" s="78"/>
      <c r="LFH46" s="78"/>
      <c r="LFI46" s="78"/>
      <c r="LFJ46" s="78"/>
      <c r="LFK46" s="78"/>
      <c r="LFL46" s="78"/>
      <c r="LFM46" s="78"/>
      <c r="LFN46" s="78"/>
      <c r="LFO46" s="78"/>
      <c r="LFP46" s="78"/>
      <c r="LFQ46" s="78"/>
      <c r="LFR46" s="78"/>
      <c r="LFS46" s="78"/>
      <c r="LFT46" s="78"/>
      <c r="LFU46" s="78"/>
      <c r="LFV46" s="78"/>
      <c r="LFW46" s="78"/>
      <c r="LFX46" s="78"/>
      <c r="LFY46" s="78"/>
      <c r="LFZ46" s="78"/>
      <c r="LGA46" s="78"/>
      <c r="LGB46" s="78"/>
      <c r="LGC46" s="78"/>
      <c r="LGD46" s="78"/>
      <c r="LGE46" s="78"/>
      <c r="LGF46" s="78"/>
      <c r="LGG46" s="78"/>
      <c r="LGH46" s="78"/>
      <c r="LGI46" s="78"/>
      <c r="LGJ46" s="78"/>
      <c r="LGK46" s="78"/>
      <c r="LGL46" s="78"/>
      <c r="LGM46" s="78"/>
      <c r="LGN46" s="78"/>
      <c r="LGO46" s="78"/>
      <c r="LGP46" s="78"/>
      <c r="LGQ46" s="78"/>
      <c r="LGR46" s="78"/>
      <c r="LGS46" s="78"/>
      <c r="LGT46" s="78"/>
      <c r="LGU46" s="78"/>
      <c r="LGV46" s="78"/>
      <c r="LGW46" s="78"/>
      <c r="LGX46" s="78"/>
      <c r="LGY46" s="78"/>
      <c r="LGZ46" s="78"/>
      <c r="LHA46" s="78"/>
      <c r="LHB46" s="78"/>
      <c r="LHC46" s="78"/>
      <c r="LHD46" s="78"/>
      <c r="LHE46" s="78"/>
      <c r="LHF46" s="78"/>
      <c r="LHG46" s="78"/>
      <c r="LHH46" s="78"/>
      <c r="LHI46" s="78"/>
      <c r="LHJ46" s="78"/>
      <c r="LHK46" s="78"/>
      <c r="LHL46" s="78"/>
      <c r="LHM46" s="78"/>
      <c r="LHN46" s="78"/>
      <c r="LHO46" s="78"/>
      <c r="LHP46" s="78"/>
      <c r="LHQ46" s="78"/>
      <c r="LHR46" s="78"/>
      <c r="LHS46" s="78"/>
      <c r="LHT46" s="78"/>
      <c r="LHU46" s="78"/>
      <c r="LHV46" s="78"/>
      <c r="LHW46" s="78"/>
      <c r="LHX46" s="78"/>
      <c r="LHY46" s="78"/>
      <c r="LHZ46" s="78"/>
      <c r="LIA46" s="78"/>
      <c r="LIB46" s="78"/>
      <c r="LIC46" s="78"/>
      <c r="LID46" s="78"/>
      <c r="LIE46" s="78"/>
      <c r="LIF46" s="78"/>
      <c r="LIG46" s="78"/>
      <c r="LIH46" s="78"/>
      <c r="LII46" s="78"/>
      <c r="LIJ46" s="78"/>
      <c r="LIK46" s="78"/>
      <c r="LIL46" s="78"/>
      <c r="LIM46" s="78"/>
      <c r="LIN46" s="78"/>
      <c r="LIO46" s="78"/>
      <c r="LIP46" s="78"/>
      <c r="LIQ46" s="78"/>
      <c r="LIR46" s="78"/>
      <c r="LIS46" s="78"/>
      <c r="LIT46" s="78"/>
      <c r="LIU46" s="78"/>
      <c r="LIV46" s="78"/>
      <c r="LIW46" s="78"/>
      <c r="LIX46" s="78"/>
      <c r="LIY46" s="78"/>
      <c r="LIZ46" s="78"/>
      <c r="LJA46" s="78"/>
      <c r="LJB46" s="78"/>
      <c r="LJC46" s="78"/>
      <c r="LJD46" s="78"/>
      <c r="LJE46" s="78"/>
      <c r="LJF46" s="78"/>
      <c r="LJG46" s="78"/>
      <c r="LJH46" s="78"/>
      <c r="LJI46" s="78"/>
      <c r="LJJ46" s="78"/>
      <c r="LJK46" s="78"/>
      <c r="LJL46" s="78"/>
      <c r="LJM46" s="78"/>
      <c r="LJN46" s="78"/>
      <c r="LJO46" s="78"/>
      <c r="LJP46" s="78"/>
      <c r="LJQ46" s="78"/>
      <c r="LJR46" s="78"/>
      <c r="LJS46" s="78"/>
      <c r="LJT46" s="78"/>
      <c r="LJU46" s="78"/>
      <c r="LJV46" s="78"/>
      <c r="LJW46" s="78"/>
      <c r="LJX46" s="78"/>
      <c r="LJY46" s="78"/>
      <c r="LJZ46" s="78"/>
      <c r="LKA46" s="78"/>
      <c r="LKB46" s="78"/>
      <c r="LKC46" s="78"/>
      <c r="LKD46" s="78"/>
      <c r="LKE46" s="78"/>
      <c r="LKF46" s="78"/>
      <c r="LKG46" s="78"/>
      <c r="LKH46" s="78"/>
      <c r="LKI46" s="78"/>
      <c r="LKJ46" s="78"/>
      <c r="LKK46" s="78"/>
      <c r="LKL46" s="78"/>
      <c r="LKM46" s="78"/>
      <c r="LKN46" s="78"/>
      <c r="LKO46" s="78"/>
      <c r="LKP46" s="78"/>
      <c r="LKQ46" s="78"/>
      <c r="LKR46" s="78"/>
      <c r="LKS46" s="78"/>
      <c r="LKT46" s="78"/>
      <c r="LKU46" s="78"/>
      <c r="LKV46" s="78"/>
      <c r="LKW46" s="78"/>
      <c r="LKX46" s="78"/>
      <c r="LKY46" s="78"/>
      <c r="LKZ46" s="78"/>
      <c r="LLA46" s="78"/>
      <c r="LLB46" s="78"/>
      <c r="LLC46" s="78"/>
      <c r="LLD46" s="78"/>
      <c r="LLE46" s="78"/>
      <c r="LLF46" s="78"/>
      <c r="LLG46" s="78"/>
      <c r="LLH46" s="78"/>
      <c r="LLI46" s="78"/>
      <c r="LLJ46" s="78"/>
      <c r="LLK46" s="78"/>
      <c r="LLL46" s="78"/>
      <c r="LLM46" s="78"/>
      <c r="LLN46" s="78"/>
      <c r="LLO46" s="78"/>
      <c r="LLP46" s="78"/>
      <c r="LLQ46" s="78"/>
      <c r="LLR46" s="78"/>
      <c r="LLS46" s="78"/>
      <c r="LLT46" s="78"/>
      <c r="LLU46" s="78"/>
      <c r="LLV46" s="78"/>
      <c r="LLW46" s="78"/>
      <c r="LLX46" s="78"/>
      <c r="LLY46" s="78"/>
      <c r="LLZ46" s="78"/>
      <c r="LMA46" s="78"/>
      <c r="LMB46" s="78"/>
      <c r="LMC46" s="78"/>
      <c r="LMD46" s="78"/>
      <c r="LME46" s="78"/>
      <c r="LMF46" s="78"/>
      <c r="LMG46" s="78"/>
      <c r="LMH46" s="78"/>
      <c r="LMI46" s="78"/>
      <c r="LMJ46" s="78"/>
      <c r="LMK46" s="78"/>
      <c r="LML46" s="78"/>
      <c r="LMM46" s="78"/>
      <c r="LMN46" s="78"/>
      <c r="LMO46" s="78"/>
      <c r="LMP46" s="78"/>
      <c r="LMQ46" s="78"/>
      <c r="LMR46" s="78"/>
      <c r="LMS46" s="78"/>
      <c r="LMT46" s="78"/>
      <c r="LMU46" s="78"/>
      <c r="LMV46" s="78"/>
      <c r="LMW46" s="78"/>
      <c r="LMX46" s="78"/>
      <c r="LMY46" s="78"/>
      <c r="LMZ46" s="78"/>
      <c r="LNA46" s="78"/>
      <c r="LNB46" s="78"/>
      <c r="LNC46" s="78"/>
      <c r="LND46" s="78"/>
      <c r="LNE46" s="78"/>
      <c r="LNF46" s="78"/>
      <c r="LNG46" s="78"/>
      <c r="LNH46" s="78"/>
      <c r="LNI46" s="78"/>
      <c r="LNJ46" s="78"/>
      <c r="LNK46" s="78"/>
      <c r="LNL46" s="78"/>
      <c r="LNM46" s="78"/>
      <c r="LNN46" s="78"/>
      <c r="LNO46" s="78"/>
      <c r="LNP46" s="78"/>
      <c r="LNQ46" s="78"/>
      <c r="LNR46" s="78"/>
      <c r="LNS46" s="78"/>
      <c r="LNT46" s="78"/>
      <c r="LNU46" s="78"/>
      <c r="LNV46" s="78"/>
      <c r="LNW46" s="78"/>
      <c r="LNX46" s="78"/>
      <c r="LNY46" s="78"/>
      <c r="LNZ46" s="78"/>
      <c r="LOA46" s="78"/>
      <c r="LOB46" s="78"/>
      <c r="LOC46" s="78"/>
      <c r="LOD46" s="78"/>
      <c r="LOE46" s="78"/>
      <c r="LOF46" s="78"/>
      <c r="LOG46" s="78"/>
      <c r="LOH46" s="78"/>
      <c r="LOI46" s="78"/>
      <c r="LOJ46" s="78"/>
      <c r="LOK46" s="78"/>
      <c r="LOL46" s="78"/>
      <c r="LOM46" s="78"/>
      <c r="LON46" s="78"/>
      <c r="LOO46" s="78"/>
      <c r="LOP46" s="78"/>
      <c r="LOQ46" s="78"/>
      <c r="LOR46" s="78"/>
      <c r="LOS46" s="78"/>
      <c r="LOT46" s="78"/>
      <c r="LOU46" s="78"/>
      <c r="LOV46" s="78"/>
      <c r="LOW46" s="78"/>
      <c r="LOX46" s="78"/>
      <c r="LOY46" s="78"/>
      <c r="LOZ46" s="78"/>
      <c r="LPA46" s="78"/>
      <c r="LPB46" s="78"/>
      <c r="LPC46" s="78"/>
      <c r="LPD46" s="78"/>
      <c r="LPE46" s="78"/>
      <c r="LPF46" s="78"/>
      <c r="LPG46" s="78"/>
      <c r="LPH46" s="78"/>
      <c r="LPI46" s="78"/>
      <c r="LPJ46" s="78"/>
      <c r="LPK46" s="78"/>
      <c r="LPL46" s="78"/>
      <c r="LPM46" s="78"/>
      <c r="LPN46" s="78"/>
      <c r="LPO46" s="78"/>
      <c r="LPP46" s="78"/>
      <c r="LPQ46" s="78"/>
      <c r="LPR46" s="78"/>
      <c r="LPS46" s="78"/>
      <c r="LPT46" s="78"/>
      <c r="LPU46" s="78"/>
      <c r="LPV46" s="78"/>
      <c r="LPW46" s="78"/>
      <c r="LPX46" s="78"/>
      <c r="LPY46" s="78"/>
      <c r="LPZ46" s="78"/>
      <c r="LQA46" s="78"/>
      <c r="LQB46" s="78"/>
      <c r="LQC46" s="78"/>
      <c r="LQD46" s="78"/>
      <c r="LQE46" s="78"/>
      <c r="LQF46" s="78"/>
      <c r="LQG46" s="78"/>
      <c r="LQH46" s="78"/>
      <c r="LQI46" s="78"/>
      <c r="LQJ46" s="78"/>
      <c r="LQK46" s="78"/>
      <c r="LQL46" s="78"/>
      <c r="LQM46" s="78"/>
      <c r="LQN46" s="78"/>
      <c r="LQO46" s="78"/>
      <c r="LQP46" s="78"/>
      <c r="LQQ46" s="78"/>
      <c r="LQR46" s="78"/>
      <c r="LQS46" s="78"/>
      <c r="LQT46" s="78"/>
      <c r="LQU46" s="78"/>
      <c r="LQV46" s="78"/>
      <c r="LQW46" s="78"/>
      <c r="LQX46" s="78"/>
      <c r="LQY46" s="78"/>
      <c r="LQZ46" s="78"/>
      <c r="LRA46" s="78"/>
      <c r="LRB46" s="78"/>
      <c r="LRC46" s="78"/>
      <c r="LRD46" s="78"/>
      <c r="LRE46" s="78"/>
      <c r="LRF46" s="78"/>
      <c r="LRG46" s="78"/>
      <c r="LRH46" s="78"/>
      <c r="LRI46" s="78"/>
      <c r="LRJ46" s="78"/>
      <c r="LRK46" s="78"/>
      <c r="LRL46" s="78"/>
      <c r="LRM46" s="78"/>
      <c r="LRN46" s="78"/>
      <c r="LRO46" s="78"/>
      <c r="LRP46" s="78"/>
      <c r="LRQ46" s="78"/>
      <c r="LRR46" s="78"/>
      <c r="LRS46" s="78"/>
      <c r="LRT46" s="78"/>
      <c r="LRU46" s="78"/>
      <c r="LRV46" s="78"/>
      <c r="LRW46" s="78"/>
      <c r="LRX46" s="78"/>
      <c r="LRY46" s="78"/>
      <c r="LRZ46" s="78"/>
      <c r="LSA46" s="78"/>
      <c r="LSB46" s="78"/>
      <c r="LSC46" s="78"/>
      <c r="LSD46" s="78"/>
      <c r="LSE46" s="78"/>
      <c r="LSF46" s="78"/>
      <c r="LSG46" s="78"/>
      <c r="LSH46" s="78"/>
      <c r="LSI46" s="78"/>
      <c r="LSJ46" s="78"/>
      <c r="LSK46" s="78"/>
      <c r="LSL46" s="78"/>
      <c r="LSM46" s="78"/>
      <c r="LSN46" s="78"/>
      <c r="LSO46" s="78"/>
      <c r="LSP46" s="78"/>
      <c r="LSQ46" s="78"/>
      <c r="LSR46" s="78"/>
      <c r="LSS46" s="78"/>
      <c r="LST46" s="78"/>
      <c r="LSU46" s="78"/>
      <c r="LSV46" s="78"/>
      <c r="LSW46" s="78"/>
      <c r="LSX46" s="78"/>
      <c r="LSY46" s="78"/>
      <c r="LSZ46" s="78"/>
      <c r="LTA46" s="78"/>
      <c r="LTB46" s="78"/>
      <c r="LTC46" s="78"/>
      <c r="LTD46" s="78"/>
      <c r="LTE46" s="78"/>
      <c r="LTF46" s="78"/>
      <c r="LTG46" s="78"/>
      <c r="LTH46" s="78"/>
      <c r="LTI46" s="78"/>
      <c r="LTJ46" s="78"/>
      <c r="LTK46" s="78"/>
      <c r="LTL46" s="78"/>
      <c r="LTM46" s="78"/>
      <c r="LTN46" s="78"/>
      <c r="LTO46" s="78"/>
      <c r="LTP46" s="78"/>
      <c r="LTQ46" s="78"/>
      <c r="LTR46" s="78"/>
      <c r="LTS46" s="78"/>
      <c r="LTT46" s="78"/>
      <c r="LTU46" s="78"/>
      <c r="LTV46" s="78"/>
      <c r="LTW46" s="78"/>
      <c r="LTX46" s="78"/>
      <c r="LTY46" s="78"/>
      <c r="LTZ46" s="78"/>
      <c r="LUA46" s="78"/>
      <c r="LUB46" s="78"/>
      <c r="LUC46" s="78"/>
      <c r="LUD46" s="78"/>
      <c r="LUE46" s="78"/>
      <c r="LUF46" s="78"/>
      <c r="LUG46" s="78"/>
      <c r="LUH46" s="78"/>
      <c r="LUI46" s="78"/>
      <c r="LUJ46" s="78"/>
      <c r="LUK46" s="78"/>
      <c r="LUL46" s="78"/>
      <c r="LUM46" s="78"/>
      <c r="LUN46" s="78"/>
      <c r="LUO46" s="78"/>
      <c r="LUP46" s="78"/>
      <c r="LUQ46" s="78"/>
      <c r="LUR46" s="78"/>
      <c r="LUS46" s="78"/>
      <c r="LUT46" s="78"/>
      <c r="LUU46" s="78"/>
      <c r="LUV46" s="78"/>
      <c r="LUW46" s="78"/>
      <c r="LUX46" s="78"/>
      <c r="LUY46" s="78"/>
      <c r="LUZ46" s="78"/>
      <c r="LVA46" s="78"/>
      <c r="LVB46" s="78"/>
      <c r="LVC46" s="78"/>
      <c r="LVD46" s="78"/>
      <c r="LVE46" s="78"/>
      <c r="LVF46" s="78"/>
      <c r="LVG46" s="78"/>
      <c r="LVH46" s="78"/>
      <c r="LVI46" s="78"/>
      <c r="LVJ46" s="78"/>
      <c r="LVK46" s="78"/>
      <c r="LVL46" s="78"/>
      <c r="LVM46" s="78"/>
      <c r="LVN46" s="78"/>
      <c r="LVO46" s="78"/>
      <c r="LVP46" s="78"/>
      <c r="LVQ46" s="78"/>
      <c r="LVR46" s="78"/>
      <c r="LVS46" s="78"/>
      <c r="LVT46" s="78"/>
      <c r="LVU46" s="78"/>
      <c r="LVV46" s="78"/>
      <c r="LVW46" s="78"/>
      <c r="LVX46" s="78"/>
      <c r="LVY46" s="78"/>
      <c r="LVZ46" s="78"/>
      <c r="LWA46" s="78"/>
      <c r="LWB46" s="78"/>
      <c r="LWC46" s="78"/>
      <c r="LWD46" s="78"/>
      <c r="LWE46" s="78"/>
      <c r="LWF46" s="78"/>
      <c r="LWG46" s="78"/>
      <c r="LWH46" s="78"/>
      <c r="LWI46" s="78"/>
      <c r="LWJ46" s="78"/>
      <c r="LWK46" s="78"/>
      <c r="LWL46" s="78"/>
      <c r="LWM46" s="78"/>
      <c r="LWN46" s="78"/>
      <c r="LWO46" s="78"/>
      <c r="LWP46" s="78"/>
      <c r="LWQ46" s="78"/>
      <c r="LWR46" s="78"/>
      <c r="LWS46" s="78"/>
      <c r="LWT46" s="78"/>
      <c r="LWU46" s="78"/>
      <c r="LWV46" s="78"/>
      <c r="LWW46" s="78"/>
      <c r="LWX46" s="78"/>
      <c r="LWY46" s="78"/>
      <c r="LWZ46" s="78"/>
      <c r="LXA46" s="78"/>
      <c r="LXB46" s="78"/>
      <c r="LXC46" s="78"/>
      <c r="LXD46" s="78"/>
      <c r="LXE46" s="78"/>
      <c r="LXF46" s="78"/>
      <c r="LXG46" s="78"/>
      <c r="LXH46" s="78"/>
      <c r="LXI46" s="78"/>
      <c r="LXJ46" s="78"/>
      <c r="LXK46" s="78"/>
      <c r="LXL46" s="78"/>
      <c r="LXM46" s="78"/>
      <c r="LXN46" s="78"/>
      <c r="LXO46" s="78"/>
      <c r="LXP46" s="78"/>
      <c r="LXQ46" s="78"/>
      <c r="LXR46" s="78"/>
      <c r="LXS46" s="78"/>
      <c r="LXT46" s="78"/>
      <c r="LXU46" s="78"/>
      <c r="LXV46" s="78"/>
      <c r="LXW46" s="78"/>
      <c r="LXX46" s="78"/>
      <c r="LXY46" s="78"/>
      <c r="LXZ46" s="78"/>
      <c r="LYA46" s="78"/>
      <c r="LYB46" s="78"/>
      <c r="LYC46" s="78"/>
      <c r="LYD46" s="78"/>
      <c r="LYE46" s="78"/>
      <c r="LYF46" s="78"/>
      <c r="LYG46" s="78"/>
      <c r="LYH46" s="78"/>
      <c r="LYI46" s="78"/>
      <c r="LYJ46" s="78"/>
      <c r="LYK46" s="78"/>
      <c r="LYL46" s="78"/>
      <c r="LYM46" s="78"/>
      <c r="LYN46" s="78"/>
      <c r="LYO46" s="78"/>
      <c r="LYP46" s="78"/>
      <c r="LYQ46" s="78"/>
      <c r="LYR46" s="78"/>
      <c r="LYS46" s="78"/>
      <c r="LYT46" s="78"/>
      <c r="LYU46" s="78"/>
      <c r="LYV46" s="78"/>
      <c r="LYW46" s="78"/>
      <c r="LYX46" s="78"/>
      <c r="LYY46" s="78"/>
      <c r="LYZ46" s="78"/>
      <c r="LZA46" s="78"/>
      <c r="LZB46" s="78"/>
      <c r="LZC46" s="78"/>
      <c r="LZD46" s="78"/>
      <c r="LZE46" s="78"/>
      <c r="LZF46" s="78"/>
      <c r="LZG46" s="78"/>
      <c r="LZH46" s="78"/>
      <c r="LZI46" s="78"/>
      <c r="LZJ46" s="78"/>
      <c r="LZK46" s="78"/>
      <c r="LZL46" s="78"/>
      <c r="LZM46" s="78"/>
      <c r="LZN46" s="78"/>
      <c r="LZO46" s="78"/>
      <c r="LZP46" s="78"/>
      <c r="LZQ46" s="78"/>
      <c r="LZR46" s="78"/>
      <c r="LZS46" s="78"/>
      <c r="LZT46" s="78"/>
      <c r="LZU46" s="78"/>
      <c r="LZV46" s="78"/>
      <c r="LZW46" s="78"/>
      <c r="LZX46" s="78"/>
      <c r="LZY46" s="78"/>
      <c r="LZZ46" s="78"/>
      <c r="MAA46" s="78"/>
      <c r="MAB46" s="78"/>
      <c r="MAC46" s="78"/>
      <c r="MAD46" s="78"/>
      <c r="MAE46" s="78"/>
      <c r="MAF46" s="78"/>
      <c r="MAG46" s="78"/>
      <c r="MAH46" s="78"/>
      <c r="MAI46" s="78"/>
      <c r="MAJ46" s="78"/>
      <c r="MAK46" s="78"/>
      <c r="MAL46" s="78"/>
      <c r="MAM46" s="78"/>
      <c r="MAN46" s="78"/>
      <c r="MAO46" s="78"/>
      <c r="MAP46" s="78"/>
      <c r="MAQ46" s="78"/>
      <c r="MAR46" s="78"/>
      <c r="MAS46" s="78"/>
      <c r="MAT46" s="78"/>
      <c r="MAU46" s="78"/>
      <c r="MAV46" s="78"/>
      <c r="MAW46" s="78"/>
      <c r="MAX46" s="78"/>
      <c r="MAY46" s="78"/>
      <c r="MAZ46" s="78"/>
      <c r="MBA46" s="78"/>
      <c r="MBB46" s="78"/>
      <c r="MBC46" s="78"/>
      <c r="MBD46" s="78"/>
      <c r="MBE46" s="78"/>
      <c r="MBF46" s="78"/>
      <c r="MBG46" s="78"/>
      <c r="MBH46" s="78"/>
      <c r="MBI46" s="78"/>
      <c r="MBJ46" s="78"/>
      <c r="MBK46" s="78"/>
      <c r="MBL46" s="78"/>
      <c r="MBM46" s="78"/>
      <c r="MBN46" s="78"/>
      <c r="MBO46" s="78"/>
      <c r="MBP46" s="78"/>
      <c r="MBQ46" s="78"/>
      <c r="MBR46" s="78"/>
      <c r="MBS46" s="78"/>
      <c r="MBT46" s="78"/>
      <c r="MBU46" s="78"/>
      <c r="MBV46" s="78"/>
      <c r="MBW46" s="78"/>
      <c r="MBX46" s="78"/>
      <c r="MBY46" s="78"/>
      <c r="MBZ46" s="78"/>
      <c r="MCA46" s="78"/>
      <c r="MCB46" s="78"/>
      <c r="MCC46" s="78"/>
      <c r="MCD46" s="78"/>
      <c r="MCE46" s="78"/>
      <c r="MCF46" s="78"/>
      <c r="MCG46" s="78"/>
      <c r="MCH46" s="78"/>
      <c r="MCI46" s="78"/>
      <c r="MCJ46" s="78"/>
      <c r="MCK46" s="78"/>
      <c r="MCL46" s="78"/>
      <c r="MCM46" s="78"/>
      <c r="MCN46" s="78"/>
      <c r="MCO46" s="78"/>
      <c r="MCP46" s="78"/>
      <c r="MCQ46" s="78"/>
      <c r="MCR46" s="78"/>
      <c r="MCS46" s="78"/>
      <c r="MCT46" s="78"/>
      <c r="MCU46" s="78"/>
      <c r="MCV46" s="78"/>
      <c r="MCW46" s="78"/>
      <c r="MCX46" s="78"/>
      <c r="MCY46" s="78"/>
      <c r="MCZ46" s="78"/>
      <c r="MDA46" s="78"/>
      <c r="MDB46" s="78"/>
      <c r="MDC46" s="78"/>
      <c r="MDD46" s="78"/>
      <c r="MDE46" s="78"/>
      <c r="MDF46" s="78"/>
      <c r="MDG46" s="78"/>
      <c r="MDH46" s="78"/>
      <c r="MDI46" s="78"/>
      <c r="MDJ46" s="78"/>
      <c r="MDK46" s="78"/>
      <c r="MDL46" s="78"/>
      <c r="MDM46" s="78"/>
      <c r="MDN46" s="78"/>
      <c r="MDO46" s="78"/>
      <c r="MDP46" s="78"/>
      <c r="MDQ46" s="78"/>
      <c r="MDR46" s="78"/>
      <c r="MDS46" s="78"/>
      <c r="MDT46" s="78"/>
      <c r="MDU46" s="78"/>
      <c r="MDV46" s="78"/>
      <c r="MDW46" s="78"/>
      <c r="MDX46" s="78"/>
      <c r="MDY46" s="78"/>
      <c r="MDZ46" s="78"/>
      <c r="MEA46" s="78"/>
      <c r="MEB46" s="78"/>
      <c r="MEC46" s="78"/>
      <c r="MED46" s="78"/>
      <c r="MEE46" s="78"/>
      <c r="MEF46" s="78"/>
      <c r="MEG46" s="78"/>
      <c r="MEH46" s="78"/>
      <c r="MEI46" s="78"/>
      <c r="MEJ46" s="78"/>
      <c r="MEK46" s="78"/>
      <c r="MEL46" s="78"/>
      <c r="MEM46" s="78"/>
      <c r="MEN46" s="78"/>
      <c r="MEO46" s="78"/>
      <c r="MEP46" s="78"/>
      <c r="MEQ46" s="78"/>
      <c r="MER46" s="78"/>
      <c r="MES46" s="78"/>
      <c r="MET46" s="78"/>
      <c r="MEU46" s="78"/>
      <c r="MEV46" s="78"/>
      <c r="MEW46" s="78"/>
      <c r="MEX46" s="78"/>
      <c r="MEY46" s="78"/>
      <c r="MEZ46" s="78"/>
      <c r="MFA46" s="78"/>
      <c r="MFB46" s="78"/>
      <c r="MFC46" s="78"/>
      <c r="MFD46" s="78"/>
      <c r="MFE46" s="78"/>
      <c r="MFF46" s="78"/>
      <c r="MFG46" s="78"/>
      <c r="MFH46" s="78"/>
      <c r="MFI46" s="78"/>
      <c r="MFJ46" s="78"/>
      <c r="MFK46" s="78"/>
      <c r="MFL46" s="78"/>
      <c r="MFM46" s="78"/>
      <c r="MFN46" s="78"/>
      <c r="MFO46" s="78"/>
      <c r="MFP46" s="78"/>
      <c r="MFQ46" s="78"/>
      <c r="MFR46" s="78"/>
      <c r="MFS46" s="78"/>
      <c r="MFT46" s="78"/>
      <c r="MFU46" s="78"/>
      <c r="MFV46" s="78"/>
      <c r="MFW46" s="78"/>
      <c r="MFX46" s="78"/>
      <c r="MFY46" s="78"/>
      <c r="MFZ46" s="78"/>
      <c r="MGA46" s="78"/>
      <c r="MGB46" s="78"/>
      <c r="MGC46" s="78"/>
      <c r="MGD46" s="78"/>
      <c r="MGE46" s="78"/>
      <c r="MGF46" s="78"/>
      <c r="MGG46" s="78"/>
      <c r="MGH46" s="78"/>
      <c r="MGI46" s="78"/>
      <c r="MGJ46" s="78"/>
      <c r="MGK46" s="78"/>
      <c r="MGL46" s="78"/>
      <c r="MGM46" s="78"/>
      <c r="MGN46" s="78"/>
      <c r="MGO46" s="78"/>
      <c r="MGP46" s="78"/>
      <c r="MGQ46" s="78"/>
      <c r="MGR46" s="78"/>
      <c r="MGS46" s="78"/>
      <c r="MGT46" s="78"/>
      <c r="MGU46" s="78"/>
      <c r="MGV46" s="78"/>
      <c r="MGW46" s="78"/>
      <c r="MGX46" s="78"/>
      <c r="MGY46" s="78"/>
      <c r="MGZ46" s="78"/>
      <c r="MHA46" s="78"/>
      <c r="MHB46" s="78"/>
      <c r="MHC46" s="78"/>
      <c r="MHD46" s="78"/>
      <c r="MHE46" s="78"/>
      <c r="MHF46" s="78"/>
      <c r="MHG46" s="78"/>
      <c r="MHH46" s="78"/>
      <c r="MHI46" s="78"/>
      <c r="MHJ46" s="78"/>
      <c r="MHK46" s="78"/>
      <c r="MHL46" s="78"/>
      <c r="MHM46" s="78"/>
      <c r="MHN46" s="78"/>
      <c r="MHO46" s="78"/>
      <c r="MHP46" s="78"/>
      <c r="MHQ46" s="78"/>
      <c r="MHR46" s="78"/>
      <c r="MHS46" s="78"/>
      <c r="MHT46" s="78"/>
      <c r="MHU46" s="78"/>
      <c r="MHV46" s="78"/>
      <c r="MHW46" s="78"/>
      <c r="MHX46" s="78"/>
      <c r="MHY46" s="78"/>
      <c r="MHZ46" s="78"/>
      <c r="MIA46" s="78"/>
      <c r="MIB46" s="78"/>
      <c r="MIC46" s="78"/>
      <c r="MID46" s="78"/>
      <c r="MIE46" s="78"/>
      <c r="MIF46" s="78"/>
      <c r="MIG46" s="78"/>
      <c r="MIH46" s="78"/>
      <c r="MII46" s="78"/>
      <c r="MIJ46" s="78"/>
      <c r="MIK46" s="78"/>
      <c r="MIL46" s="78"/>
      <c r="MIM46" s="78"/>
      <c r="MIN46" s="78"/>
      <c r="MIO46" s="78"/>
      <c r="MIP46" s="78"/>
      <c r="MIQ46" s="78"/>
      <c r="MIR46" s="78"/>
      <c r="MIS46" s="78"/>
      <c r="MIT46" s="78"/>
      <c r="MIU46" s="78"/>
      <c r="MIV46" s="78"/>
      <c r="MIW46" s="78"/>
      <c r="MIX46" s="78"/>
      <c r="MIY46" s="78"/>
      <c r="MIZ46" s="78"/>
      <c r="MJA46" s="78"/>
      <c r="MJB46" s="78"/>
      <c r="MJC46" s="78"/>
      <c r="MJD46" s="78"/>
      <c r="MJE46" s="78"/>
      <c r="MJF46" s="78"/>
      <c r="MJG46" s="78"/>
      <c r="MJH46" s="78"/>
      <c r="MJI46" s="78"/>
      <c r="MJJ46" s="78"/>
      <c r="MJK46" s="78"/>
      <c r="MJL46" s="78"/>
      <c r="MJM46" s="78"/>
      <c r="MJN46" s="78"/>
      <c r="MJO46" s="78"/>
      <c r="MJP46" s="78"/>
      <c r="MJQ46" s="78"/>
      <c r="MJR46" s="78"/>
      <c r="MJS46" s="78"/>
      <c r="MJT46" s="78"/>
      <c r="MJU46" s="78"/>
      <c r="MJV46" s="78"/>
      <c r="MJW46" s="78"/>
      <c r="MJX46" s="78"/>
      <c r="MJY46" s="78"/>
      <c r="MJZ46" s="78"/>
      <c r="MKA46" s="78"/>
      <c r="MKB46" s="78"/>
      <c r="MKC46" s="78"/>
      <c r="MKD46" s="78"/>
      <c r="MKE46" s="78"/>
      <c r="MKF46" s="78"/>
      <c r="MKG46" s="78"/>
      <c r="MKH46" s="78"/>
      <c r="MKI46" s="78"/>
      <c r="MKJ46" s="78"/>
      <c r="MKK46" s="78"/>
      <c r="MKL46" s="78"/>
      <c r="MKM46" s="78"/>
      <c r="MKN46" s="78"/>
      <c r="MKO46" s="78"/>
      <c r="MKP46" s="78"/>
      <c r="MKQ46" s="78"/>
      <c r="MKR46" s="78"/>
      <c r="MKS46" s="78"/>
      <c r="MKT46" s="78"/>
      <c r="MKU46" s="78"/>
      <c r="MKV46" s="78"/>
      <c r="MKW46" s="78"/>
      <c r="MKX46" s="78"/>
      <c r="MKY46" s="78"/>
      <c r="MKZ46" s="78"/>
      <c r="MLA46" s="78"/>
      <c r="MLB46" s="78"/>
      <c r="MLC46" s="78"/>
      <c r="MLD46" s="78"/>
      <c r="MLE46" s="78"/>
      <c r="MLF46" s="78"/>
      <c r="MLG46" s="78"/>
      <c r="MLH46" s="78"/>
      <c r="MLI46" s="78"/>
      <c r="MLJ46" s="78"/>
      <c r="MLK46" s="78"/>
      <c r="MLL46" s="78"/>
      <c r="MLM46" s="78"/>
      <c r="MLN46" s="78"/>
      <c r="MLO46" s="78"/>
      <c r="MLP46" s="78"/>
      <c r="MLQ46" s="78"/>
      <c r="MLR46" s="78"/>
      <c r="MLS46" s="78"/>
      <c r="MLT46" s="78"/>
      <c r="MLU46" s="78"/>
      <c r="MLV46" s="78"/>
      <c r="MLW46" s="78"/>
      <c r="MLX46" s="78"/>
      <c r="MLY46" s="78"/>
      <c r="MLZ46" s="78"/>
      <c r="MMA46" s="78"/>
      <c r="MMB46" s="78"/>
      <c r="MMC46" s="78"/>
      <c r="MMD46" s="78"/>
      <c r="MME46" s="78"/>
      <c r="MMF46" s="78"/>
      <c r="MMG46" s="78"/>
      <c r="MMH46" s="78"/>
      <c r="MMI46" s="78"/>
      <c r="MMJ46" s="78"/>
      <c r="MMK46" s="78"/>
      <c r="MML46" s="78"/>
      <c r="MMM46" s="78"/>
      <c r="MMN46" s="78"/>
      <c r="MMO46" s="78"/>
      <c r="MMP46" s="78"/>
      <c r="MMQ46" s="78"/>
      <c r="MMR46" s="78"/>
      <c r="MMS46" s="78"/>
      <c r="MMT46" s="78"/>
      <c r="MMU46" s="78"/>
      <c r="MMV46" s="78"/>
      <c r="MMW46" s="78"/>
      <c r="MMX46" s="78"/>
      <c r="MMY46" s="78"/>
      <c r="MMZ46" s="78"/>
      <c r="MNA46" s="78"/>
      <c r="MNB46" s="78"/>
      <c r="MNC46" s="78"/>
      <c r="MND46" s="78"/>
      <c r="MNE46" s="78"/>
      <c r="MNF46" s="78"/>
      <c r="MNG46" s="78"/>
      <c r="MNH46" s="78"/>
      <c r="MNI46" s="78"/>
      <c r="MNJ46" s="78"/>
      <c r="MNK46" s="78"/>
      <c r="MNL46" s="78"/>
      <c r="MNM46" s="78"/>
      <c r="MNN46" s="78"/>
      <c r="MNO46" s="78"/>
      <c r="MNP46" s="78"/>
      <c r="MNQ46" s="78"/>
      <c r="MNR46" s="78"/>
      <c r="MNS46" s="78"/>
      <c r="MNT46" s="78"/>
      <c r="MNU46" s="78"/>
      <c r="MNV46" s="78"/>
      <c r="MNW46" s="78"/>
      <c r="MNX46" s="78"/>
      <c r="MNY46" s="78"/>
      <c r="MNZ46" s="78"/>
      <c r="MOA46" s="78"/>
      <c r="MOB46" s="78"/>
      <c r="MOC46" s="78"/>
      <c r="MOD46" s="78"/>
      <c r="MOE46" s="78"/>
      <c r="MOF46" s="78"/>
      <c r="MOG46" s="78"/>
      <c r="MOH46" s="78"/>
      <c r="MOI46" s="78"/>
      <c r="MOJ46" s="78"/>
      <c r="MOK46" s="78"/>
      <c r="MOL46" s="78"/>
      <c r="MOM46" s="78"/>
      <c r="MON46" s="78"/>
      <c r="MOO46" s="78"/>
      <c r="MOP46" s="78"/>
      <c r="MOQ46" s="78"/>
      <c r="MOR46" s="78"/>
      <c r="MOS46" s="78"/>
      <c r="MOT46" s="78"/>
      <c r="MOU46" s="78"/>
      <c r="MOV46" s="78"/>
      <c r="MOW46" s="78"/>
      <c r="MOX46" s="78"/>
      <c r="MOY46" s="78"/>
      <c r="MOZ46" s="78"/>
      <c r="MPA46" s="78"/>
      <c r="MPB46" s="78"/>
      <c r="MPC46" s="78"/>
      <c r="MPD46" s="78"/>
      <c r="MPE46" s="78"/>
      <c r="MPF46" s="78"/>
      <c r="MPG46" s="78"/>
      <c r="MPH46" s="78"/>
      <c r="MPI46" s="78"/>
      <c r="MPJ46" s="78"/>
      <c r="MPK46" s="78"/>
      <c r="MPL46" s="78"/>
      <c r="MPM46" s="78"/>
      <c r="MPN46" s="78"/>
      <c r="MPO46" s="78"/>
      <c r="MPP46" s="78"/>
      <c r="MPQ46" s="78"/>
      <c r="MPR46" s="78"/>
      <c r="MPS46" s="78"/>
      <c r="MPT46" s="78"/>
      <c r="MPU46" s="78"/>
      <c r="MPV46" s="78"/>
      <c r="MPW46" s="78"/>
      <c r="MPX46" s="78"/>
      <c r="MPY46" s="78"/>
      <c r="MPZ46" s="78"/>
      <c r="MQA46" s="78"/>
      <c r="MQB46" s="78"/>
      <c r="MQC46" s="78"/>
      <c r="MQD46" s="78"/>
      <c r="MQE46" s="78"/>
      <c r="MQF46" s="78"/>
      <c r="MQG46" s="78"/>
      <c r="MQH46" s="78"/>
      <c r="MQI46" s="78"/>
      <c r="MQJ46" s="78"/>
      <c r="MQK46" s="78"/>
      <c r="MQL46" s="78"/>
      <c r="MQM46" s="78"/>
      <c r="MQN46" s="78"/>
      <c r="MQO46" s="78"/>
      <c r="MQP46" s="78"/>
      <c r="MQQ46" s="78"/>
      <c r="MQR46" s="78"/>
      <c r="MQS46" s="78"/>
      <c r="MQT46" s="78"/>
      <c r="MQU46" s="78"/>
      <c r="MQV46" s="78"/>
      <c r="MQW46" s="78"/>
      <c r="MQX46" s="78"/>
      <c r="MQY46" s="78"/>
      <c r="MQZ46" s="78"/>
      <c r="MRA46" s="78"/>
      <c r="MRB46" s="78"/>
      <c r="MRC46" s="78"/>
      <c r="MRD46" s="78"/>
      <c r="MRE46" s="78"/>
      <c r="MRF46" s="78"/>
      <c r="MRG46" s="78"/>
      <c r="MRH46" s="78"/>
      <c r="MRI46" s="78"/>
      <c r="MRJ46" s="78"/>
      <c r="MRK46" s="78"/>
      <c r="MRL46" s="78"/>
      <c r="MRM46" s="78"/>
      <c r="MRN46" s="78"/>
      <c r="MRO46" s="78"/>
      <c r="MRP46" s="78"/>
      <c r="MRQ46" s="78"/>
      <c r="MRR46" s="78"/>
      <c r="MRS46" s="78"/>
      <c r="MRT46" s="78"/>
      <c r="MRU46" s="78"/>
      <c r="MRV46" s="78"/>
      <c r="MRW46" s="78"/>
      <c r="MRX46" s="78"/>
      <c r="MRY46" s="78"/>
      <c r="MRZ46" s="78"/>
      <c r="MSA46" s="78"/>
      <c r="MSB46" s="78"/>
      <c r="MSC46" s="78"/>
      <c r="MSD46" s="78"/>
      <c r="MSE46" s="78"/>
      <c r="MSF46" s="78"/>
      <c r="MSG46" s="78"/>
      <c r="MSH46" s="78"/>
      <c r="MSI46" s="78"/>
      <c r="MSJ46" s="78"/>
      <c r="MSK46" s="78"/>
      <c r="MSL46" s="78"/>
      <c r="MSM46" s="78"/>
      <c r="MSN46" s="78"/>
      <c r="MSO46" s="78"/>
      <c r="MSP46" s="78"/>
      <c r="MSQ46" s="78"/>
      <c r="MSR46" s="78"/>
      <c r="MSS46" s="78"/>
      <c r="MST46" s="78"/>
      <c r="MSU46" s="78"/>
      <c r="MSV46" s="78"/>
      <c r="MSW46" s="78"/>
      <c r="MSX46" s="78"/>
      <c r="MSY46" s="78"/>
      <c r="MSZ46" s="78"/>
      <c r="MTA46" s="78"/>
      <c r="MTB46" s="78"/>
      <c r="MTC46" s="78"/>
      <c r="MTD46" s="78"/>
      <c r="MTE46" s="78"/>
      <c r="MTF46" s="78"/>
      <c r="MTG46" s="78"/>
      <c r="MTH46" s="78"/>
      <c r="MTI46" s="78"/>
      <c r="MTJ46" s="78"/>
      <c r="MTK46" s="78"/>
      <c r="MTL46" s="78"/>
      <c r="MTM46" s="78"/>
      <c r="MTN46" s="78"/>
      <c r="MTO46" s="78"/>
      <c r="MTP46" s="78"/>
      <c r="MTQ46" s="78"/>
      <c r="MTR46" s="78"/>
      <c r="MTS46" s="78"/>
      <c r="MTT46" s="78"/>
      <c r="MTU46" s="78"/>
      <c r="MTV46" s="78"/>
      <c r="MTW46" s="78"/>
      <c r="MTX46" s="78"/>
      <c r="MTY46" s="78"/>
      <c r="MTZ46" s="78"/>
      <c r="MUA46" s="78"/>
      <c r="MUB46" s="78"/>
      <c r="MUC46" s="78"/>
      <c r="MUD46" s="78"/>
      <c r="MUE46" s="78"/>
      <c r="MUF46" s="78"/>
      <c r="MUG46" s="78"/>
      <c r="MUH46" s="78"/>
      <c r="MUI46" s="78"/>
      <c r="MUJ46" s="78"/>
      <c r="MUK46" s="78"/>
      <c r="MUL46" s="78"/>
      <c r="MUM46" s="78"/>
      <c r="MUN46" s="78"/>
      <c r="MUO46" s="78"/>
      <c r="MUP46" s="78"/>
      <c r="MUQ46" s="78"/>
      <c r="MUR46" s="78"/>
      <c r="MUS46" s="78"/>
      <c r="MUT46" s="78"/>
      <c r="MUU46" s="78"/>
      <c r="MUV46" s="78"/>
      <c r="MUW46" s="78"/>
      <c r="MUX46" s="78"/>
      <c r="MUY46" s="78"/>
      <c r="MUZ46" s="78"/>
      <c r="MVA46" s="78"/>
      <c r="MVB46" s="78"/>
      <c r="MVC46" s="78"/>
      <c r="MVD46" s="78"/>
      <c r="MVE46" s="78"/>
      <c r="MVF46" s="78"/>
      <c r="MVG46" s="78"/>
      <c r="MVH46" s="78"/>
      <c r="MVI46" s="78"/>
      <c r="MVJ46" s="78"/>
      <c r="MVK46" s="78"/>
      <c r="MVL46" s="78"/>
      <c r="MVM46" s="78"/>
      <c r="MVN46" s="78"/>
      <c r="MVO46" s="78"/>
      <c r="MVP46" s="78"/>
      <c r="MVQ46" s="78"/>
      <c r="MVR46" s="78"/>
      <c r="MVS46" s="78"/>
      <c r="MVT46" s="78"/>
      <c r="MVU46" s="78"/>
      <c r="MVV46" s="78"/>
      <c r="MVW46" s="78"/>
      <c r="MVX46" s="78"/>
      <c r="MVY46" s="78"/>
      <c r="MVZ46" s="78"/>
      <c r="MWA46" s="78"/>
      <c r="MWB46" s="78"/>
      <c r="MWC46" s="78"/>
      <c r="MWD46" s="78"/>
      <c r="MWE46" s="78"/>
      <c r="MWF46" s="78"/>
      <c r="MWG46" s="78"/>
      <c r="MWH46" s="78"/>
      <c r="MWI46" s="78"/>
      <c r="MWJ46" s="78"/>
      <c r="MWK46" s="78"/>
      <c r="MWL46" s="78"/>
      <c r="MWM46" s="78"/>
      <c r="MWN46" s="78"/>
      <c r="MWO46" s="78"/>
      <c r="MWP46" s="78"/>
      <c r="MWQ46" s="78"/>
      <c r="MWR46" s="78"/>
      <c r="MWS46" s="78"/>
      <c r="MWT46" s="78"/>
      <c r="MWU46" s="78"/>
      <c r="MWV46" s="78"/>
      <c r="MWW46" s="78"/>
      <c r="MWX46" s="78"/>
      <c r="MWY46" s="78"/>
      <c r="MWZ46" s="78"/>
      <c r="MXA46" s="78"/>
      <c r="MXB46" s="78"/>
      <c r="MXC46" s="78"/>
      <c r="MXD46" s="78"/>
      <c r="MXE46" s="78"/>
      <c r="MXF46" s="78"/>
      <c r="MXG46" s="78"/>
      <c r="MXH46" s="78"/>
      <c r="MXI46" s="78"/>
      <c r="MXJ46" s="78"/>
      <c r="MXK46" s="78"/>
      <c r="MXL46" s="78"/>
      <c r="MXM46" s="78"/>
      <c r="MXN46" s="78"/>
      <c r="MXO46" s="78"/>
      <c r="MXP46" s="78"/>
      <c r="MXQ46" s="78"/>
      <c r="MXR46" s="78"/>
      <c r="MXS46" s="78"/>
      <c r="MXT46" s="78"/>
      <c r="MXU46" s="78"/>
      <c r="MXV46" s="78"/>
      <c r="MXW46" s="78"/>
      <c r="MXX46" s="78"/>
      <c r="MXY46" s="78"/>
      <c r="MXZ46" s="78"/>
      <c r="MYA46" s="78"/>
      <c r="MYB46" s="78"/>
      <c r="MYC46" s="78"/>
      <c r="MYD46" s="78"/>
      <c r="MYE46" s="78"/>
      <c r="MYF46" s="78"/>
      <c r="MYG46" s="78"/>
      <c r="MYH46" s="78"/>
      <c r="MYI46" s="78"/>
      <c r="MYJ46" s="78"/>
      <c r="MYK46" s="78"/>
      <c r="MYL46" s="78"/>
      <c r="MYM46" s="78"/>
      <c r="MYN46" s="78"/>
      <c r="MYO46" s="78"/>
      <c r="MYP46" s="78"/>
      <c r="MYQ46" s="78"/>
      <c r="MYR46" s="78"/>
      <c r="MYS46" s="78"/>
      <c r="MYT46" s="78"/>
      <c r="MYU46" s="78"/>
      <c r="MYV46" s="78"/>
      <c r="MYW46" s="78"/>
      <c r="MYX46" s="78"/>
      <c r="MYY46" s="78"/>
      <c r="MYZ46" s="78"/>
      <c r="MZA46" s="78"/>
      <c r="MZB46" s="78"/>
      <c r="MZC46" s="78"/>
      <c r="MZD46" s="78"/>
      <c r="MZE46" s="78"/>
      <c r="MZF46" s="78"/>
      <c r="MZG46" s="78"/>
      <c r="MZH46" s="78"/>
      <c r="MZI46" s="78"/>
      <c r="MZJ46" s="78"/>
      <c r="MZK46" s="78"/>
      <c r="MZL46" s="78"/>
      <c r="MZM46" s="78"/>
      <c r="MZN46" s="78"/>
      <c r="MZO46" s="78"/>
      <c r="MZP46" s="78"/>
      <c r="MZQ46" s="78"/>
      <c r="MZR46" s="78"/>
      <c r="MZS46" s="78"/>
      <c r="MZT46" s="78"/>
      <c r="MZU46" s="78"/>
      <c r="MZV46" s="78"/>
      <c r="MZW46" s="78"/>
      <c r="MZX46" s="78"/>
      <c r="MZY46" s="78"/>
      <c r="MZZ46" s="78"/>
      <c r="NAA46" s="78"/>
      <c r="NAB46" s="78"/>
      <c r="NAC46" s="78"/>
      <c r="NAD46" s="78"/>
      <c r="NAE46" s="78"/>
      <c r="NAF46" s="78"/>
      <c r="NAG46" s="78"/>
      <c r="NAH46" s="78"/>
      <c r="NAI46" s="78"/>
      <c r="NAJ46" s="78"/>
      <c r="NAK46" s="78"/>
      <c r="NAL46" s="78"/>
      <c r="NAM46" s="78"/>
      <c r="NAN46" s="78"/>
      <c r="NAO46" s="78"/>
      <c r="NAP46" s="78"/>
      <c r="NAQ46" s="78"/>
      <c r="NAR46" s="78"/>
      <c r="NAS46" s="78"/>
      <c r="NAT46" s="78"/>
      <c r="NAU46" s="78"/>
      <c r="NAV46" s="78"/>
      <c r="NAW46" s="78"/>
      <c r="NAX46" s="78"/>
      <c r="NAY46" s="78"/>
      <c r="NAZ46" s="78"/>
      <c r="NBA46" s="78"/>
      <c r="NBB46" s="78"/>
      <c r="NBC46" s="78"/>
      <c r="NBD46" s="78"/>
      <c r="NBE46" s="78"/>
      <c r="NBF46" s="78"/>
      <c r="NBG46" s="78"/>
      <c r="NBH46" s="78"/>
      <c r="NBI46" s="78"/>
      <c r="NBJ46" s="78"/>
      <c r="NBK46" s="78"/>
      <c r="NBL46" s="78"/>
      <c r="NBM46" s="78"/>
      <c r="NBN46" s="78"/>
      <c r="NBO46" s="78"/>
      <c r="NBP46" s="78"/>
      <c r="NBQ46" s="78"/>
      <c r="NBR46" s="78"/>
      <c r="NBS46" s="78"/>
      <c r="NBT46" s="78"/>
      <c r="NBU46" s="78"/>
      <c r="NBV46" s="78"/>
      <c r="NBW46" s="78"/>
      <c r="NBX46" s="78"/>
      <c r="NBY46" s="78"/>
      <c r="NBZ46" s="78"/>
      <c r="NCA46" s="78"/>
      <c r="NCB46" s="78"/>
      <c r="NCC46" s="78"/>
      <c r="NCD46" s="78"/>
      <c r="NCE46" s="78"/>
      <c r="NCF46" s="78"/>
      <c r="NCG46" s="78"/>
      <c r="NCH46" s="78"/>
      <c r="NCI46" s="78"/>
      <c r="NCJ46" s="78"/>
      <c r="NCK46" s="78"/>
      <c r="NCL46" s="78"/>
      <c r="NCM46" s="78"/>
      <c r="NCN46" s="78"/>
      <c r="NCO46" s="78"/>
      <c r="NCP46" s="78"/>
      <c r="NCQ46" s="78"/>
      <c r="NCR46" s="78"/>
      <c r="NCS46" s="78"/>
      <c r="NCT46" s="78"/>
      <c r="NCU46" s="78"/>
      <c r="NCV46" s="78"/>
      <c r="NCW46" s="78"/>
      <c r="NCX46" s="78"/>
      <c r="NCY46" s="78"/>
      <c r="NCZ46" s="78"/>
      <c r="NDA46" s="78"/>
      <c r="NDB46" s="78"/>
      <c r="NDC46" s="78"/>
      <c r="NDD46" s="78"/>
      <c r="NDE46" s="78"/>
      <c r="NDF46" s="78"/>
      <c r="NDG46" s="78"/>
      <c r="NDH46" s="78"/>
      <c r="NDI46" s="78"/>
      <c r="NDJ46" s="78"/>
      <c r="NDK46" s="78"/>
      <c r="NDL46" s="78"/>
      <c r="NDM46" s="78"/>
      <c r="NDN46" s="78"/>
      <c r="NDO46" s="78"/>
      <c r="NDP46" s="78"/>
      <c r="NDQ46" s="78"/>
      <c r="NDR46" s="78"/>
      <c r="NDS46" s="78"/>
      <c r="NDT46" s="78"/>
      <c r="NDU46" s="78"/>
      <c r="NDV46" s="78"/>
      <c r="NDW46" s="78"/>
      <c r="NDX46" s="78"/>
      <c r="NDY46" s="78"/>
      <c r="NDZ46" s="78"/>
      <c r="NEA46" s="78"/>
      <c r="NEB46" s="78"/>
      <c r="NEC46" s="78"/>
      <c r="NED46" s="78"/>
      <c r="NEE46" s="78"/>
      <c r="NEF46" s="78"/>
      <c r="NEG46" s="78"/>
      <c r="NEH46" s="78"/>
      <c r="NEI46" s="78"/>
      <c r="NEJ46" s="78"/>
      <c r="NEK46" s="78"/>
      <c r="NEL46" s="78"/>
      <c r="NEM46" s="78"/>
      <c r="NEN46" s="78"/>
      <c r="NEO46" s="78"/>
      <c r="NEP46" s="78"/>
      <c r="NEQ46" s="78"/>
      <c r="NER46" s="78"/>
      <c r="NES46" s="78"/>
      <c r="NET46" s="78"/>
      <c r="NEU46" s="78"/>
      <c r="NEV46" s="78"/>
      <c r="NEW46" s="78"/>
      <c r="NEX46" s="78"/>
      <c r="NEY46" s="78"/>
      <c r="NEZ46" s="78"/>
      <c r="NFA46" s="78"/>
      <c r="NFB46" s="78"/>
      <c r="NFC46" s="78"/>
      <c r="NFD46" s="78"/>
      <c r="NFE46" s="78"/>
      <c r="NFF46" s="78"/>
      <c r="NFG46" s="78"/>
      <c r="NFH46" s="78"/>
      <c r="NFI46" s="78"/>
      <c r="NFJ46" s="78"/>
      <c r="NFK46" s="78"/>
      <c r="NFL46" s="78"/>
      <c r="NFM46" s="78"/>
      <c r="NFN46" s="78"/>
      <c r="NFO46" s="78"/>
      <c r="NFP46" s="78"/>
      <c r="NFQ46" s="78"/>
      <c r="NFR46" s="78"/>
      <c r="NFS46" s="78"/>
      <c r="NFT46" s="78"/>
      <c r="NFU46" s="78"/>
      <c r="NFV46" s="78"/>
      <c r="NFW46" s="78"/>
      <c r="NFX46" s="78"/>
      <c r="NFY46" s="78"/>
      <c r="NFZ46" s="78"/>
      <c r="NGA46" s="78"/>
      <c r="NGB46" s="78"/>
      <c r="NGC46" s="78"/>
      <c r="NGD46" s="78"/>
      <c r="NGE46" s="78"/>
      <c r="NGF46" s="78"/>
      <c r="NGG46" s="78"/>
      <c r="NGH46" s="78"/>
      <c r="NGI46" s="78"/>
      <c r="NGJ46" s="78"/>
      <c r="NGK46" s="78"/>
      <c r="NGL46" s="78"/>
      <c r="NGM46" s="78"/>
      <c r="NGN46" s="78"/>
      <c r="NGO46" s="78"/>
      <c r="NGP46" s="78"/>
      <c r="NGQ46" s="78"/>
      <c r="NGR46" s="78"/>
      <c r="NGS46" s="78"/>
      <c r="NGT46" s="78"/>
      <c r="NGU46" s="78"/>
      <c r="NGV46" s="78"/>
      <c r="NGW46" s="78"/>
      <c r="NGX46" s="78"/>
      <c r="NGY46" s="78"/>
      <c r="NGZ46" s="78"/>
      <c r="NHA46" s="78"/>
      <c r="NHB46" s="78"/>
      <c r="NHC46" s="78"/>
      <c r="NHD46" s="78"/>
      <c r="NHE46" s="78"/>
      <c r="NHF46" s="78"/>
      <c r="NHG46" s="78"/>
      <c r="NHH46" s="78"/>
      <c r="NHI46" s="78"/>
      <c r="NHJ46" s="78"/>
      <c r="NHK46" s="78"/>
      <c r="NHL46" s="78"/>
      <c r="NHM46" s="78"/>
      <c r="NHN46" s="78"/>
      <c r="NHO46" s="78"/>
      <c r="NHP46" s="78"/>
      <c r="NHQ46" s="78"/>
      <c r="NHR46" s="78"/>
      <c r="NHS46" s="78"/>
      <c r="NHT46" s="78"/>
      <c r="NHU46" s="78"/>
      <c r="NHV46" s="78"/>
      <c r="NHW46" s="78"/>
      <c r="NHX46" s="78"/>
      <c r="NHY46" s="78"/>
      <c r="NHZ46" s="78"/>
      <c r="NIA46" s="78"/>
      <c r="NIB46" s="78"/>
      <c r="NIC46" s="78"/>
      <c r="NID46" s="78"/>
      <c r="NIE46" s="78"/>
      <c r="NIF46" s="78"/>
      <c r="NIG46" s="78"/>
      <c r="NIH46" s="78"/>
      <c r="NII46" s="78"/>
      <c r="NIJ46" s="78"/>
      <c r="NIK46" s="78"/>
      <c r="NIL46" s="78"/>
      <c r="NIM46" s="78"/>
      <c r="NIN46" s="78"/>
      <c r="NIO46" s="78"/>
      <c r="NIP46" s="78"/>
      <c r="NIQ46" s="78"/>
      <c r="NIR46" s="78"/>
      <c r="NIS46" s="78"/>
      <c r="NIT46" s="78"/>
      <c r="NIU46" s="78"/>
      <c r="NIV46" s="78"/>
      <c r="NIW46" s="78"/>
      <c r="NIX46" s="78"/>
      <c r="NIY46" s="78"/>
      <c r="NIZ46" s="78"/>
      <c r="NJA46" s="78"/>
      <c r="NJB46" s="78"/>
      <c r="NJC46" s="78"/>
      <c r="NJD46" s="78"/>
      <c r="NJE46" s="78"/>
      <c r="NJF46" s="78"/>
      <c r="NJG46" s="78"/>
      <c r="NJH46" s="78"/>
      <c r="NJI46" s="78"/>
      <c r="NJJ46" s="78"/>
      <c r="NJK46" s="78"/>
      <c r="NJL46" s="78"/>
      <c r="NJM46" s="78"/>
      <c r="NJN46" s="78"/>
      <c r="NJO46" s="78"/>
      <c r="NJP46" s="78"/>
      <c r="NJQ46" s="78"/>
      <c r="NJR46" s="78"/>
      <c r="NJS46" s="78"/>
      <c r="NJT46" s="78"/>
      <c r="NJU46" s="78"/>
      <c r="NJV46" s="78"/>
      <c r="NJW46" s="78"/>
      <c r="NJX46" s="78"/>
      <c r="NJY46" s="78"/>
      <c r="NJZ46" s="78"/>
      <c r="NKA46" s="78"/>
      <c r="NKB46" s="78"/>
      <c r="NKC46" s="78"/>
      <c r="NKD46" s="78"/>
      <c r="NKE46" s="78"/>
      <c r="NKF46" s="78"/>
      <c r="NKG46" s="78"/>
      <c r="NKH46" s="78"/>
      <c r="NKI46" s="78"/>
      <c r="NKJ46" s="78"/>
      <c r="NKK46" s="78"/>
      <c r="NKL46" s="78"/>
      <c r="NKM46" s="78"/>
      <c r="NKN46" s="78"/>
      <c r="NKO46" s="78"/>
      <c r="NKP46" s="78"/>
      <c r="NKQ46" s="78"/>
      <c r="NKR46" s="78"/>
      <c r="NKS46" s="78"/>
      <c r="NKT46" s="78"/>
      <c r="NKU46" s="78"/>
      <c r="NKV46" s="78"/>
      <c r="NKW46" s="78"/>
      <c r="NKX46" s="78"/>
      <c r="NKY46" s="78"/>
      <c r="NKZ46" s="78"/>
      <c r="NLA46" s="78"/>
      <c r="NLB46" s="78"/>
      <c r="NLC46" s="78"/>
      <c r="NLD46" s="78"/>
      <c r="NLE46" s="78"/>
      <c r="NLF46" s="78"/>
      <c r="NLG46" s="78"/>
      <c r="NLH46" s="78"/>
      <c r="NLI46" s="78"/>
      <c r="NLJ46" s="78"/>
      <c r="NLK46" s="78"/>
      <c r="NLL46" s="78"/>
      <c r="NLM46" s="78"/>
      <c r="NLN46" s="78"/>
      <c r="NLO46" s="78"/>
      <c r="NLP46" s="78"/>
      <c r="NLQ46" s="78"/>
      <c r="NLR46" s="78"/>
      <c r="NLS46" s="78"/>
      <c r="NLT46" s="78"/>
      <c r="NLU46" s="78"/>
      <c r="NLV46" s="78"/>
      <c r="NLW46" s="78"/>
      <c r="NLX46" s="78"/>
      <c r="NLY46" s="78"/>
      <c r="NLZ46" s="78"/>
      <c r="NMA46" s="78"/>
      <c r="NMB46" s="78"/>
      <c r="NMC46" s="78"/>
      <c r="NMD46" s="78"/>
      <c r="NME46" s="78"/>
      <c r="NMF46" s="78"/>
      <c r="NMG46" s="78"/>
      <c r="NMH46" s="78"/>
      <c r="NMI46" s="78"/>
      <c r="NMJ46" s="78"/>
      <c r="NMK46" s="78"/>
      <c r="NML46" s="78"/>
      <c r="NMM46" s="78"/>
      <c r="NMN46" s="78"/>
      <c r="NMO46" s="78"/>
      <c r="NMP46" s="78"/>
      <c r="NMQ46" s="78"/>
      <c r="NMR46" s="78"/>
      <c r="NMS46" s="78"/>
      <c r="NMT46" s="78"/>
      <c r="NMU46" s="78"/>
      <c r="NMV46" s="78"/>
      <c r="NMW46" s="78"/>
      <c r="NMX46" s="78"/>
      <c r="NMY46" s="78"/>
      <c r="NMZ46" s="78"/>
      <c r="NNA46" s="78"/>
      <c r="NNB46" s="78"/>
      <c r="NNC46" s="78"/>
      <c r="NND46" s="78"/>
      <c r="NNE46" s="78"/>
      <c r="NNF46" s="78"/>
      <c r="NNG46" s="78"/>
      <c r="NNH46" s="78"/>
      <c r="NNI46" s="78"/>
      <c r="NNJ46" s="78"/>
      <c r="NNK46" s="78"/>
      <c r="NNL46" s="78"/>
      <c r="NNM46" s="78"/>
      <c r="NNN46" s="78"/>
      <c r="NNO46" s="78"/>
      <c r="NNP46" s="78"/>
      <c r="NNQ46" s="78"/>
      <c r="NNR46" s="78"/>
      <c r="NNS46" s="78"/>
      <c r="NNT46" s="78"/>
      <c r="NNU46" s="78"/>
      <c r="NNV46" s="78"/>
      <c r="NNW46" s="78"/>
      <c r="NNX46" s="78"/>
      <c r="NNY46" s="78"/>
      <c r="NNZ46" s="78"/>
      <c r="NOA46" s="78"/>
      <c r="NOB46" s="78"/>
      <c r="NOC46" s="78"/>
      <c r="NOD46" s="78"/>
      <c r="NOE46" s="78"/>
      <c r="NOF46" s="78"/>
      <c r="NOG46" s="78"/>
      <c r="NOH46" s="78"/>
      <c r="NOI46" s="78"/>
      <c r="NOJ46" s="78"/>
      <c r="NOK46" s="78"/>
      <c r="NOL46" s="78"/>
      <c r="NOM46" s="78"/>
      <c r="NON46" s="78"/>
      <c r="NOO46" s="78"/>
      <c r="NOP46" s="78"/>
      <c r="NOQ46" s="78"/>
      <c r="NOR46" s="78"/>
      <c r="NOS46" s="78"/>
      <c r="NOT46" s="78"/>
      <c r="NOU46" s="78"/>
      <c r="NOV46" s="78"/>
      <c r="NOW46" s="78"/>
      <c r="NOX46" s="78"/>
      <c r="NOY46" s="78"/>
      <c r="NOZ46" s="78"/>
      <c r="NPA46" s="78"/>
      <c r="NPB46" s="78"/>
      <c r="NPC46" s="78"/>
      <c r="NPD46" s="78"/>
      <c r="NPE46" s="78"/>
      <c r="NPF46" s="78"/>
      <c r="NPG46" s="78"/>
      <c r="NPH46" s="78"/>
      <c r="NPI46" s="78"/>
      <c r="NPJ46" s="78"/>
      <c r="NPK46" s="78"/>
      <c r="NPL46" s="78"/>
      <c r="NPM46" s="78"/>
      <c r="NPN46" s="78"/>
      <c r="NPO46" s="78"/>
      <c r="NPP46" s="78"/>
      <c r="NPQ46" s="78"/>
      <c r="NPR46" s="78"/>
      <c r="NPS46" s="78"/>
      <c r="NPT46" s="78"/>
      <c r="NPU46" s="78"/>
      <c r="NPV46" s="78"/>
      <c r="NPW46" s="78"/>
      <c r="NPX46" s="78"/>
      <c r="NPY46" s="78"/>
      <c r="NPZ46" s="78"/>
      <c r="NQA46" s="78"/>
      <c r="NQB46" s="78"/>
      <c r="NQC46" s="78"/>
      <c r="NQD46" s="78"/>
      <c r="NQE46" s="78"/>
      <c r="NQF46" s="78"/>
      <c r="NQG46" s="78"/>
      <c r="NQH46" s="78"/>
      <c r="NQI46" s="78"/>
      <c r="NQJ46" s="78"/>
      <c r="NQK46" s="78"/>
      <c r="NQL46" s="78"/>
      <c r="NQM46" s="78"/>
      <c r="NQN46" s="78"/>
      <c r="NQO46" s="78"/>
      <c r="NQP46" s="78"/>
      <c r="NQQ46" s="78"/>
      <c r="NQR46" s="78"/>
      <c r="NQS46" s="78"/>
      <c r="NQT46" s="78"/>
      <c r="NQU46" s="78"/>
      <c r="NQV46" s="78"/>
      <c r="NQW46" s="78"/>
      <c r="NQX46" s="78"/>
      <c r="NQY46" s="78"/>
      <c r="NQZ46" s="78"/>
      <c r="NRA46" s="78"/>
      <c r="NRB46" s="78"/>
      <c r="NRC46" s="78"/>
      <c r="NRD46" s="78"/>
      <c r="NRE46" s="78"/>
      <c r="NRF46" s="78"/>
      <c r="NRG46" s="78"/>
      <c r="NRH46" s="78"/>
      <c r="NRI46" s="78"/>
      <c r="NRJ46" s="78"/>
      <c r="NRK46" s="78"/>
      <c r="NRL46" s="78"/>
      <c r="NRM46" s="78"/>
      <c r="NRN46" s="78"/>
      <c r="NRO46" s="78"/>
      <c r="NRP46" s="78"/>
      <c r="NRQ46" s="78"/>
      <c r="NRR46" s="78"/>
      <c r="NRS46" s="78"/>
      <c r="NRT46" s="78"/>
      <c r="NRU46" s="78"/>
      <c r="NRV46" s="78"/>
      <c r="NRW46" s="78"/>
      <c r="NRX46" s="78"/>
      <c r="NRY46" s="78"/>
      <c r="NRZ46" s="78"/>
      <c r="NSA46" s="78"/>
      <c r="NSB46" s="78"/>
      <c r="NSC46" s="78"/>
      <c r="NSD46" s="78"/>
      <c r="NSE46" s="78"/>
      <c r="NSF46" s="78"/>
      <c r="NSG46" s="78"/>
      <c r="NSH46" s="78"/>
      <c r="NSI46" s="78"/>
      <c r="NSJ46" s="78"/>
      <c r="NSK46" s="78"/>
      <c r="NSL46" s="78"/>
      <c r="NSM46" s="78"/>
      <c r="NSN46" s="78"/>
      <c r="NSO46" s="78"/>
      <c r="NSP46" s="78"/>
      <c r="NSQ46" s="78"/>
      <c r="NSR46" s="78"/>
      <c r="NSS46" s="78"/>
      <c r="NST46" s="78"/>
      <c r="NSU46" s="78"/>
      <c r="NSV46" s="78"/>
      <c r="NSW46" s="78"/>
      <c r="NSX46" s="78"/>
      <c r="NSY46" s="78"/>
      <c r="NSZ46" s="78"/>
      <c r="NTA46" s="78"/>
      <c r="NTB46" s="78"/>
      <c r="NTC46" s="78"/>
      <c r="NTD46" s="78"/>
      <c r="NTE46" s="78"/>
      <c r="NTF46" s="78"/>
      <c r="NTG46" s="78"/>
      <c r="NTH46" s="78"/>
      <c r="NTI46" s="78"/>
      <c r="NTJ46" s="78"/>
      <c r="NTK46" s="78"/>
      <c r="NTL46" s="78"/>
      <c r="NTM46" s="78"/>
      <c r="NTN46" s="78"/>
      <c r="NTO46" s="78"/>
      <c r="NTP46" s="78"/>
      <c r="NTQ46" s="78"/>
      <c r="NTR46" s="78"/>
      <c r="NTS46" s="78"/>
      <c r="NTT46" s="78"/>
      <c r="NTU46" s="78"/>
      <c r="NTV46" s="78"/>
      <c r="NTW46" s="78"/>
      <c r="NTX46" s="78"/>
      <c r="NTY46" s="78"/>
      <c r="NTZ46" s="78"/>
      <c r="NUA46" s="78"/>
      <c r="NUB46" s="78"/>
      <c r="NUC46" s="78"/>
      <c r="NUD46" s="78"/>
      <c r="NUE46" s="78"/>
      <c r="NUF46" s="78"/>
      <c r="NUG46" s="78"/>
      <c r="NUH46" s="78"/>
      <c r="NUI46" s="78"/>
      <c r="NUJ46" s="78"/>
      <c r="NUK46" s="78"/>
      <c r="NUL46" s="78"/>
      <c r="NUM46" s="78"/>
      <c r="NUN46" s="78"/>
      <c r="NUO46" s="78"/>
      <c r="NUP46" s="78"/>
      <c r="NUQ46" s="78"/>
      <c r="NUR46" s="78"/>
      <c r="NUS46" s="78"/>
      <c r="NUT46" s="78"/>
      <c r="NUU46" s="78"/>
      <c r="NUV46" s="78"/>
      <c r="NUW46" s="78"/>
      <c r="NUX46" s="78"/>
      <c r="NUY46" s="78"/>
      <c r="NUZ46" s="78"/>
      <c r="NVA46" s="78"/>
      <c r="NVB46" s="78"/>
      <c r="NVC46" s="78"/>
      <c r="NVD46" s="78"/>
      <c r="NVE46" s="78"/>
      <c r="NVF46" s="78"/>
      <c r="NVG46" s="78"/>
      <c r="NVH46" s="78"/>
      <c r="NVI46" s="78"/>
      <c r="NVJ46" s="78"/>
      <c r="NVK46" s="78"/>
      <c r="NVL46" s="78"/>
      <c r="NVM46" s="78"/>
      <c r="NVN46" s="78"/>
      <c r="NVO46" s="78"/>
      <c r="NVP46" s="78"/>
      <c r="NVQ46" s="78"/>
      <c r="NVR46" s="78"/>
      <c r="NVS46" s="78"/>
      <c r="NVT46" s="78"/>
      <c r="NVU46" s="78"/>
      <c r="NVV46" s="78"/>
      <c r="NVW46" s="78"/>
      <c r="NVX46" s="78"/>
      <c r="NVY46" s="78"/>
      <c r="NVZ46" s="78"/>
      <c r="NWA46" s="78"/>
      <c r="NWB46" s="78"/>
      <c r="NWC46" s="78"/>
      <c r="NWD46" s="78"/>
      <c r="NWE46" s="78"/>
      <c r="NWF46" s="78"/>
      <c r="NWG46" s="78"/>
      <c r="NWH46" s="78"/>
      <c r="NWI46" s="78"/>
      <c r="NWJ46" s="78"/>
      <c r="NWK46" s="78"/>
      <c r="NWL46" s="78"/>
      <c r="NWM46" s="78"/>
      <c r="NWN46" s="78"/>
      <c r="NWO46" s="78"/>
      <c r="NWP46" s="78"/>
      <c r="NWQ46" s="78"/>
      <c r="NWR46" s="78"/>
      <c r="NWS46" s="78"/>
      <c r="NWT46" s="78"/>
      <c r="NWU46" s="78"/>
      <c r="NWV46" s="78"/>
      <c r="NWW46" s="78"/>
      <c r="NWX46" s="78"/>
      <c r="NWY46" s="78"/>
      <c r="NWZ46" s="78"/>
      <c r="NXA46" s="78"/>
      <c r="NXB46" s="78"/>
      <c r="NXC46" s="78"/>
      <c r="NXD46" s="78"/>
      <c r="NXE46" s="78"/>
      <c r="NXF46" s="78"/>
      <c r="NXG46" s="78"/>
      <c r="NXH46" s="78"/>
      <c r="NXI46" s="78"/>
      <c r="NXJ46" s="78"/>
      <c r="NXK46" s="78"/>
      <c r="NXL46" s="78"/>
      <c r="NXM46" s="78"/>
      <c r="NXN46" s="78"/>
      <c r="NXO46" s="78"/>
      <c r="NXP46" s="78"/>
      <c r="NXQ46" s="78"/>
      <c r="NXR46" s="78"/>
      <c r="NXS46" s="78"/>
      <c r="NXT46" s="78"/>
      <c r="NXU46" s="78"/>
      <c r="NXV46" s="78"/>
      <c r="NXW46" s="78"/>
      <c r="NXX46" s="78"/>
      <c r="NXY46" s="78"/>
      <c r="NXZ46" s="78"/>
      <c r="NYA46" s="78"/>
      <c r="NYB46" s="78"/>
      <c r="NYC46" s="78"/>
      <c r="NYD46" s="78"/>
      <c r="NYE46" s="78"/>
      <c r="NYF46" s="78"/>
      <c r="NYG46" s="78"/>
      <c r="NYH46" s="78"/>
      <c r="NYI46" s="78"/>
      <c r="NYJ46" s="78"/>
      <c r="NYK46" s="78"/>
      <c r="NYL46" s="78"/>
      <c r="NYM46" s="78"/>
      <c r="NYN46" s="78"/>
      <c r="NYO46" s="78"/>
      <c r="NYP46" s="78"/>
      <c r="NYQ46" s="78"/>
      <c r="NYR46" s="78"/>
      <c r="NYS46" s="78"/>
      <c r="NYT46" s="78"/>
      <c r="NYU46" s="78"/>
      <c r="NYV46" s="78"/>
      <c r="NYW46" s="78"/>
      <c r="NYX46" s="78"/>
      <c r="NYY46" s="78"/>
      <c r="NYZ46" s="78"/>
      <c r="NZA46" s="78"/>
      <c r="NZB46" s="78"/>
      <c r="NZC46" s="78"/>
      <c r="NZD46" s="78"/>
      <c r="NZE46" s="78"/>
      <c r="NZF46" s="78"/>
      <c r="NZG46" s="78"/>
      <c r="NZH46" s="78"/>
      <c r="NZI46" s="78"/>
      <c r="NZJ46" s="78"/>
      <c r="NZK46" s="78"/>
      <c r="NZL46" s="78"/>
      <c r="NZM46" s="78"/>
      <c r="NZN46" s="78"/>
      <c r="NZO46" s="78"/>
      <c r="NZP46" s="78"/>
      <c r="NZQ46" s="78"/>
      <c r="NZR46" s="78"/>
      <c r="NZS46" s="78"/>
      <c r="NZT46" s="78"/>
      <c r="NZU46" s="78"/>
      <c r="NZV46" s="78"/>
      <c r="NZW46" s="78"/>
      <c r="NZX46" s="78"/>
      <c r="NZY46" s="78"/>
      <c r="NZZ46" s="78"/>
      <c r="OAA46" s="78"/>
      <c r="OAB46" s="78"/>
      <c r="OAC46" s="78"/>
      <c r="OAD46" s="78"/>
      <c r="OAE46" s="78"/>
      <c r="OAF46" s="78"/>
      <c r="OAG46" s="78"/>
      <c r="OAH46" s="78"/>
      <c r="OAI46" s="78"/>
      <c r="OAJ46" s="78"/>
      <c r="OAK46" s="78"/>
      <c r="OAL46" s="78"/>
      <c r="OAM46" s="78"/>
      <c r="OAN46" s="78"/>
      <c r="OAO46" s="78"/>
      <c r="OAP46" s="78"/>
      <c r="OAQ46" s="78"/>
      <c r="OAR46" s="78"/>
      <c r="OAS46" s="78"/>
      <c r="OAT46" s="78"/>
      <c r="OAU46" s="78"/>
      <c r="OAV46" s="78"/>
      <c r="OAW46" s="78"/>
      <c r="OAX46" s="78"/>
      <c r="OAY46" s="78"/>
      <c r="OAZ46" s="78"/>
      <c r="OBA46" s="78"/>
      <c r="OBB46" s="78"/>
      <c r="OBC46" s="78"/>
      <c r="OBD46" s="78"/>
      <c r="OBE46" s="78"/>
      <c r="OBF46" s="78"/>
      <c r="OBG46" s="78"/>
      <c r="OBH46" s="78"/>
      <c r="OBI46" s="78"/>
      <c r="OBJ46" s="78"/>
      <c r="OBK46" s="78"/>
      <c r="OBL46" s="78"/>
      <c r="OBM46" s="78"/>
      <c r="OBN46" s="78"/>
      <c r="OBO46" s="78"/>
      <c r="OBP46" s="78"/>
      <c r="OBQ46" s="78"/>
      <c r="OBR46" s="78"/>
      <c r="OBS46" s="78"/>
      <c r="OBT46" s="78"/>
      <c r="OBU46" s="78"/>
      <c r="OBV46" s="78"/>
      <c r="OBW46" s="78"/>
      <c r="OBX46" s="78"/>
      <c r="OBY46" s="78"/>
      <c r="OBZ46" s="78"/>
      <c r="OCA46" s="78"/>
      <c r="OCB46" s="78"/>
      <c r="OCC46" s="78"/>
      <c r="OCD46" s="78"/>
      <c r="OCE46" s="78"/>
      <c r="OCF46" s="78"/>
      <c r="OCG46" s="78"/>
      <c r="OCH46" s="78"/>
      <c r="OCI46" s="78"/>
      <c r="OCJ46" s="78"/>
      <c r="OCK46" s="78"/>
      <c r="OCL46" s="78"/>
      <c r="OCM46" s="78"/>
      <c r="OCN46" s="78"/>
      <c r="OCO46" s="78"/>
      <c r="OCP46" s="78"/>
      <c r="OCQ46" s="78"/>
      <c r="OCR46" s="78"/>
      <c r="OCS46" s="78"/>
      <c r="OCT46" s="78"/>
      <c r="OCU46" s="78"/>
      <c r="OCV46" s="78"/>
      <c r="OCW46" s="78"/>
      <c r="OCX46" s="78"/>
      <c r="OCY46" s="78"/>
      <c r="OCZ46" s="78"/>
      <c r="ODA46" s="78"/>
      <c r="ODB46" s="78"/>
      <c r="ODC46" s="78"/>
      <c r="ODD46" s="78"/>
      <c r="ODE46" s="78"/>
      <c r="ODF46" s="78"/>
      <c r="ODG46" s="78"/>
      <c r="ODH46" s="78"/>
      <c r="ODI46" s="78"/>
      <c r="ODJ46" s="78"/>
      <c r="ODK46" s="78"/>
      <c r="ODL46" s="78"/>
      <c r="ODM46" s="78"/>
      <c r="ODN46" s="78"/>
      <c r="ODO46" s="78"/>
      <c r="ODP46" s="78"/>
      <c r="ODQ46" s="78"/>
      <c r="ODR46" s="78"/>
      <c r="ODS46" s="78"/>
      <c r="ODT46" s="78"/>
      <c r="ODU46" s="78"/>
      <c r="ODV46" s="78"/>
      <c r="ODW46" s="78"/>
      <c r="ODX46" s="78"/>
      <c r="ODY46" s="78"/>
      <c r="ODZ46" s="78"/>
      <c r="OEA46" s="78"/>
      <c r="OEB46" s="78"/>
      <c r="OEC46" s="78"/>
      <c r="OED46" s="78"/>
      <c r="OEE46" s="78"/>
      <c r="OEF46" s="78"/>
      <c r="OEG46" s="78"/>
      <c r="OEH46" s="78"/>
      <c r="OEI46" s="78"/>
      <c r="OEJ46" s="78"/>
      <c r="OEK46" s="78"/>
      <c r="OEL46" s="78"/>
      <c r="OEM46" s="78"/>
      <c r="OEN46" s="78"/>
      <c r="OEO46" s="78"/>
      <c r="OEP46" s="78"/>
      <c r="OEQ46" s="78"/>
      <c r="OER46" s="78"/>
      <c r="OES46" s="78"/>
      <c r="OET46" s="78"/>
      <c r="OEU46" s="78"/>
      <c r="OEV46" s="78"/>
      <c r="OEW46" s="78"/>
      <c r="OEX46" s="78"/>
      <c r="OEY46" s="78"/>
      <c r="OEZ46" s="78"/>
      <c r="OFA46" s="78"/>
      <c r="OFB46" s="78"/>
      <c r="OFC46" s="78"/>
      <c r="OFD46" s="78"/>
      <c r="OFE46" s="78"/>
      <c r="OFF46" s="78"/>
      <c r="OFG46" s="78"/>
      <c r="OFH46" s="78"/>
      <c r="OFI46" s="78"/>
      <c r="OFJ46" s="78"/>
      <c r="OFK46" s="78"/>
      <c r="OFL46" s="78"/>
      <c r="OFM46" s="78"/>
      <c r="OFN46" s="78"/>
      <c r="OFO46" s="78"/>
      <c r="OFP46" s="78"/>
      <c r="OFQ46" s="78"/>
      <c r="OFR46" s="78"/>
      <c r="OFS46" s="78"/>
      <c r="OFT46" s="78"/>
      <c r="OFU46" s="78"/>
      <c r="OFV46" s="78"/>
      <c r="OFW46" s="78"/>
      <c r="OFX46" s="78"/>
      <c r="OFY46" s="78"/>
      <c r="OFZ46" s="78"/>
      <c r="OGA46" s="78"/>
      <c r="OGB46" s="78"/>
      <c r="OGC46" s="78"/>
      <c r="OGD46" s="78"/>
      <c r="OGE46" s="78"/>
      <c r="OGF46" s="78"/>
      <c r="OGG46" s="78"/>
      <c r="OGH46" s="78"/>
      <c r="OGI46" s="78"/>
      <c r="OGJ46" s="78"/>
      <c r="OGK46" s="78"/>
      <c r="OGL46" s="78"/>
      <c r="OGM46" s="78"/>
      <c r="OGN46" s="78"/>
      <c r="OGO46" s="78"/>
      <c r="OGP46" s="78"/>
      <c r="OGQ46" s="78"/>
      <c r="OGR46" s="78"/>
      <c r="OGS46" s="78"/>
      <c r="OGT46" s="78"/>
      <c r="OGU46" s="78"/>
      <c r="OGV46" s="78"/>
      <c r="OGW46" s="78"/>
      <c r="OGX46" s="78"/>
      <c r="OGY46" s="78"/>
      <c r="OGZ46" s="78"/>
      <c r="OHA46" s="78"/>
      <c r="OHB46" s="78"/>
      <c r="OHC46" s="78"/>
      <c r="OHD46" s="78"/>
      <c r="OHE46" s="78"/>
      <c r="OHF46" s="78"/>
      <c r="OHG46" s="78"/>
      <c r="OHH46" s="78"/>
      <c r="OHI46" s="78"/>
      <c r="OHJ46" s="78"/>
      <c r="OHK46" s="78"/>
      <c r="OHL46" s="78"/>
      <c r="OHM46" s="78"/>
      <c r="OHN46" s="78"/>
      <c r="OHO46" s="78"/>
      <c r="OHP46" s="78"/>
      <c r="OHQ46" s="78"/>
      <c r="OHR46" s="78"/>
      <c r="OHS46" s="78"/>
      <c r="OHT46" s="78"/>
      <c r="OHU46" s="78"/>
      <c r="OHV46" s="78"/>
      <c r="OHW46" s="78"/>
      <c r="OHX46" s="78"/>
      <c r="OHY46" s="78"/>
      <c r="OHZ46" s="78"/>
      <c r="OIA46" s="78"/>
      <c r="OIB46" s="78"/>
      <c r="OIC46" s="78"/>
      <c r="OID46" s="78"/>
      <c r="OIE46" s="78"/>
      <c r="OIF46" s="78"/>
      <c r="OIG46" s="78"/>
      <c r="OIH46" s="78"/>
      <c r="OII46" s="78"/>
      <c r="OIJ46" s="78"/>
      <c r="OIK46" s="78"/>
      <c r="OIL46" s="78"/>
      <c r="OIM46" s="78"/>
      <c r="OIN46" s="78"/>
      <c r="OIO46" s="78"/>
      <c r="OIP46" s="78"/>
      <c r="OIQ46" s="78"/>
      <c r="OIR46" s="78"/>
      <c r="OIS46" s="78"/>
      <c r="OIT46" s="78"/>
      <c r="OIU46" s="78"/>
      <c r="OIV46" s="78"/>
      <c r="OIW46" s="78"/>
      <c r="OIX46" s="78"/>
      <c r="OIY46" s="78"/>
      <c r="OIZ46" s="78"/>
      <c r="OJA46" s="78"/>
      <c r="OJB46" s="78"/>
      <c r="OJC46" s="78"/>
      <c r="OJD46" s="78"/>
      <c r="OJE46" s="78"/>
      <c r="OJF46" s="78"/>
      <c r="OJG46" s="78"/>
      <c r="OJH46" s="78"/>
      <c r="OJI46" s="78"/>
      <c r="OJJ46" s="78"/>
      <c r="OJK46" s="78"/>
      <c r="OJL46" s="78"/>
      <c r="OJM46" s="78"/>
      <c r="OJN46" s="78"/>
      <c r="OJO46" s="78"/>
      <c r="OJP46" s="78"/>
      <c r="OJQ46" s="78"/>
      <c r="OJR46" s="78"/>
      <c r="OJS46" s="78"/>
      <c r="OJT46" s="78"/>
      <c r="OJU46" s="78"/>
      <c r="OJV46" s="78"/>
      <c r="OJW46" s="78"/>
      <c r="OJX46" s="78"/>
      <c r="OJY46" s="78"/>
      <c r="OJZ46" s="78"/>
      <c r="OKA46" s="78"/>
      <c r="OKB46" s="78"/>
      <c r="OKC46" s="78"/>
      <c r="OKD46" s="78"/>
      <c r="OKE46" s="78"/>
      <c r="OKF46" s="78"/>
      <c r="OKG46" s="78"/>
      <c r="OKH46" s="78"/>
      <c r="OKI46" s="78"/>
      <c r="OKJ46" s="78"/>
      <c r="OKK46" s="78"/>
      <c r="OKL46" s="78"/>
      <c r="OKM46" s="78"/>
      <c r="OKN46" s="78"/>
      <c r="OKO46" s="78"/>
      <c r="OKP46" s="78"/>
      <c r="OKQ46" s="78"/>
      <c r="OKR46" s="78"/>
      <c r="OKS46" s="78"/>
      <c r="OKT46" s="78"/>
      <c r="OKU46" s="78"/>
      <c r="OKV46" s="78"/>
      <c r="OKW46" s="78"/>
      <c r="OKX46" s="78"/>
      <c r="OKY46" s="78"/>
      <c r="OKZ46" s="78"/>
      <c r="OLA46" s="78"/>
      <c r="OLB46" s="78"/>
      <c r="OLC46" s="78"/>
      <c r="OLD46" s="78"/>
      <c r="OLE46" s="78"/>
      <c r="OLF46" s="78"/>
      <c r="OLG46" s="78"/>
      <c r="OLH46" s="78"/>
      <c r="OLI46" s="78"/>
      <c r="OLJ46" s="78"/>
      <c r="OLK46" s="78"/>
      <c r="OLL46" s="78"/>
      <c r="OLM46" s="78"/>
      <c r="OLN46" s="78"/>
      <c r="OLO46" s="78"/>
      <c r="OLP46" s="78"/>
      <c r="OLQ46" s="78"/>
      <c r="OLR46" s="78"/>
      <c r="OLS46" s="78"/>
      <c r="OLT46" s="78"/>
      <c r="OLU46" s="78"/>
      <c r="OLV46" s="78"/>
      <c r="OLW46" s="78"/>
      <c r="OLX46" s="78"/>
      <c r="OLY46" s="78"/>
      <c r="OLZ46" s="78"/>
      <c r="OMA46" s="78"/>
      <c r="OMB46" s="78"/>
      <c r="OMC46" s="78"/>
      <c r="OMD46" s="78"/>
      <c r="OME46" s="78"/>
      <c r="OMF46" s="78"/>
      <c r="OMG46" s="78"/>
      <c r="OMH46" s="78"/>
      <c r="OMI46" s="78"/>
      <c r="OMJ46" s="78"/>
      <c r="OMK46" s="78"/>
      <c r="OML46" s="78"/>
      <c r="OMM46" s="78"/>
      <c r="OMN46" s="78"/>
      <c r="OMO46" s="78"/>
      <c r="OMP46" s="78"/>
      <c r="OMQ46" s="78"/>
      <c r="OMR46" s="78"/>
      <c r="OMS46" s="78"/>
      <c r="OMT46" s="78"/>
      <c r="OMU46" s="78"/>
      <c r="OMV46" s="78"/>
      <c r="OMW46" s="78"/>
      <c r="OMX46" s="78"/>
      <c r="OMY46" s="78"/>
      <c r="OMZ46" s="78"/>
      <c r="ONA46" s="78"/>
      <c r="ONB46" s="78"/>
      <c r="ONC46" s="78"/>
      <c r="OND46" s="78"/>
      <c r="ONE46" s="78"/>
      <c r="ONF46" s="78"/>
      <c r="ONG46" s="78"/>
      <c r="ONH46" s="78"/>
      <c r="ONI46" s="78"/>
      <c r="ONJ46" s="78"/>
      <c r="ONK46" s="78"/>
      <c r="ONL46" s="78"/>
      <c r="ONM46" s="78"/>
      <c r="ONN46" s="78"/>
      <c r="ONO46" s="78"/>
      <c r="ONP46" s="78"/>
      <c r="ONQ46" s="78"/>
      <c r="ONR46" s="78"/>
      <c r="ONS46" s="78"/>
      <c r="ONT46" s="78"/>
      <c r="ONU46" s="78"/>
      <c r="ONV46" s="78"/>
      <c r="ONW46" s="78"/>
      <c r="ONX46" s="78"/>
      <c r="ONY46" s="78"/>
      <c r="ONZ46" s="78"/>
      <c r="OOA46" s="78"/>
      <c r="OOB46" s="78"/>
      <c r="OOC46" s="78"/>
      <c r="OOD46" s="78"/>
      <c r="OOE46" s="78"/>
      <c r="OOF46" s="78"/>
      <c r="OOG46" s="78"/>
      <c r="OOH46" s="78"/>
      <c r="OOI46" s="78"/>
      <c r="OOJ46" s="78"/>
      <c r="OOK46" s="78"/>
      <c r="OOL46" s="78"/>
      <c r="OOM46" s="78"/>
      <c r="OON46" s="78"/>
      <c r="OOO46" s="78"/>
      <c r="OOP46" s="78"/>
      <c r="OOQ46" s="78"/>
      <c r="OOR46" s="78"/>
      <c r="OOS46" s="78"/>
      <c r="OOT46" s="78"/>
      <c r="OOU46" s="78"/>
      <c r="OOV46" s="78"/>
      <c r="OOW46" s="78"/>
      <c r="OOX46" s="78"/>
      <c r="OOY46" s="78"/>
      <c r="OOZ46" s="78"/>
      <c r="OPA46" s="78"/>
      <c r="OPB46" s="78"/>
      <c r="OPC46" s="78"/>
      <c r="OPD46" s="78"/>
      <c r="OPE46" s="78"/>
      <c r="OPF46" s="78"/>
      <c r="OPG46" s="78"/>
      <c r="OPH46" s="78"/>
      <c r="OPI46" s="78"/>
      <c r="OPJ46" s="78"/>
      <c r="OPK46" s="78"/>
      <c r="OPL46" s="78"/>
      <c r="OPM46" s="78"/>
      <c r="OPN46" s="78"/>
      <c r="OPO46" s="78"/>
      <c r="OPP46" s="78"/>
      <c r="OPQ46" s="78"/>
      <c r="OPR46" s="78"/>
      <c r="OPS46" s="78"/>
      <c r="OPT46" s="78"/>
      <c r="OPU46" s="78"/>
      <c r="OPV46" s="78"/>
      <c r="OPW46" s="78"/>
      <c r="OPX46" s="78"/>
      <c r="OPY46" s="78"/>
      <c r="OPZ46" s="78"/>
      <c r="OQA46" s="78"/>
      <c r="OQB46" s="78"/>
      <c r="OQC46" s="78"/>
      <c r="OQD46" s="78"/>
      <c r="OQE46" s="78"/>
      <c r="OQF46" s="78"/>
      <c r="OQG46" s="78"/>
      <c r="OQH46" s="78"/>
      <c r="OQI46" s="78"/>
      <c r="OQJ46" s="78"/>
      <c r="OQK46" s="78"/>
      <c r="OQL46" s="78"/>
      <c r="OQM46" s="78"/>
      <c r="OQN46" s="78"/>
      <c r="OQO46" s="78"/>
      <c r="OQP46" s="78"/>
      <c r="OQQ46" s="78"/>
      <c r="OQR46" s="78"/>
      <c r="OQS46" s="78"/>
      <c r="OQT46" s="78"/>
      <c r="OQU46" s="78"/>
      <c r="OQV46" s="78"/>
      <c r="OQW46" s="78"/>
      <c r="OQX46" s="78"/>
      <c r="OQY46" s="78"/>
      <c r="OQZ46" s="78"/>
      <c r="ORA46" s="78"/>
      <c r="ORB46" s="78"/>
      <c r="ORC46" s="78"/>
      <c r="ORD46" s="78"/>
      <c r="ORE46" s="78"/>
      <c r="ORF46" s="78"/>
      <c r="ORG46" s="78"/>
      <c r="ORH46" s="78"/>
      <c r="ORI46" s="78"/>
      <c r="ORJ46" s="78"/>
      <c r="ORK46" s="78"/>
      <c r="ORL46" s="78"/>
      <c r="ORM46" s="78"/>
      <c r="ORN46" s="78"/>
      <c r="ORO46" s="78"/>
      <c r="ORP46" s="78"/>
      <c r="ORQ46" s="78"/>
      <c r="ORR46" s="78"/>
      <c r="ORS46" s="78"/>
      <c r="ORT46" s="78"/>
      <c r="ORU46" s="78"/>
      <c r="ORV46" s="78"/>
      <c r="ORW46" s="78"/>
      <c r="ORX46" s="78"/>
      <c r="ORY46" s="78"/>
      <c r="ORZ46" s="78"/>
      <c r="OSA46" s="78"/>
      <c r="OSB46" s="78"/>
      <c r="OSC46" s="78"/>
      <c r="OSD46" s="78"/>
      <c r="OSE46" s="78"/>
      <c r="OSF46" s="78"/>
      <c r="OSG46" s="78"/>
      <c r="OSH46" s="78"/>
      <c r="OSI46" s="78"/>
      <c r="OSJ46" s="78"/>
      <c r="OSK46" s="78"/>
      <c r="OSL46" s="78"/>
      <c r="OSM46" s="78"/>
      <c r="OSN46" s="78"/>
      <c r="OSO46" s="78"/>
      <c r="OSP46" s="78"/>
      <c r="OSQ46" s="78"/>
      <c r="OSR46" s="78"/>
      <c r="OSS46" s="78"/>
      <c r="OST46" s="78"/>
      <c r="OSU46" s="78"/>
      <c r="OSV46" s="78"/>
      <c r="OSW46" s="78"/>
      <c r="OSX46" s="78"/>
      <c r="OSY46" s="78"/>
      <c r="OSZ46" s="78"/>
      <c r="OTA46" s="78"/>
      <c r="OTB46" s="78"/>
      <c r="OTC46" s="78"/>
      <c r="OTD46" s="78"/>
      <c r="OTE46" s="78"/>
      <c r="OTF46" s="78"/>
      <c r="OTG46" s="78"/>
      <c r="OTH46" s="78"/>
      <c r="OTI46" s="78"/>
      <c r="OTJ46" s="78"/>
      <c r="OTK46" s="78"/>
      <c r="OTL46" s="78"/>
      <c r="OTM46" s="78"/>
      <c r="OTN46" s="78"/>
      <c r="OTO46" s="78"/>
      <c r="OTP46" s="78"/>
      <c r="OTQ46" s="78"/>
      <c r="OTR46" s="78"/>
      <c r="OTS46" s="78"/>
      <c r="OTT46" s="78"/>
      <c r="OTU46" s="78"/>
      <c r="OTV46" s="78"/>
      <c r="OTW46" s="78"/>
      <c r="OTX46" s="78"/>
      <c r="OTY46" s="78"/>
      <c r="OTZ46" s="78"/>
      <c r="OUA46" s="78"/>
      <c r="OUB46" s="78"/>
      <c r="OUC46" s="78"/>
      <c r="OUD46" s="78"/>
      <c r="OUE46" s="78"/>
      <c r="OUF46" s="78"/>
      <c r="OUG46" s="78"/>
      <c r="OUH46" s="78"/>
      <c r="OUI46" s="78"/>
      <c r="OUJ46" s="78"/>
      <c r="OUK46" s="78"/>
      <c r="OUL46" s="78"/>
      <c r="OUM46" s="78"/>
      <c r="OUN46" s="78"/>
      <c r="OUO46" s="78"/>
      <c r="OUP46" s="78"/>
      <c r="OUQ46" s="78"/>
      <c r="OUR46" s="78"/>
      <c r="OUS46" s="78"/>
      <c r="OUT46" s="78"/>
      <c r="OUU46" s="78"/>
      <c r="OUV46" s="78"/>
      <c r="OUW46" s="78"/>
      <c r="OUX46" s="78"/>
      <c r="OUY46" s="78"/>
      <c r="OUZ46" s="78"/>
      <c r="OVA46" s="78"/>
      <c r="OVB46" s="78"/>
      <c r="OVC46" s="78"/>
      <c r="OVD46" s="78"/>
      <c r="OVE46" s="78"/>
      <c r="OVF46" s="78"/>
      <c r="OVG46" s="78"/>
      <c r="OVH46" s="78"/>
      <c r="OVI46" s="78"/>
      <c r="OVJ46" s="78"/>
      <c r="OVK46" s="78"/>
      <c r="OVL46" s="78"/>
      <c r="OVM46" s="78"/>
      <c r="OVN46" s="78"/>
      <c r="OVO46" s="78"/>
      <c r="OVP46" s="78"/>
      <c r="OVQ46" s="78"/>
      <c r="OVR46" s="78"/>
      <c r="OVS46" s="78"/>
      <c r="OVT46" s="78"/>
      <c r="OVU46" s="78"/>
      <c r="OVV46" s="78"/>
      <c r="OVW46" s="78"/>
      <c r="OVX46" s="78"/>
      <c r="OVY46" s="78"/>
      <c r="OVZ46" s="78"/>
      <c r="OWA46" s="78"/>
      <c r="OWB46" s="78"/>
      <c r="OWC46" s="78"/>
      <c r="OWD46" s="78"/>
      <c r="OWE46" s="78"/>
      <c r="OWF46" s="78"/>
      <c r="OWG46" s="78"/>
      <c r="OWH46" s="78"/>
      <c r="OWI46" s="78"/>
      <c r="OWJ46" s="78"/>
      <c r="OWK46" s="78"/>
      <c r="OWL46" s="78"/>
      <c r="OWM46" s="78"/>
      <c r="OWN46" s="78"/>
      <c r="OWO46" s="78"/>
      <c r="OWP46" s="78"/>
      <c r="OWQ46" s="78"/>
      <c r="OWR46" s="78"/>
      <c r="OWS46" s="78"/>
      <c r="OWT46" s="78"/>
      <c r="OWU46" s="78"/>
      <c r="OWV46" s="78"/>
      <c r="OWW46" s="78"/>
      <c r="OWX46" s="78"/>
      <c r="OWY46" s="78"/>
      <c r="OWZ46" s="78"/>
      <c r="OXA46" s="78"/>
      <c r="OXB46" s="78"/>
      <c r="OXC46" s="78"/>
      <c r="OXD46" s="78"/>
      <c r="OXE46" s="78"/>
      <c r="OXF46" s="78"/>
      <c r="OXG46" s="78"/>
      <c r="OXH46" s="78"/>
      <c r="OXI46" s="78"/>
      <c r="OXJ46" s="78"/>
      <c r="OXK46" s="78"/>
      <c r="OXL46" s="78"/>
      <c r="OXM46" s="78"/>
      <c r="OXN46" s="78"/>
      <c r="OXO46" s="78"/>
      <c r="OXP46" s="78"/>
      <c r="OXQ46" s="78"/>
      <c r="OXR46" s="78"/>
      <c r="OXS46" s="78"/>
      <c r="OXT46" s="78"/>
      <c r="OXU46" s="78"/>
      <c r="OXV46" s="78"/>
      <c r="OXW46" s="78"/>
      <c r="OXX46" s="78"/>
      <c r="OXY46" s="78"/>
      <c r="OXZ46" s="78"/>
      <c r="OYA46" s="78"/>
      <c r="OYB46" s="78"/>
      <c r="OYC46" s="78"/>
      <c r="OYD46" s="78"/>
      <c r="OYE46" s="78"/>
      <c r="OYF46" s="78"/>
      <c r="OYG46" s="78"/>
      <c r="OYH46" s="78"/>
      <c r="OYI46" s="78"/>
      <c r="OYJ46" s="78"/>
      <c r="OYK46" s="78"/>
      <c r="OYL46" s="78"/>
      <c r="OYM46" s="78"/>
      <c r="OYN46" s="78"/>
      <c r="OYO46" s="78"/>
      <c r="OYP46" s="78"/>
      <c r="OYQ46" s="78"/>
      <c r="OYR46" s="78"/>
      <c r="OYS46" s="78"/>
      <c r="OYT46" s="78"/>
      <c r="OYU46" s="78"/>
      <c r="OYV46" s="78"/>
      <c r="OYW46" s="78"/>
      <c r="OYX46" s="78"/>
      <c r="OYY46" s="78"/>
      <c r="OYZ46" s="78"/>
      <c r="OZA46" s="78"/>
      <c r="OZB46" s="78"/>
      <c r="OZC46" s="78"/>
      <c r="OZD46" s="78"/>
      <c r="OZE46" s="78"/>
      <c r="OZF46" s="78"/>
      <c r="OZG46" s="78"/>
      <c r="OZH46" s="78"/>
      <c r="OZI46" s="78"/>
      <c r="OZJ46" s="78"/>
      <c r="OZK46" s="78"/>
      <c r="OZL46" s="78"/>
      <c r="OZM46" s="78"/>
      <c r="OZN46" s="78"/>
      <c r="OZO46" s="78"/>
      <c r="OZP46" s="78"/>
      <c r="OZQ46" s="78"/>
      <c r="OZR46" s="78"/>
      <c r="OZS46" s="78"/>
      <c r="OZT46" s="78"/>
      <c r="OZU46" s="78"/>
      <c r="OZV46" s="78"/>
      <c r="OZW46" s="78"/>
      <c r="OZX46" s="78"/>
      <c r="OZY46" s="78"/>
      <c r="OZZ46" s="78"/>
      <c r="PAA46" s="78"/>
      <c r="PAB46" s="78"/>
      <c r="PAC46" s="78"/>
      <c r="PAD46" s="78"/>
      <c r="PAE46" s="78"/>
      <c r="PAF46" s="78"/>
      <c r="PAG46" s="78"/>
      <c r="PAH46" s="78"/>
      <c r="PAI46" s="78"/>
      <c r="PAJ46" s="78"/>
      <c r="PAK46" s="78"/>
      <c r="PAL46" s="78"/>
      <c r="PAM46" s="78"/>
      <c r="PAN46" s="78"/>
      <c r="PAO46" s="78"/>
      <c r="PAP46" s="78"/>
      <c r="PAQ46" s="78"/>
      <c r="PAR46" s="78"/>
      <c r="PAS46" s="78"/>
      <c r="PAT46" s="78"/>
      <c r="PAU46" s="78"/>
      <c r="PAV46" s="78"/>
      <c r="PAW46" s="78"/>
      <c r="PAX46" s="78"/>
      <c r="PAY46" s="78"/>
      <c r="PAZ46" s="78"/>
      <c r="PBA46" s="78"/>
      <c r="PBB46" s="78"/>
      <c r="PBC46" s="78"/>
      <c r="PBD46" s="78"/>
      <c r="PBE46" s="78"/>
      <c r="PBF46" s="78"/>
      <c r="PBG46" s="78"/>
      <c r="PBH46" s="78"/>
      <c r="PBI46" s="78"/>
      <c r="PBJ46" s="78"/>
      <c r="PBK46" s="78"/>
      <c r="PBL46" s="78"/>
      <c r="PBM46" s="78"/>
      <c r="PBN46" s="78"/>
      <c r="PBO46" s="78"/>
      <c r="PBP46" s="78"/>
      <c r="PBQ46" s="78"/>
      <c r="PBR46" s="78"/>
      <c r="PBS46" s="78"/>
      <c r="PBT46" s="78"/>
      <c r="PBU46" s="78"/>
      <c r="PBV46" s="78"/>
      <c r="PBW46" s="78"/>
      <c r="PBX46" s="78"/>
      <c r="PBY46" s="78"/>
      <c r="PBZ46" s="78"/>
      <c r="PCA46" s="78"/>
      <c r="PCB46" s="78"/>
      <c r="PCC46" s="78"/>
      <c r="PCD46" s="78"/>
      <c r="PCE46" s="78"/>
      <c r="PCF46" s="78"/>
      <c r="PCG46" s="78"/>
      <c r="PCH46" s="78"/>
      <c r="PCI46" s="78"/>
      <c r="PCJ46" s="78"/>
      <c r="PCK46" s="78"/>
      <c r="PCL46" s="78"/>
      <c r="PCM46" s="78"/>
      <c r="PCN46" s="78"/>
      <c r="PCO46" s="78"/>
      <c r="PCP46" s="78"/>
      <c r="PCQ46" s="78"/>
      <c r="PCR46" s="78"/>
      <c r="PCS46" s="78"/>
      <c r="PCT46" s="78"/>
      <c r="PCU46" s="78"/>
      <c r="PCV46" s="78"/>
      <c r="PCW46" s="78"/>
      <c r="PCX46" s="78"/>
      <c r="PCY46" s="78"/>
      <c r="PCZ46" s="78"/>
      <c r="PDA46" s="78"/>
      <c r="PDB46" s="78"/>
      <c r="PDC46" s="78"/>
      <c r="PDD46" s="78"/>
      <c r="PDE46" s="78"/>
      <c r="PDF46" s="78"/>
      <c r="PDG46" s="78"/>
      <c r="PDH46" s="78"/>
      <c r="PDI46" s="78"/>
      <c r="PDJ46" s="78"/>
      <c r="PDK46" s="78"/>
      <c r="PDL46" s="78"/>
      <c r="PDM46" s="78"/>
      <c r="PDN46" s="78"/>
      <c r="PDO46" s="78"/>
      <c r="PDP46" s="78"/>
      <c r="PDQ46" s="78"/>
      <c r="PDR46" s="78"/>
      <c r="PDS46" s="78"/>
      <c r="PDT46" s="78"/>
      <c r="PDU46" s="78"/>
      <c r="PDV46" s="78"/>
      <c r="PDW46" s="78"/>
      <c r="PDX46" s="78"/>
      <c r="PDY46" s="78"/>
      <c r="PDZ46" s="78"/>
      <c r="PEA46" s="78"/>
      <c r="PEB46" s="78"/>
      <c r="PEC46" s="78"/>
      <c r="PED46" s="78"/>
      <c r="PEE46" s="78"/>
      <c r="PEF46" s="78"/>
      <c r="PEG46" s="78"/>
      <c r="PEH46" s="78"/>
      <c r="PEI46" s="78"/>
      <c r="PEJ46" s="78"/>
      <c r="PEK46" s="78"/>
      <c r="PEL46" s="78"/>
      <c r="PEM46" s="78"/>
      <c r="PEN46" s="78"/>
      <c r="PEO46" s="78"/>
      <c r="PEP46" s="78"/>
      <c r="PEQ46" s="78"/>
      <c r="PER46" s="78"/>
      <c r="PES46" s="78"/>
      <c r="PET46" s="78"/>
      <c r="PEU46" s="78"/>
      <c r="PEV46" s="78"/>
      <c r="PEW46" s="78"/>
      <c r="PEX46" s="78"/>
      <c r="PEY46" s="78"/>
      <c r="PEZ46" s="78"/>
      <c r="PFA46" s="78"/>
      <c r="PFB46" s="78"/>
      <c r="PFC46" s="78"/>
      <c r="PFD46" s="78"/>
      <c r="PFE46" s="78"/>
      <c r="PFF46" s="78"/>
      <c r="PFG46" s="78"/>
      <c r="PFH46" s="78"/>
      <c r="PFI46" s="78"/>
      <c r="PFJ46" s="78"/>
      <c r="PFK46" s="78"/>
      <c r="PFL46" s="78"/>
      <c r="PFM46" s="78"/>
      <c r="PFN46" s="78"/>
      <c r="PFO46" s="78"/>
      <c r="PFP46" s="78"/>
      <c r="PFQ46" s="78"/>
      <c r="PFR46" s="78"/>
      <c r="PFS46" s="78"/>
      <c r="PFT46" s="78"/>
      <c r="PFU46" s="78"/>
      <c r="PFV46" s="78"/>
      <c r="PFW46" s="78"/>
      <c r="PFX46" s="78"/>
      <c r="PFY46" s="78"/>
      <c r="PFZ46" s="78"/>
      <c r="PGA46" s="78"/>
      <c r="PGB46" s="78"/>
      <c r="PGC46" s="78"/>
      <c r="PGD46" s="78"/>
      <c r="PGE46" s="78"/>
      <c r="PGF46" s="78"/>
      <c r="PGG46" s="78"/>
      <c r="PGH46" s="78"/>
      <c r="PGI46" s="78"/>
      <c r="PGJ46" s="78"/>
      <c r="PGK46" s="78"/>
      <c r="PGL46" s="78"/>
      <c r="PGM46" s="78"/>
      <c r="PGN46" s="78"/>
      <c r="PGO46" s="78"/>
      <c r="PGP46" s="78"/>
      <c r="PGQ46" s="78"/>
      <c r="PGR46" s="78"/>
      <c r="PGS46" s="78"/>
      <c r="PGT46" s="78"/>
      <c r="PGU46" s="78"/>
      <c r="PGV46" s="78"/>
      <c r="PGW46" s="78"/>
      <c r="PGX46" s="78"/>
      <c r="PGY46" s="78"/>
      <c r="PGZ46" s="78"/>
      <c r="PHA46" s="78"/>
      <c r="PHB46" s="78"/>
      <c r="PHC46" s="78"/>
      <c r="PHD46" s="78"/>
      <c r="PHE46" s="78"/>
      <c r="PHF46" s="78"/>
      <c r="PHG46" s="78"/>
      <c r="PHH46" s="78"/>
      <c r="PHI46" s="78"/>
      <c r="PHJ46" s="78"/>
      <c r="PHK46" s="78"/>
      <c r="PHL46" s="78"/>
      <c r="PHM46" s="78"/>
      <c r="PHN46" s="78"/>
      <c r="PHO46" s="78"/>
      <c r="PHP46" s="78"/>
      <c r="PHQ46" s="78"/>
      <c r="PHR46" s="78"/>
      <c r="PHS46" s="78"/>
      <c r="PHT46" s="78"/>
      <c r="PHU46" s="78"/>
      <c r="PHV46" s="78"/>
      <c r="PHW46" s="78"/>
      <c r="PHX46" s="78"/>
      <c r="PHY46" s="78"/>
      <c r="PHZ46" s="78"/>
      <c r="PIA46" s="78"/>
      <c r="PIB46" s="78"/>
      <c r="PIC46" s="78"/>
      <c r="PID46" s="78"/>
      <c r="PIE46" s="78"/>
      <c r="PIF46" s="78"/>
      <c r="PIG46" s="78"/>
      <c r="PIH46" s="78"/>
      <c r="PII46" s="78"/>
      <c r="PIJ46" s="78"/>
      <c r="PIK46" s="78"/>
      <c r="PIL46" s="78"/>
      <c r="PIM46" s="78"/>
      <c r="PIN46" s="78"/>
      <c r="PIO46" s="78"/>
      <c r="PIP46" s="78"/>
      <c r="PIQ46" s="78"/>
      <c r="PIR46" s="78"/>
      <c r="PIS46" s="78"/>
      <c r="PIT46" s="78"/>
      <c r="PIU46" s="78"/>
      <c r="PIV46" s="78"/>
      <c r="PIW46" s="78"/>
      <c r="PIX46" s="78"/>
      <c r="PIY46" s="78"/>
      <c r="PIZ46" s="78"/>
      <c r="PJA46" s="78"/>
      <c r="PJB46" s="78"/>
      <c r="PJC46" s="78"/>
      <c r="PJD46" s="78"/>
      <c r="PJE46" s="78"/>
      <c r="PJF46" s="78"/>
      <c r="PJG46" s="78"/>
      <c r="PJH46" s="78"/>
      <c r="PJI46" s="78"/>
      <c r="PJJ46" s="78"/>
      <c r="PJK46" s="78"/>
      <c r="PJL46" s="78"/>
      <c r="PJM46" s="78"/>
      <c r="PJN46" s="78"/>
      <c r="PJO46" s="78"/>
      <c r="PJP46" s="78"/>
      <c r="PJQ46" s="78"/>
      <c r="PJR46" s="78"/>
      <c r="PJS46" s="78"/>
      <c r="PJT46" s="78"/>
      <c r="PJU46" s="78"/>
      <c r="PJV46" s="78"/>
      <c r="PJW46" s="78"/>
      <c r="PJX46" s="78"/>
      <c r="PJY46" s="78"/>
      <c r="PJZ46" s="78"/>
      <c r="PKA46" s="78"/>
      <c r="PKB46" s="78"/>
      <c r="PKC46" s="78"/>
      <c r="PKD46" s="78"/>
      <c r="PKE46" s="78"/>
      <c r="PKF46" s="78"/>
      <c r="PKG46" s="78"/>
      <c r="PKH46" s="78"/>
      <c r="PKI46" s="78"/>
      <c r="PKJ46" s="78"/>
      <c r="PKK46" s="78"/>
      <c r="PKL46" s="78"/>
      <c r="PKM46" s="78"/>
      <c r="PKN46" s="78"/>
      <c r="PKO46" s="78"/>
      <c r="PKP46" s="78"/>
      <c r="PKQ46" s="78"/>
      <c r="PKR46" s="78"/>
      <c r="PKS46" s="78"/>
      <c r="PKT46" s="78"/>
      <c r="PKU46" s="78"/>
      <c r="PKV46" s="78"/>
      <c r="PKW46" s="78"/>
      <c r="PKX46" s="78"/>
      <c r="PKY46" s="78"/>
      <c r="PKZ46" s="78"/>
      <c r="PLA46" s="78"/>
      <c r="PLB46" s="78"/>
      <c r="PLC46" s="78"/>
      <c r="PLD46" s="78"/>
      <c r="PLE46" s="78"/>
      <c r="PLF46" s="78"/>
      <c r="PLG46" s="78"/>
      <c r="PLH46" s="78"/>
      <c r="PLI46" s="78"/>
      <c r="PLJ46" s="78"/>
      <c r="PLK46" s="78"/>
      <c r="PLL46" s="78"/>
      <c r="PLM46" s="78"/>
      <c r="PLN46" s="78"/>
      <c r="PLO46" s="78"/>
      <c r="PLP46" s="78"/>
      <c r="PLQ46" s="78"/>
      <c r="PLR46" s="78"/>
      <c r="PLS46" s="78"/>
      <c r="PLT46" s="78"/>
      <c r="PLU46" s="78"/>
      <c r="PLV46" s="78"/>
      <c r="PLW46" s="78"/>
      <c r="PLX46" s="78"/>
      <c r="PLY46" s="78"/>
      <c r="PLZ46" s="78"/>
      <c r="PMA46" s="78"/>
      <c r="PMB46" s="78"/>
      <c r="PMC46" s="78"/>
      <c r="PMD46" s="78"/>
      <c r="PME46" s="78"/>
      <c r="PMF46" s="78"/>
      <c r="PMG46" s="78"/>
      <c r="PMH46" s="78"/>
      <c r="PMI46" s="78"/>
      <c r="PMJ46" s="78"/>
      <c r="PMK46" s="78"/>
      <c r="PML46" s="78"/>
      <c r="PMM46" s="78"/>
      <c r="PMN46" s="78"/>
      <c r="PMO46" s="78"/>
      <c r="PMP46" s="78"/>
      <c r="PMQ46" s="78"/>
      <c r="PMR46" s="78"/>
      <c r="PMS46" s="78"/>
      <c r="PMT46" s="78"/>
      <c r="PMU46" s="78"/>
      <c r="PMV46" s="78"/>
      <c r="PMW46" s="78"/>
      <c r="PMX46" s="78"/>
      <c r="PMY46" s="78"/>
      <c r="PMZ46" s="78"/>
      <c r="PNA46" s="78"/>
      <c r="PNB46" s="78"/>
      <c r="PNC46" s="78"/>
      <c r="PND46" s="78"/>
      <c r="PNE46" s="78"/>
      <c r="PNF46" s="78"/>
      <c r="PNG46" s="78"/>
      <c r="PNH46" s="78"/>
      <c r="PNI46" s="78"/>
      <c r="PNJ46" s="78"/>
      <c r="PNK46" s="78"/>
      <c r="PNL46" s="78"/>
      <c r="PNM46" s="78"/>
      <c r="PNN46" s="78"/>
      <c r="PNO46" s="78"/>
      <c r="PNP46" s="78"/>
      <c r="PNQ46" s="78"/>
      <c r="PNR46" s="78"/>
      <c r="PNS46" s="78"/>
      <c r="PNT46" s="78"/>
      <c r="PNU46" s="78"/>
      <c r="PNV46" s="78"/>
      <c r="PNW46" s="78"/>
      <c r="PNX46" s="78"/>
      <c r="PNY46" s="78"/>
      <c r="PNZ46" s="78"/>
      <c r="POA46" s="78"/>
      <c r="POB46" s="78"/>
      <c r="POC46" s="78"/>
      <c r="POD46" s="78"/>
      <c r="POE46" s="78"/>
      <c r="POF46" s="78"/>
      <c r="POG46" s="78"/>
      <c r="POH46" s="78"/>
      <c r="POI46" s="78"/>
      <c r="POJ46" s="78"/>
      <c r="POK46" s="78"/>
      <c r="POL46" s="78"/>
      <c r="POM46" s="78"/>
      <c r="PON46" s="78"/>
      <c r="POO46" s="78"/>
      <c r="POP46" s="78"/>
      <c r="POQ46" s="78"/>
      <c r="POR46" s="78"/>
      <c r="POS46" s="78"/>
      <c r="POT46" s="78"/>
      <c r="POU46" s="78"/>
      <c r="POV46" s="78"/>
      <c r="POW46" s="78"/>
      <c r="POX46" s="78"/>
      <c r="POY46" s="78"/>
      <c r="POZ46" s="78"/>
      <c r="PPA46" s="78"/>
      <c r="PPB46" s="78"/>
      <c r="PPC46" s="78"/>
      <c r="PPD46" s="78"/>
      <c r="PPE46" s="78"/>
      <c r="PPF46" s="78"/>
      <c r="PPG46" s="78"/>
      <c r="PPH46" s="78"/>
      <c r="PPI46" s="78"/>
      <c r="PPJ46" s="78"/>
      <c r="PPK46" s="78"/>
      <c r="PPL46" s="78"/>
      <c r="PPM46" s="78"/>
      <c r="PPN46" s="78"/>
      <c r="PPO46" s="78"/>
      <c r="PPP46" s="78"/>
      <c r="PPQ46" s="78"/>
      <c r="PPR46" s="78"/>
      <c r="PPS46" s="78"/>
      <c r="PPT46" s="78"/>
      <c r="PPU46" s="78"/>
      <c r="PPV46" s="78"/>
      <c r="PPW46" s="78"/>
      <c r="PPX46" s="78"/>
      <c r="PPY46" s="78"/>
      <c r="PPZ46" s="78"/>
      <c r="PQA46" s="78"/>
      <c r="PQB46" s="78"/>
      <c r="PQC46" s="78"/>
      <c r="PQD46" s="78"/>
      <c r="PQE46" s="78"/>
      <c r="PQF46" s="78"/>
      <c r="PQG46" s="78"/>
      <c r="PQH46" s="78"/>
      <c r="PQI46" s="78"/>
      <c r="PQJ46" s="78"/>
      <c r="PQK46" s="78"/>
      <c r="PQL46" s="78"/>
      <c r="PQM46" s="78"/>
      <c r="PQN46" s="78"/>
      <c r="PQO46" s="78"/>
      <c r="PQP46" s="78"/>
      <c r="PQQ46" s="78"/>
      <c r="PQR46" s="78"/>
      <c r="PQS46" s="78"/>
      <c r="PQT46" s="78"/>
      <c r="PQU46" s="78"/>
      <c r="PQV46" s="78"/>
      <c r="PQW46" s="78"/>
      <c r="PQX46" s="78"/>
      <c r="PQY46" s="78"/>
      <c r="PQZ46" s="78"/>
      <c r="PRA46" s="78"/>
      <c r="PRB46" s="78"/>
      <c r="PRC46" s="78"/>
      <c r="PRD46" s="78"/>
      <c r="PRE46" s="78"/>
      <c r="PRF46" s="78"/>
      <c r="PRG46" s="78"/>
      <c r="PRH46" s="78"/>
      <c r="PRI46" s="78"/>
      <c r="PRJ46" s="78"/>
      <c r="PRK46" s="78"/>
      <c r="PRL46" s="78"/>
      <c r="PRM46" s="78"/>
      <c r="PRN46" s="78"/>
      <c r="PRO46" s="78"/>
      <c r="PRP46" s="78"/>
      <c r="PRQ46" s="78"/>
      <c r="PRR46" s="78"/>
      <c r="PRS46" s="78"/>
      <c r="PRT46" s="78"/>
      <c r="PRU46" s="78"/>
      <c r="PRV46" s="78"/>
      <c r="PRW46" s="78"/>
      <c r="PRX46" s="78"/>
      <c r="PRY46" s="78"/>
      <c r="PRZ46" s="78"/>
      <c r="PSA46" s="78"/>
      <c r="PSB46" s="78"/>
      <c r="PSC46" s="78"/>
      <c r="PSD46" s="78"/>
      <c r="PSE46" s="78"/>
      <c r="PSF46" s="78"/>
      <c r="PSG46" s="78"/>
      <c r="PSH46" s="78"/>
      <c r="PSI46" s="78"/>
      <c r="PSJ46" s="78"/>
      <c r="PSK46" s="78"/>
      <c r="PSL46" s="78"/>
      <c r="PSM46" s="78"/>
      <c r="PSN46" s="78"/>
      <c r="PSO46" s="78"/>
      <c r="PSP46" s="78"/>
      <c r="PSQ46" s="78"/>
      <c r="PSR46" s="78"/>
      <c r="PSS46" s="78"/>
      <c r="PST46" s="78"/>
      <c r="PSU46" s="78"/>
      <c r="PSV46" s="78"/>
      <c r="PSW46" s="78"/>
      <c r="PSX46" s="78"/>
      <c r="PSY46" s="78"/>
      <c r="PSZ46" s="78"/>
      <c r="PTA46" s="78"/>
      <c r="PTB46" s="78"/>
      <c r="PTC46" s="78"/>
      <c r="PTD46" s="78"/>
      <c r="PTE46" s="78"/>
      <c r="PTF46" s="78"/>
      <c r="PTG46" s="78"/>
      <c r="PTH46" s="78"/>
      <c r="PTI46" s="78"/>
      <c r="PTJ46" s="78"/>
      <c r="PTK46" s="78"/>
      <c r="PTL46" s="78"/>
      <c r="PTM46" s="78"/>
      <c r="PTN46" s="78"/>
      <c r="PTO46" s="78"/>
      <c r="PTP46" s="78"/>
      <c r="PTQ46" s="78"/>
      <c r="PTR46" s="78"/>
      <c r="PTS46" s="78"/>
      <c r="PTT46" s="78"/>
      <c r="PTU46" s="78"/>
      <c r="PTV46" s="78"/>
      <c r="PTW46" s="78"/>
      <c r="PTX46" s="78"/>
      <c r="PTY46" s="78"/>
      <c r="PTZ46" s="78"/>
      <c r="PUA46" s="78"/>
      <c r="PUB46" s="78"/>
      <c r="PUC46" s="78"/>
      <c r="PUD46" s="78"/>
      <c r="PUE46" s="78"/>
      <c r="PUF46" s="78"/>
      <c r="PUG46" s="78"/>
      <c r="PUH46" s="78"/>
      <c r="PUI46" s="78"/>
      <c r="PUJ46" s="78"/>
      <c r="PUK46" s="78"/>
      <c r="PUL46" s="78"/>
      <c r="PUM46" s="78"/>
      <c r="PUN46" s="78"/>
      <c r="PUO46" s="78"/>
      <c r="PUP46" s="78"/>
      <c r="PUQ46" s="78"/>
      <c r="PUR46" s="78"/>
      <c r="PUS46" s="78"/>
      <c r="PUT46" s="78"/>
      <c r="PUU46" s="78"/>
      <c r="PUV46" s="78"/>
      <c r="PUW46" s="78"/>
      <c r="PUX46" s="78"/>
      <c r="PUY46" s="78"/>
      <c r="PUZ46" s="78"/>
      <c r="PVA46" s="78"/>
      <c r="PVB46" s="78"/>
      <c r="PVC46" s="78"/>
      <c r="PVD46" s="78"/>
      <c r="PVE46" s="78"/>
      <c r="PVF46" s="78"/>
      <c r="PVG46" s="78"/>
      <c r="PVH46" s="78"/>
      <c r="PVI46" s="78"/>
      <c r="PVJ46" s="78"/>
      <c r="PVK46" s="78"/>
      <c r="PVL46" s="78"/>
      <c r="PVM46" s="78"/>
      <c r="PVN46" s="78"/>
      <c r="PVO46" s="78"/>
      <c r="PVP46" s="78"/>
      <c r="PVQ46" s="78"/>
      <c r="PVR46" s="78"/>
      <c r="PVS46" s="78"/>
      <c r="PVT46" s="78"/>
      <c r="PVU46" s="78"/>
      <c r="PVV46" s="78"/>
      <c r="PVW46" s="78"/>
      <c r="PVX46" s="78"/>
      <c r="PVY46" s="78"/>
      <c r="PVZ46" s="78"/>
      <c r="PWA46" s="78"/>
      <c r="PWB46" s="78"/>
      <c r="PWC46" s="78"/>
      <c r="PWD46" s="78"/>
      <c r="PWE46" s="78"/>
      <c r="PWF46" s="78"/>
      <c r="PWG46" s="78"/>
      <c r="PWH46" s="78"/>
      <c r="PWI46" s="78"/>
      <c r="PWJ46" s="78"/>
      <c r="PWK46" s="78"/>
      <c r="PWL46" s="78"/>
      <c r="PWM46" s="78"/>
      <c r="PWN46" s="78"/>
      <c r="PWO46" s="78"/>
      <c r="PWP46" s="78"/>
      <c r="PWQ46" s="78"/>
      <c r="PWR46" s="78"/>
      <c r="PWS46" s="78"/>
      <c r="PWT46" s="78"/>
      <c r="PWU46" s="78"/>
      <c r="PWV46" s="78"/>
      <c r="PWW46" s="78"/>
      <c r="PWX46" s="78"/>
      <c r="PWY46" s="78"/>
      <c r="PWZ46" s="78"/>
      <c r="PXA46" s="78"/>
      <c r="PXB46" s="78"/>
      <c r="PXC46" s="78"/>
      <c r="PXD46" s="78"/>
      <c r="PXE46" s="78"/>
      <c r="PXF46" s="78"/>
      <c r="PXG46" s="78"/>
      <c r="PXH46" s="78"/>
      <c r="PXI46" s="78"/>
      <c r="PXJ46" s="78"/>
      <c r="PXK46" s="78"/>
      <c r="PXL46" s="78"/>
      <c r="PXM46" s="78"/>
      <c r="PXN46" s="78"/>
      <c r="PXO46" s="78"/>
      <c r="PXP46" s="78"/>
      <c r="PXQ46" s="78"/>
      <c r="PXR46" s="78"/>
      <c r="PXS46" s="78"/>
      <c r="PXT46" s="78"/>
      <c r="PXU46" s="78"/>
      <c r="PXV46" s="78"/>
      <c r="PXW46" s="78"/>
      <c r="PXX46" s="78"/>
      <c r="PXY46" s="78"/>
      <c r="PXZ46" s="78"/>
      <c r="PYA46" s="78"/>
      <c r="PYB46" s="78"/>
      <c r="PYC46" s="78"/>
      <c r="PYD46" s="78"/>
      <c r="PYE46" s="78"/>
      <c r="PYF46" s="78"/>
      <c r="PYG46" s="78"/>
      <c r="PYH46" s="78"/>
      <c r="PYI46" s="78"/>
      <c r="PYJ46" s="78"/>
      <c r="PYK46" s="78"/>
      <c r="PYL46" s="78"/>
      <c r="PYM46" s="78"/>
      <c r="PYN46" s="78"/>
      <c r="PYO46" s="78"/>
      <c r="PYP46" s="78"/>
      <c r="PYQ46" s="78"/>
      <c r="PYR46" s="78"/>
      <c r="PYS46" s="78"/>
      <c r="PYT46" s="78"/>
      <c r="PYU46" s="78"/>
      <c r="PYV46" s="78"/>
      <c r="PYW46" s="78"/>
      <c r="PYX46" s="78"/>
      <c r="PYY46" s="78"/>
      <c r="PYZ46" s="78"/>
      <c r="PZA46" s="78"/>
      <c r="PZB46" s="78"/>
      <c r="PZC46" s="78"/>
      <c r="PZD46" s="78"/>
      <c r="PZE46" s="78"/>
      <c r="PZF46" s="78"/>
      <c r="PZG46" s="78"/>
      <c r="PZH46" s="78"/>
      <c r="PZI46" s="78"/>
      <c r="PZJ46" s="78"/>
      <c r="PZK46" s="78"/>
      <c r="PZL46" s="78"/>
      <c r="PZM46" s="78"/>
      <c r="PZN46" s="78"/>
      <c r="PZO46" s="78"/>
      <c r="PZP46" s="78"/>
      <c r="PZQ46" s="78"/>
      <c r="PZR46" s="78"/>
      <c r="PZS46" s="78"/>
      <c r="PZT46" s="78"/>
      <c r="PZU46" s="78"/>
      <c r="PZV46" s="78"/>
      <c r="PZW46" s="78"/>
      <c r="PZX46" s="78"/>
      <c r="PZY46" s="78"/>
      <c r="PZZ46" s="78"/>
      <c r="QAA46" s="78"/>
      <c r="QAB46" s="78"/>
      <c r="QAC46" s="78"/>
      <c r="QAD46" s="78"/>
      <c r="QAE46" s="78"/>
      <c r="QAF46" s="78"/>
      <c r="QAG46" s="78"/>
      <c r="QAH46" s="78"/>
      <c r="QAI46" s="78"/>
      <c r="QAJ46" s="78"/>
      <c r="QAK46" s="78"/>
      <c r="QAL46" s="78"/>
      <c r="QAM46" s="78"/>
      <c r="QAN46" s="78"/>
      <c r="QAO46" s="78"/>
      <c r="QAP46" s="78"/>
      <c r="QAQ46" s="78"/>
      <c r="QAR46" s="78"/>
      <c r="QAS46" s="78"/>
      <c r="QAT46" s="78"/>
      <c r="QAU46" s="78"/>
      <c r="QAV46" s="78"/>
      <c r="QAW46" s="78"/>
      <c r="QAX46" s="78"/>
      <c r="QAY46" s="78"/>
      <c r="QAZ46" s="78"/>
      <c r="QBA46" s="78"/>
      <c r="QBB46" s="78"/>
      <c r="QBC46" s="78"/>
      <c r="QBD46" s="78"/>
      <c r="QBE46" s="78"/>
      <c r="QBF46" s="78"/>
      <c r="QBG46" s="78"/>
      <c r="QBH46" s="78"/>
      <c r="QBI46" s="78"/>
      <c r="QBJ46" s="78"/>
      <c r="QBK46" s="78"/>
      <c r="QBL46" s="78"/>
      <c r="QBM46" s="78"/>
      <c r="QBN46" s="78"/>
      <c r="QBO46" s="78"/>
      <c r="QBP46" s="78"/>
      <c r="QBQ46" s="78"/>
      <c r="QBR46" s="78"/>
      <c r="QBS46" s="78"/>
      <c r="QBT46" s="78"/>
      <c r="QBU46" s="78"/>
      <c r="QBV46" s="78"/>
      <c r="QBW46" s="78"/>
      <c r="QBX46" s="78"/>
      <c r="QBY46" s="78"/>
      <c r="QBZ46" s="78"/>
      <c r="QCA46" s="78"/>
      <c r="QCB46" s="78"/>
      <c r="QCC46" s="78"/>
      <c r="QCD46" s="78"/>
      <c r="QCE46" s="78"/>
      <c r="QCF46" s="78"/>
      <c r="QCG46" s="78"/>
      <c r="QCH46" s="78"/>
      <c r="QCI46" s="78"/>
      <c r="QCJ46" s="78"/>
      <c r="QCK46" s="78"/>
      <c r="QCL46" s="78"/>
      <c r="QCM46" s="78"/>
      <c r="QCN46" s="78"/>
      <c r="QCO46" s="78"/>
      <c r="QCP46" s="78"/>
      <c r="QCQ46" s="78"/>
      <c r="QCR46" s="78"/>
      <c r="QCS46" s="78"/>
      <c r="QCT46" s="78"/>
      <c r="QCU46" s="78"/>
      <c r="QCV46" s="78"/>
      <c r="QCW46" s="78"/>
      <c r="QCX46" s="78"/>
      <c r="QCY46" s="78"/>
      <c r="QCZ46" s="78"/>
      <c r="QDA46" s="78"/>
      <c r="QDB46" s="78"/>
      <c r="QDC46" s="78"/>
      <c r="QDD46" s="78"/>
      <c r="QDE46" s="78"/>
      <c r="QDF46" s="78"/>
      <c r="QDG46" s="78"/>
      <c r="QDH46" s="78"/>
      <c r="QDI46" s="78"/>
      <c r="QDJ46" s="78"/>
      <c r="QDK46" s="78"/>
      <c r="QDL46" s="78"/>
      <c r="QDM46" s="78"/>
      <c r="QDN46" s="78"/>
      <c r="QDO46" s="78"/>
      <c r="QDP46" s="78"/>
      <c r="QDQ46" s="78"/>
      <c r="QDR46" s="78"/>
      <c r="QDS46" s="78"/>
      <c r="QDT46" s="78"/>
      <c r="QDU46" s="78"/>
      <c r="QDV46" s="78"/>
      <c r="QDW46" s="78"/>
      <c r="QDX46" s="78"/>
      <c r="QDY46" s="78"/>
      <c r="QDZ46" s="78"/>
      <c r="QEA46" s="78"/>
      <c r="QEB46" s="78"/>
      <c r="QEC46" s="78"/>
      <c r="QED46" s="78"/>
      <c r="QEE46" s="78"/>
      <c r="QEF46" s="78"/>
      <c r="QEG46" s="78"/>
      <c r="QEH46" s="78"/>
      <c r="QEI46" s="78"/>
      <c r="QEJ46" s="78"/>
      <c r="QEK46" s="78"/>
      <c r="QEL46" s="78"/>
      <c r="QEM46" s="78"/>
      <c r="QEN46" s="78"/>
      <c r="QEO46" s="78"/>
      <c r="QEP46" s="78"/>
      <c r="QEQ46" s="78"/>
      <c r="QER46" s="78"/>
      <c r="QES46" s="78"/>
      <c r="QET46" s="78"/>
      <c r="QEU46" s="78"/>
      <c r="QEV46" s="78"/>
      <c r="QEW46" s="78"/>
      <c r="QEX46" s="78"/>
      <c r="QEY46" s="78"/>
      <c r="QEZ46" s="78"/>
      <c r="QFA46" s="78"/>
      <c r="QFB46" s="78"/>
      <c r="QFC46" s="78"/>
      <c r="QFD46" s="78"/>
      <c r="QFE46" s="78"/>
      <c r="QFF46" s="78"/>
      <c r="QFG46" s="78"/>
      <c r="QFH46" s="78"/>
      <c r="QFI46" s="78"/>
      <c r="QFJ46" s="78"/>
      <c r="QFK46" s="78"/>
      <c r="QFL46" s="78"/>
      <c r="QFM46" s="78"/>
      <c r="QFN46" s="78"/>
      <c r="QFO46" s="78"/>
      <c r="QFP46" s="78"/>
      <c r="QFQ46" s="78"/>
      <c r="QFR46" s="78"/>
      <c r="QFS46" s="78"/>
      <c r="QFT46" s="78"/>
      <c r="QFU46" s="78"/>
      <c r="QFV46" s="78"/>
      <c r="QFW46" s="78"/>
      <c r="QFX46" s="78"/>
      <c r="QFY46" s="78"/>
      <c r="QFZ46" s="78"/>
      <c r="QGA46" s="78"/>
      <c r="QGB46" s="78"/>
      <c r="QGC46" s="78"/>
      <c r="QGD46" s="78"/>
      <c r="QGE46" s="78"/>
      <c r="QGF46" s="78"/>
      <c r="QGG46" s="78"/>
      <c r="QGH46" s="78"/>
      <c r="QGI46" s="78"/>
      <c r="QGJ46" s="78"/>
      <c r="QGK46" s="78"/>
      <c r="QGL46" s="78"/>
      <c r="QGM46" s="78"/>
      <c r="QGN46" s="78"/>
      <c r="QGO46" s="78"/>
      <c r="QGP46" s="78"/>
      <c r="QGQ46" s="78"/>
      <c r="QGR46" s="78"/>
      <c r="QGS46" s="78"/>
      <c r="QGT46" s="78"/>
      <c r="QGU46" s="78"/>
      <c r="QGV46" s="78"/>
      <c r="QGW46" s="78"/>
      <c r="QGX46" s="78"/>
      <c r="QGY46" s="78"/>
      <c r="QGZ46" s="78"/>
      <c r="QHA46" s="78"/>
      <c r="QHB46" s="78"/>
      <c r="QHC46" s="78"/>
      <c r="QHD46" s="78"/>
      <c r="QHE46" s="78"/>
      <c r="QHF46" s="78"/>
      <c r="QHG46" s="78"/>
      <c r="QHH46" s="78"/>
      <c r="QHI46" s="78"/>
      <c r="QHJ46" s="78"/>
      <c r="QHK46" s="78"/>
      <c r="QHL46" s="78"/>
      <c r="QHM46" s="78"/>
      <c r="QHN46" s="78"/>
      <c r="QHO46" s="78"/>
      <c r="QHP46" s="78"/>
      <c r="QHQ46" s="78"/>
      <c r="QHR46" s="78"/>
      <c r="QHS46" s="78"/>
      <c r="QHT46" s="78"/>
      <c r="QHU46" s="78"/>
      <c r="QHV46" s="78"/>
      <c r="QHW46" s="78"/>
      <c r="QHX46" s="78"/>
      <c r="QHY46" s="78"/>
      <c r="QHZ46" s="78"/>
      <c r="QIA46" s="78"/>
      <c r="QIB46" s="78"/>
      <c r="QIC46" s="78"/>
      <c r="QID46" s="78"/>
      <c r="QIE46" s="78"/>
      <c r="QIF46" s="78"/>
      <c r="QIG46" s="78"/>
      <c r="QIH46" s="78"/>
      <c r="QII46" s="78"/>
      <c r="QIJ46" s="78"/>
      <c r="QIK46" s="78"/>
      <c r="QIL46" s="78"/>
      <c r="QIM46" s="78"/>
      <c r="QIN46" s="78"/>
      <c r="QIO46" s="78"/>
      <c r="QIP46" s="78"/>
      <c r="QIQ46" s="78"/>
      <c r="QIR46" s="78"/>
      <c r="QIS46" s="78"/>
      <c r="QIT46" s="78"/>
      <c r="QIU46" s="78"/>
      <c r="QIV46" s="78"/>
      <c r="QIW46" s="78"/>
      <c r="QIX46" s="78"/>
      <c r="QIY46" s="78"/>
      <c r="QIZ46" s="78"/>
      <c r="QJA46" s="78"/>
      <c r="QJB46" s="78"/>
      <c r="QJC46" s="78"/>
      <c r="QJD46" s="78"/>
      <c r="QJE46" s="78"/>
      <c r="QJF46" s="78"/>
      <c r="QJG46" s="78"/>
      <c r="QJH46" s="78"/>
      <c r="QJI46" s="78"/>
      <c r="QJJ46" s="78"/>
      <c r="QJK46" s="78"/>
      <c r="QJL46" s="78"/>
      <c r="QJM46" s="78"/>
      <c r="QJN46" s="78"/>
      <c r="QJO46" s="78"/>
      <c r="QJP46" s="78"/>
      <c r="QJQ46" s="78"/>
      <c r="QJR46" s="78"/>
      <c r="QJS46" s="78"/>
      <c r="QJT46" s="78"/>
      <c r="QJU46" s="78"/>
      <c r="QJV46" s="78"/>
      <c r="QJW46" s="78"/>
      <c r="QJX46" s="78"/>
      <c r="QJY46" s="78"/>
      <c r="QJZ46" s="78"/>
      <c r="QKA46" s="78"/>
      <c r="QKB46" s="78"/>
      <c r="QKC46" s="78"/>
      <c r="QKD46" s="78"/>
      <c r="QKE46" s="78"/>
      <c r="QKF46" s="78"/>
      <c r="QKG46" s="78"/>
      <c r="QKH46" s="78"/>
      <c r="QKI46" s="78"/>
      <c r="QKJ46" s="78"/>
      <c r="QKK46" s="78"/>
      <c r="QKL46" s="78"/>
      <c r="QKM46" s="78"/>
      <c r="QKN46" s="78"/>
      <c r="QKO46" s="78"/>
      <c r="QKP46" s="78"/>
      <c r="QKQ46" s="78"/>
      <c r="QKR46" s="78"/>
      <c r="QKS46" s="78"/>
      <c r="QKT46" s="78"/>
      <c r="QKU46" s="78"/>
      <c r="QKV46" s="78"/>
      <c r="QKW46" s="78"/>
      <c r="QKX46" s="78"/>
      <c r="QKY46" s="78"/>
      <c r="QKZ46" s="78"/>
      <c r="QLA46" s="78"/>
      <c r="QLB46" s="78"/>
      <c r="QLC46" s="78"/>
      <c r="QLD46" s="78"/>
      <c r="QLE46" s="78"/>
      <c r="QLF46" s="78"/>
      <c r="QLG46" s="78"/>
      <c r="QLH46" s="78"/>
      <c r="QLI46" s="78"/>
      <c r="QLJ46" s="78"/>
      <c r="QLK46" s="78"/>
      <c r="QLL46" s="78"/>
      <c r="QLM46" s="78"/>
      <c r="QLN46" s="78"/>
      <c r="QLO46" s="78"/>
      <c r="QLP46" s="78"/>
      <c r="QLQ46" s="78"/>
      <c r="QLR46" s="78"/>
      <c r="QLS46" s="78"/>
      <c r="QLT46" s="78"/>
      <c r="QLU46" s="78"/>
      <c r="QLV46" s="78"/>
      <c r="QLW46" s="78"/>
      <c r="QLX46" s="78"/>
      <c r="QLY46" s="78"/>
      <c r="QLZ46" s="78"/>
      <c r="QMA46" s="78"/>
      <c r="QMB46" s="78"/>
      <c r="QMC46" s="78"/>
      <c r="QMD46" s="78"/>
      <c r="QME46" s="78"/>
      <c r="QMF46" s="78"/>
      <c r="QMG46" s="78"/>
      <c r="QMH46" s="78"/>
      <c r="QMI46" s="78"/>
      <c r="QMJ46" s="78"/>
      <c r="QMK46" s="78"/>
      <c r="QML46" s="78"/>
      <c r="QMM46" s="78"/>
      <c r="QMN46" s="78"/>
      <c r="QMO46" s="78"/>
      <c r="QMP46" s="78"/>
      <c r="QMQ46" s="78"/>
      <c r="QMR46" s="78"/>
      <c r="QMS46" s="78"/>
      <c r="QMT46" s="78"/>
      <c r="QMU46" s="78"/>
      <c r="QMV46" s="78"/>
      <c r="QMW46" s="78"/>
      <c r="QMX46" s="78"/>
      <c r="QMY46" s="78"/>
      <c r="QMZ46" s="78"/>
      <c r="QNA46" s="78"/>
      <c r="QNB46" s="78"/>
      <c r="QNC46" s="78"/>
      <c r="QND46" s="78"/>
      <c r="QNE46" s="78"/>
      <c r="QNF46" s="78"/>
      <c r="QNG46" s="78"/>
      <c r="QNH46" s="78"/>
      <c r="QNI46" s="78"/>
      <c r="QNJ46" s="78"/>
      <c r="QNK46" s="78"/>
      <c r="QNL46" s="78"/>
      <c r="QNM46" s="78"/>
      <c r="QNN46" s="78"/>
      <c r="QNO46" s="78"/>
      <c r="QNP46" s="78"/>
      <c r="QNQ46" s="78"/>
      <c r="QNR46" s="78"/>
      <c r="QNS46" s="78"/>
      <c r="QNT46" s="78"/>
      <c r="QNU46" s="78"/>
      <c r="QNV46" s="78"/>
      <c r="QNW46" s="78"/>
      <c r="QNX46" s="78"/>
      <c r="QNY46" s="78"/>
      <c r="QNZ46" s="78"/>
      <c r="QOA46" s="78"/>
      <c r="QOB46" s="78"/>
      <c r="QOC46" s="78"/>
      <c r="QOD46" s="78"/>
      <c r="QOE46" s="78"/>
      <c r="QOF46" s="78"/>
      <c r="QOG46" s="78"/>
      <c r="QOH46" s="78"/>
      <c r="QOI46" s="78"/>
      <c r="QOJ46" s="78"/>
      <c r="QOK46" s="78"/>
      <c r="QOL46" s="78"/>
      <c r="QOM46" s="78"/>
      <c r="QON46" s="78"/>
      <c r="QOO46" s="78"/>
      <c r="QOP46" s="78"/>
      <c r="QOQ46" s="78"/>
      <c r="QOR46" s="78"/>
      <c r="QOS46" s="78"/>
      <c r="QOT46" s="78"/>
      <c r="QOU46" s="78"/>
      <c r="QOV46" s="78"/>
      <c r="QOW46" s="78"/>
      <c r="QOX46" s="78"/>
      <c r="QOY46" s="78"/>
      <c r="QOZ46" s="78"/>
      <c r="QPA46" s="78"/>
      <c r="QPB46" s="78"/>
      <c r="QPC46" s="78"/>
      <c r="QPD46" s="78"/>
      <c r="QPE46" s="78"/>
      <c r="QPF46" s="78"/>
      <c r="QPG46" s="78"/>
      <c r="QPH46" s="78"/>
      <c r="QPI46" s="78"/>
      <c r="QPJ46" s="78"/>
      <c r="QPK46" s="78"/>
      <c r="QPL46" s="78"/>
      <c r="QPM46" s="78"/>
      <c r="QPN46" s="78"/>
      <c r="QPO46" s="78"/>
      <c r="QPP46" s="78"/>
      <c r="QPQ46" s="78"/>
      <c r="QPR46" s="78"/>
      <c r="QPS46" s="78"/>
      <c r="QPT46" s="78"/>
      <c r="QPU46" s="78"/>
      <c r="QPV46" s="78"/>
      <c r="QPW46" s="78"/>
      <c r="QPX46" s="78"/>
      <c r="QPY46" s="78"/>
      <c r="QPZ46" s="78"/>
      <c r="QQA46" s="78"/>
      <c r="QQB46" s="78"/>
      <c r="QQC46" s="78"/>
      <c r="QQD46" s="78"/>
      <c r="QQE46" s="78"/>
      <c r="QQF46" s="78"/>
      <c r="QQG46" s="78"/>
      <c r="QQH46" s="78"/>
      <c r="QQI46" s="78"/>
      <c r="QQJ46" s="78"/>
      <c r="QQK46" s="78"/>
      <c r="QQL46" s="78"/>
      <c r="QQM46" s="78"/>
      <c r="QQN46" s="78"/>
      <c r="QQO46" s="78"/>
      <c r="QQP46" s="78"/>
      <c r="QQQ46" s="78"/>
      <c r="QQR46" s="78"/>
      <c r="QQS46" s="78"/>
      <c r="QQT46" s="78"/>
      <c r="QQU46" s="78"/>
      <c r="QQV46" s="78"/>
      <c r="QQW46" s="78"/>
      <c r="QQX46" s="78"/>
      <c r="QQY46" s="78"/>
      <c r="QQZ46" s="78"/>
      <c r="QRA46" s="78"/>
      <c r="QRB46" s="78"/>
      <c r="QRC46" s="78"/>
      <c r="QRD46" s="78"/>
      <c r="QRE46" s="78"/>
      <c r="QRF46" s="78"/>
      <c r="QRG46" s="78"/>
      <c r="QRH46" s="78"/>
      <c r="QRI46" s="78"/>
      <c r="QRJ46" s="78"/>
      <c r="QRK46" s="78"/>
      <c r="QRL46" s="78"/>
      <c r="QRM46" s="78"/>
      <c r="QRN46" s="78"/>
      <c r="QRO46" s="78"/>
      <c r="QRP46" s="78"/>
      <c r="QRQ46" s="78"/>
      <c r="QRR46" s="78"/>
      <c r="QRS46" s="78"/>
      <c r="QRT46" s="78"/>
      <c r="QRU46" s="78"/>
      <c r="QRV46" s="78"/>
      <c r="QRW46" s="78"/>
      <c r="QRX46" s="78"/>
      <c r="QRY46" s="78"/>
      <c r="QRZ46" s="78"/>
      <c r="QSA46" s="78"/>
      <c r="QSB46" s="78"/>
      <c r="QSC46" s="78"/>
      <c r="QSD46" s="78"/>
      <c r="QSE46" s="78"/>
      <c r="QSF46" s="78"/>
      <c r="QSG46" s="78"/>
      <c r="QSH46" s="78"/>
      <c r="QSI46" s="78"/>
      <c r="QSJ46" s="78"/>
      <c r="QSK46" s="78"/>
      <c r="QSL46" s="78"/>
      <c r="QSM46" s="78"/>
      <c r="QSN46" s="78"/>
      <c r="QSO46" s="78"/>
      <c r="QSP46" s="78"/>
      <c r="QSQ46" s="78"/>
      <c r="QSR46" s="78"/>
      <c r="QSS46" s="78"/>
      <c r="QST46" s="78"/>
      <c r="QSU46" s="78"/>
      <c r="QSV46" s="78"/>
      <c r="QSW46" s="78"/>
      <c r="QSX46" s="78"/>
      <c r="QSY46" s="78"/>
      <c r="QSZ46" s="78"/>
      <c r="QTA46" s="78"/>
      <c r="QTB46" s="78"/>
      <c r="QTC46" s="78"/>
      <c r="QTD46" s="78"/>
      <c r="QTE46" s="78"/>
      <c r="QTF46" s="78"/>
      <c r="QTG46" s="78"/>
      <c r="QTH46" s="78"/>
      <c r="QTI46" s="78"/>
      <c r="QTJ46" s="78"/>
      <c r="QTK46" s="78"/>
      <c r="QTL46" s="78"/>
      <c r="QTM46" s="78"/>
      <c r="QTN46" s="78"/>
      <c r="QTO46" s="78"/>
      <c r="QTP46" s="78"/>
      <c r="QTQ46" s="78"/>
      <c r="QTR46" s="78"/>
      <c r="QTS46" s="78"/>
      <c r="QTT46" s="78"/>
      <c r="QTU46" s="78"/>
      <c r="QTV46" s="78"/>
      <c r="QTW46" s="78"/>
      <c r="QTX46" s="78"/>
      <c r="QTY46" s="78"/>
      <c r="QTZ46" s="78"/>
      <c r="QUA46" s="78"/>
      <c r="QUB46" s="78"/>
      <c r="QUC46" s="78"/>
      <c r="QUD46" s="78"/>
      <c r="QUE46" s="78"/>
      <c r="QUF46" s="78"/>
      <c r="QUG46" s="78"/>
      <c r="QUH46" s="78"/>
      <c r="QUI46" s="78"/>
      <c r="QUJ46" s="78"/>
      <c r="QUK46" s="78"/>
      <c r="QUL46" s="78"/>
      <c r="QUM46" s="78"/>
      <c r="QUN46" s="78"/>
      <c r="QUO46" s="78"/>
      <c r="QUP46" s="78"/>
      <c r="QUQ46" s="78"/>
      <c r="QUR46" s="78"/>
      <c r="QUS46" s="78"/>
      <c r="QUT46" s="78"/>
      <c r="QUU46" s="78"/>
      <c r="QUV46" s="78"/>
      <c r="QUW46" s="78"/>
      <c r="QUX46" s="78"/>
      <c r="QUY46" s="78"/>
      <c r="QUZ46" s="78"/>
      <c r="QVA46" s="78"/>
      <c r="QVB46" s="78"/>
      <c r="QVC46" s="78"/>
      <c r="QVD46" s="78"/>
      <c r="QVE46" s="78"/>
      <c r="QVF46" s="78"/>
      <c r="QVG46" s="78"/>
      <c r="QVH46" s="78"/>
      <c r="QVI46" s="78"/>
      <c r="QVJ46" s="78"/>
      <c r="QVK46" s="78"/>
      <c r="QVL46" s="78"/>
      <c r="QVM46" s="78"/>
      <c r="QVN46" s="78"/>
      <c r="QVO46" s="78"/>
      <c r="QVP46" s="78"/>
      <c r="QVQ46" s="78"/>
      <c r="QVR46" s="78"/>
      <c r="QVS46" s="78"/>
      <c r="QVT46" s="78"/>
      <c r="QVU46" s="78"/>
      <c r="QVV46" s="78"/>
      <c r="QVW46" s="78"/>
      <c r="QVX46" s="78"/>
      <c r="QVY46" s="78"/>
      <c r="QVZ46" s="78"/>
      <c r="QWA46" s="78"/>
      <c r="QWB46" s="78"/>
      <c r="QWC46" s="78"/>
      <c r="QWD46" s="78"/>
      <c r="QWE46" s="78"/>
      <c r="QWF46" s="78"/>
      <c r="QWG46" s="78"/>
      <c r="QWH46" s="78"/>
      <c r="QWI46" s="78"/>
      <c r="QWJ46" s="78"/>
      <c r="QWK46" s="78"/>
      <c r="QWL46" s="78"/>
      <c r="QWM46" s="78"/>
      <c r="QWN46" s="78"/>
      <c r="QWO46" s="78"/>
      <c r="QWP46" s="78"/>
      <c r="QWQ46" s="78"/>
      <c r="QWR46" s="78"/>
      <c r="QWS46" s="78"/>
      <c r="QWT46" s="78"/>
      <c r="QWU46" s="78"/>
      <c r="QWV46" s="78"/>
      <c r="QWW46" s="78"/>
      <c r="QWX46" s="78"/>
      <c r="QWY46" s="78"/>
      <c r="QWZ46" s="78"/>
      <c r="QXA46" s="78"/>
      <c r="QXB46" s="78"/>
      <c r="QXC46" s="78"/>
      <c r="QXD46" s="78"/>
      <c r="QXE46" s="78"/>
      <c r="QXF46" s="78"/>
      <c r="QXG46" s="78"/>
      <c r="QXH46" s="78"/>
      <c r="QXI46" s="78"/>
      <c r="QXJ46" s="78"/>
      <c r="QXK46" s="78"/>
      <c r="QXL46" s="78"/>
      <c r="QXM46" s="78"/>
      <c r="QXN46" s="78"/>
      <c r="QXO46" s="78"/>
      <c r="QXP46" s="78"/>
      <c r="QXQ46" s="78"/>
      <c r="QXR46" s="78"/>
      <c r="QXS46" s="78"/>
      <c r="QXT46" s="78"/>
      <c r="QXU46" s="78"/>
      <c r="QXV46" s="78"/>
      <c r="QXW46" s="78"/>
      <c r="QXX46" s="78"/>
      <c r="QXY46" s="78"/>
      <c r="QXZ46" s="78"/>
      <c r="QYA46" s="78"/>
      <c r="QYB46" s="78"/>
      <c r="QYC46" s="78"/>
      <c r="QYD46" s="78"/>
      <c r="QYE46" s="78"/>
      <c r="QYF46" s="78"/>
      <c r="QYG46" s="78"/>
      <c r="QYH46" s="78"/>
      <c r="QYI46" s="78"/>
      <c r="QYJ46" s="78"/>
      <c r="QYK46" s="78"/>
      <c r="QYL46" s="78"/>
      <c r="QYM46" s="78"/>
      <c r="QYN46" s="78"/>
      <c r="QYO46" s="78"/>
      <c r="QYP46" s="78"/>
      <c r="QYQ46" s="78"/>
      <c r="QYR46" s="78"/>
      <c r="QYS46" s="78"/>
      <c r="QYT46" s="78"/>
      <c r="QYU46" s="78"/>
      <c r="QYV46" s="78"/>
      <c r="QYW46" s="78"/>
      <c r="QYX46" s="78"/>
      <c r="QYY46" s="78"/>
      <c r="QYZ46" s="78"/>
      <c r="QZA46" s="78"/>
      <c r="QZB46" s="78"/>
      <c r="QZC46" s="78"/>
      <c r="QZD46" s="78"/>
      <c r="QZE46" s="78"/>
      <c r="QZF46" s="78"/>
      <c r="QZG46" s="78"/>
      <c r="QZH46" s="78"/>
      <c r="QZI46" s="78"/>
      <c r="QZJ46" s="78"/>
      <c r="QZK46" s="78"/>
      <c r="QZL46" s="78"/>
      <c r="QZM46" s="78"/>
      <c r="QZN46" s="78"/>
      <c r="QZO46" s="78"/>
      <c r="QZP46" s="78"/>
      <c r="QZQ46" s="78"/>
      <c r="QZR46" s="78"/>
      <c r="QZS46" s="78"/>
      <c r="QZT46" s="78"/>
      <c r="QZU46" s="78"/>
      <c r="QZV46" s="78"/>
      <c r="QZW46" s="78"/>
      <c r="QZX46" s="78"/>
      <c r="QZY46" s="78"/>
      <c r="QZZ46" s="78"/>
      <c r="RAA46" s="78"/>
      <c r="RAB46" s="78"/>
      <c r="RAC46" s="78"/>
      <c r="RAD46" s="78"/>
      <c r="RAE46" s="78"/>
      <c r="RAF46" s="78"/>
      <c r="RAG46" s="78"/>
      <c r="RAH46" s="78"/>
      <c r="RAI46" s="78"/>
      <c r="RAJ46" s="78"/>
      <c r="RAK46" s="78"/>
      <c r="RAL46" s="78"/>
      <c r="RAM46" s="78"/>
      <c r="RAN46" s="78"/>
      <c r="RAO46" s="78"/>
      <c r="RAP46" s="78"/>
      <c r="RAQ46" s="78"/>
      <c r="RAR46" s="78"/>
      <c r="RAS46" s="78"/>
      <c r="RAT46" s="78"/>
      <c r="RAU46" s="78"/>
      <c r="RAV46" s="78"/>
      <c r="RAW46" s="78"/>
      <c r="RAX46" s="78"/>
      <c r="RAY46" s="78"/>
      <c r="RAZ46" s="78"/>
      <c r="RBA46" s="78"/>
      <c r="RBB46" s="78"/>
      <c r="RBC46" s="78"/>
      <c r="RBD46" s="78"/>
      <c r="RBE46" s="78"/>
      <c r="RBF46" s="78"/>
      <c r="RBG46" s="78"/>
      <c r="RBH46" s="78"/>
      <c r="RBI46" s="78"/>
      <c r="RBJ46" s="78"/>
      <c r="RBK46" s="78"/>
      <c r="RBL46" s="78"/>
      <c r="RBM46" s="78"/>
      <c r="RBN46" s="78"/>
      <c r="RBO46" s="78"/>
      <c r="RBP46" s="78"/>
      <c r="RBQ46" s="78"/>
      <c r="RBR46" s="78"/>
      <c r="RBS46" s="78"/>
      <c r="RBT46" s="78"/>
      <c r="RBU46" s="78"/>
      <c r="RBV46" s="78"/>
      <c r="RBW46" s="78"/>
      <c r="RBX46" s="78"/>
      <c r="RBY46" s="78"/>
      <c r="RBZ46" s="78"/>
      <c r="RCA46" s="78"/>
      <c r="RCB46" s="78"/>
      <c r="RCC46" s="78"/>
      <c r="RCD46" s="78"/>
      <c r="RCE46" s="78"/>
      <c r="RCF46" s="78"/>
      <c r="RCG46" s="78"/>
      <c r="RCH46" s="78"/>
      <c r="RCI46" s="78"/>
      <c r="RCJ46" s="78"/>
      <c r="RCK46" s="78"/>
      <c r="RCL46" s="78"/>
      <c r="RCM46" s="78"/>
      <c r="RCN46" s="78"/>
      <c r="RCO46" s="78"/>
      <c r="RCP46" s="78"/>
      <c r="RCQ46" s="78"/>
      <c r="RCR46" s="78"/>
      <c r="RCS46" s="78"/>
      <c r="RCT46" s="78"/>
      <c r="RCU46" s="78"/>
      <c r="RCV46" s="78"/>
      <c r="RCW46" s="78"/>
      <c r="RCX46" s="78"/>
      <c r="RCY46" s="78"/>
      <c r="RCZ46" s="78"/>
      <c r="RDA46" s="78"/>
      <c r="RDB46" s="78"/>
      <c r="RDC46" s="78"/>
      <c r="RDD46" s="78"/>
      <c r="RDE46" s="78"/>
      <c r="RDF46" s="78"/>
      <c r="RDG46" s="78"/>
      <c r="RDH46" s="78"/>
      <c r="RDI46" s="78"/>
      <c r="RDJ46" s="78"/>
      <c r="RDK46" s="78"/>
      <c r="RDL46" s="78"/>
      <c r="RDM46" s="78"/>
      <c r="RDN46" s="78"/>
      <c r="RDO46" s="78"/>
      <c r="RDP46" s="78"/>
      <c r="RDQ46" s="78"/>
      <c r="RDR46" s="78"/>
      <c r="RDS46" s="78"/>
      <c r="RDT46" s="78"/>
      <c r="RDU46" s="78"/>
      <c r="RDV46" s="78"/>
      <c r="RDW46" s="78"/>
      <c r="RDX46" s="78"/>
      <c r="RDY46" s="78"/>
      <c r="RDZ46" s="78"/>
      <c r="REA46" s="78"/>
      <c r="REB46" s="78"/>
      <c r="REC46" s="78"/>
      <c r="RED46" s="78"/>
      <c r="REE46" s="78"/>
      <c r="REF46" s="78"/>
      <c r="REG46" s="78"/>
      <c r="REH46" s="78"/>
      <c r="REI46" s="78"/>
      <c r="REJ46" s="78"/>
      <c r="REK46" s="78"/>
      <c r="REL46" s="78"/>
      <c r="REM46" s="78"/>
      <c r="REN46" s="78"/>
      <c r="REO46" s="78"/>
      <c r="REP46" s="78"/>
      <c r="REQ46" s="78"/>
      <c r="RER46" s="78"/>
      <c r="RES46" s="78"/>
      <c r="RET46" s="78"/>
      <c r="REU46" s="78"/>
      <c r="REV46" s="78"/>
      <c r="REW46" s="78"/>
      <c r="REX46" s="78"/>
      <c r="REY46" s="78"/>
      <c r="REZ46" s="78"/>
      <c r="RFA46" s="78"/>
      <c r="RFB46" s="78"/>
      <c r="RFC46" s="78"/>
      <c r="RFD46" s="78"/>
      <c r="RFE46" s="78"/>
      <c r="RFF46" s="78"/>
      <c r="RFG46" s="78"/>
      <c r="RFH46" s="78"/>
      <c r="RFI46" s="78"/>
      <c r="RFJ46" s="78"/>
      <c r="RFK46" s="78"/>
      <c r="RFL46" s="78"/>
      <c r="RFM46" s="78"/>
      <c r="RFN46" s="78"/>
      <c r="RFO46" s="78"/>
      <c r="RFP46" s="78"/>
      <c r="RFQ46" s="78"/>
      <c r="RFR46" s="78"/>
      <c r="RFS46" s="78"/>
      <c r="RFT46" s="78"/>
      <c r="RFU46" s="78"/>
      <c r="RFV46" s="78"/>
      <c r="RFW46" s="78"/>
      <c r="RFX46" s="78"/>
      <c r="RFY46" s="78"/>
      <c r="RFZ46" s="78"/>
      <c r="RGA46" s="78"/>
      <c r="RGB46" s="78"/>
      <c r="RGC46" s="78"/>
      <c r="RGD46" s="78"/>
      <c r="RGE46" s="78"/>
      <c r="RGF46" s="78"/>
      <c r="RGG46" s="78"/>
      <c r="RGH46" s="78"/>
      <c r="RGI46" s="78"/>
      <c r="RGJ46" s="78"/>
      <c r="RGK46" s="78"/>
      <c r="RGL46" s="78"/>
      <c r="RGM46" s="78"/>
      <c r="RGN46" s="78"/>
      <c r="RGO46" s="78"/>
      <c r="RGP46" s="78"/>
      <c r="RGQ46" s="78"/>
      <c r="RGR46" s="78"/>
      <c r="RGS46" s="78"/>
      <c r="RGT46" s="78"/>
      <c r="RGU46" s="78"/>
      <c r="RGV46" s="78"/>
      <c r="RGW46" s="78"/>
      <c r="RGX46" s="78"/>
      <c r="RGY46" s="78"/>
      <c r="RGZ46" s="78"/>
      <c r="RHA46" s="78"/>
      <c r="RHB46" s="78"/>
      <c r="RHC46" s="78"/>
      <c r="RHD46" s="78"/>
      <c r="RHE46" s="78"/>
      <c r="RHF46" s="78"/>
      <c r="RHG46" s="78"/>
      <c r="RHH46" s="78"/>
      <c r="RHI46" s="78"/>
      <c r="RHJ46" s="78"/>
      <c r="RHK46" s="78"/>
      <c r="RHL46" s="78"/>
      <c r="RHM46" s="78"/>
      <c r="RHN46" s="78"/>
      <c r="RHO46" s="78"/>
      <c r="RHP46" s="78"/>
      <c r="RHQ46" s="78"/>
      <c r="RHR46" s="78"/>
      <c r="RHS46" s="78"/>
      <c r="RHT46" s="78"/>
      <c r="RHU46" s="78"/>
      <c r="RHV46" s="78"/>
      <c r="RHW46" s="78"/>
      <c r="RHX46" s="78"/>
      <c r="RHY46" s="78"/>
      <c r="RHZ46" s="78"/>
      <c r="RIA46" s="78"/>
      <c r="RIB46" s="78"/>
      <c r="RIC46" s="78"/>
      <c r="RID46" s="78"/>
      <c r="RIE46" s="78"/>
      <c r="RIF46" s="78"/>
      <c r="RIG46" s="78"/>
      <c r="RIH46" s="78"/>
      <c r="RII46" s="78"/>
      <c r="RIJ46" s="78"/>
      <c r="RIK46" s="78"/>
      <c r="RIL46" s="78"/>
      <c r="RIM46" s="78"/>
      <c r="RIN46" s="78"/>
      <c r="RIO46" s="78"/>
      <c r="RIP46" s="78"/>
      <c r="RIQ46" s="78"/>
      <c r="RIR46" s="78"/>
      <c r="RIS46" s="78"/>
      <c r="RIT46" s="78"/>
      <c r="RIU46" s="78"/>
      <c r="RIV46" s="78"/>
      <c r="RIW46" s="78"/>
      <c r="RIX46" s="78"/>
      <c r="RIY46" s="78"/>
      <c r="RIZ46" s="78"/>
      <c r="RJA46" s="78"/>
      <c r="RJB46" s="78"/>
      <c r="RJC46" s="78"/>
      <c r="RJD46" s="78"/>
      <c r="RJE46" s="78"/>
      <c r="RJF46" s="78"/>
      <c r="RJG46" s="78"/>
      <c r="RJH46" s="78"/>
      <c r="RJI46" s="78"/>
      <c r="RJJ46" s="78"/>
      <c r="RJK46" s="78"/>
      <c r="RJL46" s="78"/>
      <c r="RJM46" s="78"/>
      <c r="RJN46" s="78"/>
      <c r="RJO46" s="78"/>
      <c r="RJP46" s="78"/>
      <c r="RJQ46" s="78"/>
      <c r="RJR46" s="78"/>
      <c r="RJS46" s="78"/>
      <c r="RJT46" s="78"/>
      <c r="RJU46" s="78"/>
      <c r="RJV46" s="78"/>
      <c r="RJW46" s="78"/>
      <c r="RJX46" s="78"/>
      <c r="RJY46" s="78"/>
      <c r="RJZ46" s="78"/>
      <c r="RKA46" s="78"/>
      <c r="RKB46" s="78"/>
      <c r="RKC46" s="78"/>
      <c r="RKD46" s="78"/>
      <c r="RKE46" s="78"/>
      <c r="RKF46" s="78"/>
      <c r="RKG46" s="78"/>
      <c r="RKH46" s="78"/>
      <c r="RKI46" s="78"/>
      <c r="RKJ46" s="78"/>
      <c r="RKK46" s="78"/>
      <c r="RKL46" s="78"/>
      <c r="RKM46" s="78"/>
      <c r="RKN46" s="78"/>
      <c r="RKO46" s="78"/>
      <c r="RKP46" s="78"/>
      <c r="RKQ46" s="78"/>
      <c r="RKR46" s="78"/>
      <c r="RKS46" s="78"/>
      <c r="RKT46" s="78"/>
      <c r="RKU46" s="78"/>
      <c r="RKV46" s="78"/>
      <c r="RKW46" s="78"/>
      <c r="RKX46" s="78"/>
      <c r="RKY46" s="78"/>
      <c r="RKZ46" s="78"/>
      <c r="RLA46" s="78"/>
      <c r="RLB46" s="78"/>
      <c r="RLC46" s="78"/>
      <c r="RLD46" s="78"/>
      <c r="RLE46" s="78"/>
      <c r="RLF46" s="78"/>
      <c r="RLG46" s="78"/>
      <c r="RLH46" s="78"/>
      <c r="RLI46" s="78"/>
      <c r="RLJ46" s="78"/>
      <c r="RLK46" s="78"/>
      <c r="RLL46" s="78"/>
      <c r="RLM46" s="78"/>
      <c r="RLN46" s="78"/>
      <c r="RLO46" s="78"/>
      <c r="RLP46" s="78"/>
      <c r="RLQ46" s="78"/>
      <c r="RLR46" s="78"/>
      <c r="RLS46" s="78"/>
      <c r="RLT46" s="78"/>
      <c r="RLU46" s="78"/>
      <c r="RLV46" s="78"/>
      <c r="RLW46" s="78"/>
      <c r="RLX46" s="78"/>
      <c r="RLY46" s="78"/>
      <c r="RLZ46" s="78"/>
      <c r="RMA46" s="78"/>
      <c r="RMB46" s="78"/>
      <c r="RMC46" s="78"/>
      <c r="RMD46" s="78"/>
      <c r="RME46" s="78"/>
      <c r="RMF46" s="78"/>
      <c r="RMG46" s="78"/>
      <c r="RMH46" s="78"/>
      <c r="RMI46" s="78"/>
      <c r="RMJ46" s="78"/>
      <c r="RMK46" s="78"/>
      <c r="RML46" s="78"/>
      <c r="RMM46" s="78"/>
      <c r="RMN46" s="78"/>
      <c r="RMO46" s="78"/>
      <c r="RMP46" s="78"/>
      <c r="RMQ46" s="78"/>
      <c r="RMR46" s="78"/>
      <c r="RMS46" s="78"/>
      <c r="RMT46" s="78"/>
      <c r="RMU46" s="78"/>
      <c r="RMV46" s="78"/>
      <c r="RMW46" s="78"/>
      <c r="RMX46" s="78"/>
      <c r="RMY46" s="78"/>
      <c r="RMZ46" s="78"/>
      <c r="RNA46" s="78"/>
      <c r="RNB46" s="78"/>
      <c r="RNC46" s="78"/>
      <c r="RND46" s="78"/>
      <c r="RNE46" s="78"/>
      <c r="RNF46" s="78"/>
      <c r="RNG46" s="78"/>
      <c r="RNH46" s="78"/>
      <c r="RNI46" s="78"/>
      <c r="RNJ46" s="78"/>
      <c r="RNK46" s="78"/>
      <c r="RNL46" s="78"/>
      <c r="RNM46" s="78"/>
      <c r="RNN46" s="78"/>
      <c r="RNO46" s="78"/>
      <c r="RNP46" s="78"/>
      <c r="RNQ46" s="78"/>
      <c r="RNR46" s="78"/>
      <c r="RNS46" s="78"/>
      <c r="RNT46" s="78"/>
      <c r="RNU46" s="78"/>
      <c r="RNV46" s="78"/>
      <c r="RNW46" s="78"/>
      <c r="RNX46" s="78"/>
      <c r="RNY46" s="78"/>
      <c r="RNZ46" s="78"/>
      <c r="ROA46" s="78"/>
      <c r="ROB46" s="78"/>
      <c r="ROC46" s="78"/>
      <c r="ROD46" s="78"/>
      <c r="ROE46" s="78"/>
      <c r="ROF46" s="78"/>
      <c r="ROG46" s="78"/>
      <c r="ROH46" s="78"/>
      <c r="ROI46" s="78"/>
      <c r="ROJ46" s="78"/>
      <c r="ROK46" s="78"/>
      <c r="ROL46" s="78"/>
      <c r="ROM46" s="78"/>
      <c r="RON46" s="78"/>
      <c r="ROO46" s="78"/>
      <c r="ROP46" s="78"/>
      <c r="ROQ46" s="78"/>
      <c r="ROR46" s="78"/>
      <c r="ROS46" s="78"/>
      <c r="ROT46" s="78"/>
      <c r="ROU46" s="78"/>
      <c r="ROV46" s="78"/>
      <c r="ROW46" s="78"/>
      <c r="ROX46" s="78"/>
      <c r="ROY46" s="78"/>
      <c r="ROZ46" s="78"/>
      <c r="RPA46" s="78"/>
      <c r="RPB46" s="78"/>
      <c r="RPC46" s="78"/>
      <c r="RPD46" s="78"/>
      <c r="RPE46" s="78"/>
      <c r="RPF46" s="78"/>
      <c r="RPG46" s="78"/>
      <c r="RPH46" s="78"/>
      <c r="RPI46" s="78"/>
      <c r="RPJ46" s="78"/>
      <c r="RPK46" s="78"/>
      <c r="RPL46" s="78"/>
      <c r="RPM46" s="78"/>
      <c r="RPN46" s="78"/>
      <c r="RPO46" s="78"/>
      <c r="RPP46" s="78"/>
      <c r="RPQ46" s="78"/>
      <c r="RPR46" s="78"/>
      <c r="RPS46" s="78"/>
      <c r="RPT46" s="78"/>
      <c r="RPU46" s="78"/>
      <c r="RPV46" s="78"/>
      <c r="RPW46" s="78"/>
      <c r="RPX46" s="78"/>
      <c r="RPY46" s="78"/>
      <c r="RPZ46" s="78"/>
      <c r="RQA46" s="78"/>
      <c r="RQB46" s="78"/>
      <c r="RQC46" s="78"/>
      <c r="RQD46" s="78"/>
      <c r="RQE46" s="78"/>
      <c r="RQF46" s="78"/>
      <c r="RQG46" s="78"/>
      <c r="RQH46" s="78"/>
      <c r="RQI46" s="78"/>
      <c r="RQJ46" s="78"/>
      <c r="RQK46" s="78"/>
      <c r="RQL46" s="78"/>
      <c r="RQM46" s="78"/>
      <c r="RQN46" s="78"/>
      <c r="RQO46" s="78"/>
      <c r="RQP46" s="78"/>
      <c r="RQQ46" s="78"/>
      <c r="RQR46" s="78"/>
      <c r="RQS46" s="78"/>
      <c r="RQT46" s="78"/>
      <c r="RQU46" s="78"/>
      <c r="RQV46" s="78"/>
      <c r="RQW46" s="78"/>
      <c r="RQX46" s="78"/>
      <c r="RQY46" s="78"/>
      <c r="RQZ46" s="78"/>
      <c r="RRA46" s="78"/>
      <c r="RRB46" s="78"/>
      <c r="RRC46" s="78"/>
      <c r="RRD46" s="78"/>
      <c r="RRE46" s="78"/>
      <c r="RRF46" s="78"/>
      <c r="RRG46" s="78"/>
      <c r="RRH46" s="78"/>
      <c r="RRI46" s="78"/>
      <c r="RRJ46" s="78"/>
      <c r="RRK46" s="78"/>
      <c r="RRL46" s="78"/>
      <c r="RRM46" s="78"/>
      <c r="RRN46" s="78"/>
      <c r="RRO46" s="78"/>
      <c r="RRP46" s="78"/>
      <c r="RRQ46" s="78"/>
      <c r="RRR46" s="78"/>
      <c r="RRS46" s="78"/>
      <c r="RRT46" s="78"/>
      <c r="RRU46" s="78"/>
      <c r="RRV46" s="78"/>
      <c r="RRW46" s="78"/>
      <c r="RRX46" s="78"/>
      <c r="RRY46" s="78"/>
      <c r="RRZ46" s="78"/>
      <c r="RSA46" s="78"/>
      <c r="RSB46" s="78"/>
      <c r="RSC46" s="78"/>
      <c r="RSD46" s="78"/>
      <c r="RSE46" s="78"/>
      <c r="RSF46" s="78"/>
      <c r="RSG46" s="78"/>
      <c r="RSH46" s="78"/>
      <c r="RSI46" s="78"/>
      <c r="RSJ46" s="78"/>
      <c r="RSK46" s="78"/>
      <c r="RSL46" s="78"/>
      <c r="RSM46" s="78"/>
      <c r="RSN46" s="78"/>
      <c r="RSO46" s="78"/>
      <c r="RSP46" s="78"/>
      <c r="RSQ46" s="78"/>
      <c r="RSR46" s="78"/>
      <c r="RSS46" s="78"/>
      <c r="RST46" s="78"/>
      <c r="RSU46" s="78"/>
      <c r="RSV46" s="78"/>
      <c r="RSW46" s="78"/>
      <c r="RSX46" s="78"/>
      <c r="RSY46" s="78"/>
      <c r="RSZ46" s="78"/>
      <c r="RTA46" s="78"/>
      <c r="RTB46" s="78"/>
      <c r="RTC46" s="78"/>
      <c r="RTD46" s="78"/>
      <c r="RTE46" s="78"/>
      <c r="RTF46" s="78"/>
      <c r="RTG46" s="78"/>
      <c r="RTH46" s="78"/>
      <c r="RTI46" s="78"/>
      <c r="RTJ46" s="78"/>
      <c r="RTK46" s="78"/>
      <c r="RTL46" s="78"/>
      <c r="RTM46" s="78"/>
      <c r="RTN46" s="78"/>
      <c r="RTO46" s="78"/>
      <c r="RTP46" s="78"/>
      <c r="RTQ46" s="78"/>
      <c r="RTR46" s="78"/>
      <c r="RTS46" s="78"/>
      <c r="RTT46" s="78"/>
      <c r="RTU46" s="78"/>
      <c r="RTV46" s="78"/>
      <c r="RTW46" s="78"/>
      <c r="RTX46" s="78"/>
      <c r="RTY46" s="78"/>
      <c r="RTZ46" s="78"/>
      <c r="RUA46" s="78"/>
      <c r="RUB46" s="78"/>
      <c r="RUC46" s="78"/>
      <c r="RUD46" s="78"/>
      <c r="RUE46" s="78"/>
      <c r="RUF46" s="78"/>
      <c r="RUG46" s="78"/>
      <c r="RUH46" s="78"/>
      <c r="RUI46" s="78"/>
      <c r="RUJ46" s="78"/>
      <c r="RUK46" s="78"/>
      <c r="RUL46" s="78"/>
      <c r="RUM46" s="78"/>
      <c r="RUN46" s="78"/>
      <c r="RUO46" s="78"/>
      <c r="RUP46" s="78"/>
      <c r="RUQ46" s="78"/>
      <c r="RUR46" s="78"/>
      <c r="RUS46" s="78"/>
      <c r="RUT46" s="78"/>
      <c r="RUU46" s="78"/>
      <c r="RUV46" s="78"/>
      <c r="RUW46" s="78"/>
      <c r="RUX46" s="78"/>
      <c r="RUY46" s="78"/>
      <c r="RUZ46" s="78"/>
      <c r="RVA46" s="78"/>
      <c r="RVB46" s="78"/>
      <c r="RVC46" s="78"/>
      <c r="RVD46" s="78"/>
      <c r="RVE46" s="78"/>
      <c r="RVF46" s="78"/>
      <c r="RVG46" s="78"/>
      <c r="RVH46" s="78"/>
      <c r="RVI46" s="78"/>
      <c r="RVJ46" s="78"/>
      <c r="RVK46" s="78"/>
      <c r="RVL46" s="78"/>
      <c r="RVM46" s="78"/>
      <c r="RVN46" s="78"/>
      <c r="RVO46" s="78"/>
      <c r="RVP46" s="78"/>
      <c r="RVQ46" s="78"/>
      <c r="RVR46" s="78"/>
      <c r="RVS46" s="78"/>
      <c r="RVT46" s="78"/>
      <c r="RVU46" s="78"/>
      <c r="RVV46" s="78"/>
      <c r="RVW46" s="78"/>
      <c r="RVX46" s="78"/>
      <c r="RVY46" s="78"/>
      <c r="RVZ46" s="78"/>
      <c r="RWA46" s="78"/>
      <c r="RWB46" s="78"/>
      <c r="RWC46" s="78"/>
      <c r="RWD46" s="78"/>
      <c r="RWE46" s="78"/>
      <c r="RWF46" s="78"/>
      <c r="RWG46" s="78"/>
      <c r="RWH46" s="78"/>
      <c r="RWI46" s="78"/>
      <c r="RWJ46" s="78"/>
      <c r="RWK46" s="78"/>
      <c r="RWL46" s="78"/>
      <c r="RWM46" s="78"/>
      <c r="RWN46" s="78"/>
      <c r="RWO46" s="78"/>
      <c r="RWP46" s="78"/>
      <c r="RWQ46" s="78"/>
      <c r="RWR46" s="78"/>
      <c r="RWS46" s="78"/>
      <c r="RWT46" s="78"/>
      <c r="RWU46" s="78"/>
      <c r="RWV46" s="78"/>
      <c r="RWW46" s="78"/>
      <c r="RWX46" s="78"/>
      <c r="RWY46" s="78"/>
      <c r="RWZ46" s="78"/>
      <c r="RXA46" s="78"/>
      <c r="RXB46" s="78"/>
      <c r="RXC46" s="78"/>
      <c r="RXD46" s="78"/>
      <c r="RXE46" s="78"/>
      <c r="RXF46" s="78"/>
      <c r="RXG46" s="78"/>
      <c r="RXH46" s="78"/>
      <c r="RXI46" s="78"/>
      <c r="RXJ46" s="78"/>
      <c r="RXK46" s="78"/>
      <c r="RXL46" s="78"/>
      <c r="RXM46" s="78"/>
      <c r="RXN46" s="78"/>
      <c r="RXO46" s="78"/>
      <c r="RXP46" s="78"/>
      <c r="RXQ46" s="78"/>
      <c r="RXR46" s="78"/>
      <c r="RXS46" s="78"/>
      <c r="RXT46" s="78"/>
      <c r="RXU46" s="78"/>
      <c r="RXV46" s="78"/>
      <c r="RXW46" s="78"/>
      <c r="RXX46" s="78"/>
      <c r="RXY46" s="78"/>
      <c r="RXZ46" s="78"/>
      <c r="RYA46" s="78"/>
      <c r="RYB46" s="78"/>
      <c r="RYC46" s="78"/>
      <c r="RYD46" s="78"/>
      <c r="RYE46" s="78"/>
      <c r="RYF46" s="78"/>
      <c r="RYG46" s="78"/>
      <c r="RYH46" s="78"/>
      <c r="RYI46" s="78"/>
      <c r="RYJ46" s="78"/>
      <c r="RYK46" s="78"/>
      <c r="RYL46" s="78"/>
      <c r="RYM46" s="78"/>
      <c r="RYN46" s="78"/>
      <c r="RYO46" s="78"/>
      <c r="RYP46" s="78"/>
      <c r="RYQ46" s="78"/>
      <c r="RYR46" s="78"/>
      <c r="RYS46" s="78"/>
      <c r="RYT46" s="78"/>
      <c r="RYU46" s="78"/>
      <c r="RYV46" s="78"/>
      <c r="RYW46" s="78"/>
      <c r="RYX46" s="78"/>
      <c r="RYY46" s="78"/>
      <c r="RYZ46" s="78"/>
      <c r="RZA46" s="78"/>
      <c r="RZB46" s="78"/>
      <c r="RZC46" s="78"/>
      <c r="RZD46" s="78"/>
      <c r="RZE46" s="78"/>
      <c r="RZF46" s="78"/>
      <c r="RZG46" s="78"/>
      <c r="RZH46" s="78"/>
      <c r="RZI46" s="78"/>
      <c r="RZJ46" s="78"/>
      <c r="RZK46" s="78"/>
      <c r="RZL46" s="78"/>
      <c r="RZM46" s="78"/>
      <c r="RZN46" s="78"/>
      <c r="RZO46" s="78"/>
      <c r="RZP46" s="78"/>
      <c r="RZQ46" s="78"/>
      <c r="RZR46" s="78"/>
      <c r="RZS46" s="78"/>
      <c r="RZT46" s="78"/>
      <c r="RZU46" s="78"/>
      <c r="RZV46" s="78"/>
      <c r="RZW46" s="78"/>
      <c r="RZX46" s="78"/>
      <c r="RZY46" s="78"/>
      <c r="RZZ46" s="78"/>
      <c r="SAA46" s="78"/>
      <c r="SAB46" s="78"/>
      <c r="SAC46" s="78"/>
      <c r="SAD46" s="78"/>
      <c r="SAE46" s="78"/>
      <c r="SAF46" s="78"/>
      <c r="SAG46" s="78"/>
      <c r="SAH46" s="78"/>
      <c r="SAI46" s="78"/>
      <c r="SAJ46" s="78"/>
      <c r="SAK46" s="78"/>
      <c r="SAL46" s="78"/>
      <c r="SAM46" s="78"/>
      <c r="SAN46" s="78"/>
      <c r="SAO46" s="78"/>
      <c r="SAP46" s="78"/>
      <c r="SAQ46" s="78"/>
      <c r="SAR46" s="78"/>
      <c r="SAS46" s="78"/>
      <c r="SAT46" s="78"/>
      <c r="SAU46" s="78"/>
      <c r="SAV46" s="78"/>
      <c r="SAW46" s="78"/>
      <c r="SAX46" s="78"/>
      <c r="SAY46" s="78"/>
      <c r="SAZ46" s="78"/>
      <c r="SBA46" s="78"/>
      <c r="SBB46" s="78"/>
      <c r="SBC46" s="78"/>
      <c r="SBD46" s="78"/>
      <c r="SBE46" s="78"/>
      <c r="SBF46" s="78"/>
      <c r="SBG46" s="78"/>
      <c r="SBH46" s="78"/>
      <c r="SBI46" s="78"/>
      <c r="SBJ46" s="78"/>
      <c r="SBK46" s="78"/>
      <c r="SBL46" s="78"/>
      <c r="SBM46" s="78"/>
      <c r="SBN46" s="78"/>
      <c r="SBO46" s="78"/>
      <c r="SBP46" s="78"/>
      <c r="SBQ46" s="78"/>
      <c r="SBR46" s="78"/>
      <c r="SBS46" s="78"/>
      <c r="SBT46" s="78"/>
      <c r="SBU46" s="78"/>
      <c r="SBV46" s="78"/>
      <c r="SBW46" s="78"/>
      <c r="SBX46" s="78"/>
      <c r="SBY46" s="78"/>
      <c r="SBZ46" s="78"/>
      <c r="SCA46" s="78"/>
      <c r="SCB46" s="78"/>
      <c r="SCC46" s="78"/>
      <c r="SCD46" s="78"/>
      <c r="SCE46" s="78"/>
      <c r="SCF46" s="78"/>
      <c r="SCG46" s="78"/>
      <c r="SCH46" s="78"/>
      <c r="SCI46" s="78"/>
      <c r="SCJ46" s="78"/>
      <c r="SCK46" s="78"/>
      <c r="SCL46" s="78"/>
      <c r="SCM46" s="78"/>
      <c r="SCN46" s="78"/>
      <c r="SCO46" s="78"/>
      <c r="SCP46" s="78"/>
      <c r="SCQ46" s="78"/>
      <c r="SCR46" s="78"/>
      <c r="SCS46" s="78"/>
      <c r="SCT46" s="78"/>
      <c r="SCU46" s="78"/>
      <c r="SCV46" s="78"/>
      <c r="SCW46" s="78"/>
      <c r="SCX46" s="78"/>
      <c r="SCY46" s="78"/>
      <c r="SCZ46" s="78"/>
      <c r="SDA46" s="78"/>
      <c r="SDB46" s="78"/>
      <c r="SDC46" s="78"/>
      <c r="SDD46" s="78"/>
      <c r="SDE46" s="78"/>
      <c r="SDF46" s="78"/>
      <c r="SDG46" s="78"/>
      <c r="SDH46" s="78"/>
      <c r="SDI46" s="78"/>
      <c r="SDJ46" s="78"/>
      <c r="SDK46" s="78"/>
      <c r="SDL46" s="78"/>
      <c r="SDM46" s="78"/>
      <c r="SDN46" s="78"/>
      <c r="SDO46" s="78"/>
      <c r="SDP46" s="78"/>
      <c r="SDQ46" s="78"/>
      <c r="SDR46" s="78"/>
      <c r="SDS46" s="78"/>
      <c r="SDT46" s="78"/>
      <c r="SDU46" s="78"/>
      <c r="SDV46" s="78"/>
      <c r="SDW46" s="78"/>
      <c r="SDX46" s="78"/>
      <c r="SDY46" s="78"/>
      <c r="SDZ46" s="78"/>
      <c r="SEA46" s="78"/>
      <c r="SEB46" s="78"/>
      <c r="SEC46" s="78"/>
      <c r="SED46" s="78"/>
      <c r="SEE46" s="78"/>
      <c r="SEF46" s="78"/>
      <c r="SEG46" s="78"/>
      <c r="SEH46" s="78"/>
      <c r="SEI46" s="78"/>
      <c r="SEJ46" s="78"/>
      <c r="SEK46" s="78"/>
      <c r="SEL46" s="78"/>
      <c r="SEM46" s="78"/>
      <c r="SEN46" s="78"/>
      <c r="SEO46" s="78"/>
      <c r="SEP46" s="78"/>
      <c r="SEQ46" s="78"/>
      <c r="SER46" s="78"/>
      <c r="SES46" s="78"/>
      <c r="SET46" s="78"/>
      <c r="SEU46" s="78"/>
      <c r="SEV46" s="78"/>
      <c r="SEW46" s="78"/>
      <c r="SEX46" s="78"/>
      <c r="SEY46" s="78"/>
      <c r="SEZ46" s="78"/>
      <c r="SFA46" s="78"/>
      <c r="SFB46" s="78"/>
      <c r="SFC46" s="78"/>
      <c r="SFD46" s="78"/>
      <c r="SFE46" s="78"/>
      <c r="SFF46" s="78"/>
      <c r="SFG46" s="78"/>
      <c r="SFH46" s="78"/>
      <c r="SFI46" s="78"/>
      <c r="SFJ46" s="78"/>
      <c r="SFK46" s="78"/>
      <c r="SFL46" s="78"/>
      <c r="SFM46" s="78"/>
      <c r="SFN46" s="78"/>
      <c r="SFO46" s="78"/>
      <c r="SFP46" s="78"/>
      <c r="SFQ46" s="78"/>
      <c r="SFR46" s="78"/>
      <c r="SFS46" s="78"/>
      <c r="SFT46" s="78"/>
      <c r="SFU46" s="78"/>
      <c r="SFV46" s="78"/>
      <c r="SFW46" s="78"/>
      <c r="SFX46" s="78"/>
      <c r="SFY46" s="78"/>
      <c r="SFZ46" s="78"/>
      <c r="SGA46" s="78"/>
      <c r="SGB46" s="78"/>
      <c r="SGC46" s="78"/>
      <c r="SGD46" s="78"/>
      <c r="SGE46" s="78"/>
      <c r="SGF46" s="78"/>
      <c r="SGG46" s="78"/>
      <c r="SGH46" s="78"/>
      <c r="SGI46" s="78"/>
      <c r="SGJ46" s="78"/>
      <c r="SGK46" s="78"/>
      <c r="SGL46" s="78"/>
      <c r="SGM46" s="78"/>
      <c r="SGN46" s="78"/>
      <c r="SGO46" s="78"/>
      <c r="SGP46" s="78"/>
      <c r="SGQ46" s="78"/>
      <c r="SGR46" s="78"/>
      <c r="SGS46" s="78"/>
      <c r="SGT46" s="78"/>
      <c r="SGU46" s="78"/>
      <c r="SGV46" s="78"/>
      <c r="SGW46" s="78"/>
      <c r="SGX46" s="78"/>
      <c r="SGY46" s="78"/>
      <c r="SGZ46" s="78"/>
      <c r="SHA46" s="78"/>
      <c r="SHB46" s="78"/>
      <c r="SHC46" s="78"/>
      <c r="SHD46" s="78"/>
      <c r="SHE46" s="78"/>
      <c r="SHF46" s="78"/>
      <c r="SHG46" s="78"/>
      <c r="SHH46" s="78"/>
      <c r="SHI46" s="78"/>
      <c r="SHJ46" s="78"/>
      <c r="SHK46" s="78"/>
      <c r="SHL46" s="78"/>
      <c r="SHM46" s="78"/>
      <c r="SHN46" s="78"/>
      <c r="SHO46" s="78"/>
      <c r="SHP46" s="78"/>
      <c r="SHQ46" s="78"/>
      <c r="SHR46" s="78"/>
      <c r="SHS46" s="78"/>
      <c r="SHT46" s="78"/>
      <c r="SHU46" s="78"/>
      <c r="SHV46" s="78"/>
      <c r="SHW46" s="78"/>
      <c r="SHX46" s="78"/>
      <c r="SHY46" s="78"/>
      <c r="SHZ46" s="78"/>
      <c r="SIA46" s="78"/>
      <c r="SIB46" s="78"/>
      <c r="SIC46" s="78"/>
      <c r="SID46" s="78"/>
      <c r="SIE46" s="78"/>
      <c r="SIF46" s="78"/>
      <c r="SIG46" s="78"/>
      <c r="SIH46" s="78"/>
      <c r="SII46" s="78"/>
      <c r="SIJ46" s="78"/>
      <c r="SIK46" s="78"/>
      <c r="SIL46" s="78"/>
      <c r="SIM46" s="78"/>
      <c r="SIN46" s="78"/>
      <c r="SIO46" s="78"/>
      <c r="SIP46" s="78"/>
      <c r="SIQ46" s="78"/>
      <c r="SIR46" s="78"/>
      <c r="SIS46" s="78"/>
      <c r="SIT46" s="78"/>
      <c r="SIU46" s="78"/>
      <c r="SIV46" s="78"/>
      <c r="SIW46" s="78"/>
      <c r="SIX46" s="78"/>
      <c r="SIY46" s="78"/>
      <c r="SIZ46" s="78"/>
      <c r="SJA46" s="78"/>
      <c r="SJB46" s="78"/>
      <c r="SJC46" s="78"/>
      <c r="SJD46" s="78"/>
      <c r="SJE46" s="78"/>
      <c r="SJF46" s="78"/>
      <c r="SJG46" s="78"/>
      <c r="SJH46" s="78"/>
      <c r="SJI46" s="78"/>
      <c r="SJJ46" s="78"/>
      <c r="SJK46" s="78"/>
      <c r="SJL46" s="78"/>
      <c r="SJM46" s="78"/>
      <c r="SJN46" s="78"/>
      <c r="SJO46" s="78"/>
      <c r="SJP46" s="78"/>
      <c r="SJQ46" s="78"/>
      <c r="SJR46" s="78"/>
      <c r="SJS46" s="78"/>
      <c r="SJT46" s="78"/>
      <c r="SJU46" s="78"/>
      <c r="SJV46" s="78"/>
      <c r="SJW46" s="78"/>
      <c r="SJX46" s="78"/>
      <c r="SJY46" s="78"/>
      <c r="SJZ46" s="78"/>
      <c r="SKA46" s="78"/>
      <c r="SKB46" s="78"/>
      <c r="SKC46" s="78"/>
      <c r="SKD46" s="78"/>
      <c r="SKE46" s="78"/>
      <c r="SKF46" s="78"/>
      <c r="SKG46" s="78"/>
      <c r="SKH46" s="78"/>
      <c r="SKI46" s="78"/>
      <c r="SKJ46" s="78"/>
      <c r="SKK46" s="78"/>
      <c r="SKL46" s="78"/>
      <c r="SKM46" s="78"/>
      <c r="SKN46" s="78"/>
      <c r="SKO46" s="78"/>
      <c r="SKP46" s="78"/>
      <c r="SKQ46" s="78"/>
      <c r="SKR46" s="78"/>
      <c r="SKS46" s="78"/>
      <c r="SKT46" s="78"/>
      <c r="SKU46" s="78"/>
      <c r="SKV46" s="78"/>
      <c r="SKW46" s="78"/>
      <c r="SKX46" s="78"/>
      <c r="SKY46" s="78"/>
      <c r="SKZ46" s="78"/>
      <c r="SLA46" s="78"/>
      <c r="SLB46" s="78"/>
      <c r="SLC46" s="78"/>
      <c r="SLD46" s="78"/>
      <c r="SLE46" s="78"/>
      <c r="SLF46" s="78"/>
      <c r="SLG46" s="78"/>
      <c r="SLH46" s="78"/>
      <c r="SLI46" s="78"/>
      <c r="SLJ46" s="78"/>
      <c r="SLK46" s="78"/>
      <c r="SLL46" s="78"/>
      <c r="SLM46" s="78"/>
      <c r="SLN46" s="78"/>
      <c r="SLO46" s="78"/>
      <c r="SLP46" s="78"/>
      <c r="SLQ46" s="78"/>
      <c r="SLR46" s="78"/>
      <c r="SLS46" s="78"/>
      <c r="SLT46" s="78"/>
      <c r="SLU46" s="78"/>
      <c r="SLV46" s="78"/>
      <c r="SLW46" s="78"/>
      <c r="SLX46" s="78"/>
      <c r="SLY46" s="78"/>
      <c r="SLZ46" s="78"/>
      <c r="SMA46" s="78"/>
      <c r="SMB46" s="78"/>
      <c r="SMC46" s="78"/>
      <c r="SMD46" s="78"/>
      <c r="SME46" s="78"/>
      <c r="SMF46" s="78"/>
      <c r="SMG46" s="78"/>
      <c r="SMH46" s="78"/>
      <c r="SMI46" s="78"/>
      <c r="SMJ46" s="78"/>
      <c r="SMK46" s="78"/>
      <c r="SML46" s="78"/>
      <c r="SMM46" s="78"/>
      <c r="SMN46" s="78"/>
      <c r="SMO46" s="78"/>
      <c r="SMP46" s="78"/>
      <c r="SMQ46" s="78"/>
      <c r="SMR46" s="78"/>
      <c r="SMS46" s="78"/>
      <c r="SMT46" s="78"/>
      <c r="SMU46" s="78"/>
      <c r="SMV46" s="78"/>
      <c r="SMW46" s="78"/>
      <c r="SMX46" s="78"/>
      <c r="SMY46" s="78"/>
      <c r="SMZ46" s="78"/>
      <c r="SNA46" s="78"/>
      <c r="SNB46" s="78"/>
      <c r="SNC46" s="78"/>
      <c r="SND46" s="78"/>
      <c r="SNE46" s="78"/>
      <c r="SNF46" s="78"/>
      <c r="SNG46" s="78"/>
      <c r="SNH46" s="78"/>
      <c r="SNI46" s="78"/>
      <c r="SNJ46" s="78"/>
      <c r="SNK46" s="78"/>
      <c r="SNL46" s="78"/>
      <c r="SNM46" s="78"/>
      <c r="SNN46" s="78"/>
      <c r="SNO46" s="78"/>
      <c r="SNP46" s="78"/>
      <c r="SNQ46" s="78"/>
      <c r="SNR46" s="78"/>
      <c r="SNS46" s="78"/>
      <c r="SNT46" s="78"/>
      <c r="SNU46" s="78"/>
      <c r="SNV46" s="78"/>
      <c r="SNW46" s="78"/>
      <c r="SNX46" s="78"/>
      <c r="SNY46" s="78"/>
      <c r="SNZ46" s="78"/>
      <c r="SOA46" s="78"/>
      <c r="SOB46" s="78"/>
      <c r="SOC46" s="78"/>
      <c r="SOD46" s="78"/>
      <c r="SOE46" s="78"/>
      <c r="SOF46" s="78"/>
      <c r="SOG46" s="78"/>
      <c r="SOH46" s="78"/>
      <c r="SOI46" s="78"/>
      <c r="SOJ46" s="78"/>
      <c r="SOK46" s="78"/>
      <c r="SOL46" s="78"/>
      <c r="SOM46" s="78"/>
      <c r="SON46" s="78"/>
      <c r="SOO46" s="78"/>
      <c r="SOP46" s="78"/>
      <c r="SOQ46" s="78"/>
      <c r="SOR46" s="78"/>
      <c r="SOS46" s="78"/>
      <c r="SOT46" s="78"/>
      <c r="SOU46" s="78"/>
      <c r="SOV46" s="78"/>
      <c r="SOW46" s="78"/>
      <c r="SOX46" s="78"/>
      <c r="SOY46" s="78"/>
      <c r="SOZ46" s="78"/>
      <c r="SPA46" s="78"/>
      <c r="SPB46" s="78"/>
      <c r="SPC46" s="78"/>
      <c r="SPD46" s="78"/>
      <c r="SPE46" s="78"/>
      <c r="SPF46" s="78"/>
      <c r="SPG46" s="78"/>
      <c r="SPH46" s="78"/>
      <c r="SPI46" s="78"/>
      <c r="SPJ46" s="78"/>
      <c r="SPK46" s="78"/>
      <c r="SPL46" s="78"/>
      <c r="SPM46" s="78"/>
      <c r="SPN46" s="78"/>
      <c r="SPO46" s="78"/>
      <c r="SPP46" s="78"/>
      <c r="SPQ46" s="78"/>
      <c r="SPR46" s="78"/>
      <c r="SPS46" s="78"/>
      <c r="SPT46" s="78"/>
      <c r="SPU46" s="78"/>
      <c r="SPV46" s="78"/>
      <c r="SPW46" s="78"/>
      <c r="SPX46" s="78"/>
      <c r="SPY46" s="78"/>
      <c r="SPZ46" s="78"/>
      <c r="SQA46" s="78"/>
      <c r="SQB46" s="78"/>
      <c r="SQC46" s="78"/>
      <c r="SQD46" s="78"/>
      <c r="SQE46" s="78"/>
      <c r="SQF46" s="78"/>
      <c r="SQG46" s="78"/>
      <c r="SQH46" s="78"/>
      <c r="SQI46" s="78"/>
      <c r="SQJ46" s="78"/>
      <c r="SQK46" s="78"/>
      <c r="SQL46" s="78"/>
      <c r="SQM46" s="78"/>
      <c r="SQN46" s="78"/>
      <c r="SQO46" s="78"/>
      <c r="SQP46" s="78"/>
      <c r="SQQ46" s="78"/>
      <c r="SQR46" s="78"/>
      <c r="SQS46" s="78"/>
      <c r="SQT46" s="78"/>
      <c r="SQU46" s="78"/>
      <c r="SQV46" s="78"/>
      <c r="SQW46" s="78"/>
      <c r="SQX46" s="78"/>
      <c r="SQY46" s="78"/>
      <c r="SQZ46" s="78"/>
      <c r="SRA46" s="78"/>
      <c r="SRB46" s="78"/>
      <c r="SRC46" s="78"/>
      <c r="SRD46" s="78"/>
      <c r="SRE46" s="78"/>
      <c r="SRF46" s="78"/>
      <c r="SRG46" s="78"/>
      <c r="SRH46" s="78"/>
      <c r="SRI46" s="78"/>
      <c r="SRJ46" s="78"/>
      <c r="SRK46" s="78"/>
      <c r="SRL46" s="78"/>
      <c r="SRM46" s="78"/>
      <c r="SRN46" s="78"/>
      <c r="SRO46" s="78"/>
      <c r="SRP46" s="78"/>
      <c r="SRQ46" s="78"/>
      <c r="SRR46" s="78"/>
      <c r="SRS46" s="78"/>
      <c r="SRT46" s="78"/>
      <c r="SRU46" s="78"/>
      <c r="SRV46" s="78"/>
      <c r="SRW46" s="78"/>
      <c r="SRX46" s="78"/>
      <c r="SRY46" s="78"/>
      <c r="SRZ46" s="78"/>
      <c r="SSA46" s="78"/>
      <c r="SSB46" s="78"/>
      <c r="SSC46" s="78"/>
      <c r="SSD46" s="78"/>
      <c r="SSE46" s="78"/>
      <c r="SSF46" s="78"/>
      <c r="SSG46" s="78"/>
      <c r="SSH46" s="78"/>
      <c r="SSI46" s="78"/>
      <c r="SSJ46" s="78"/>
      <c r="SSK46" s="78"/>
      <c r="SSL46" s="78"/>
      <c r="SSM46" s="78"/>
      <c r="SSN46" s="78"/>
      <c r="SSO46" s="78"/>
      <c r="SSP46" s="78"/>
      <c r="SSQ46" s="78"/>
      <c r="SSR46" s="78"/>
      <c r="SSS46" s="78"/>
      <c r="SST46" s="78"/>
      <c r="SSU46" s="78"/>
      <c r="SSV46" s="78"/>
      <c r="SSW46" s="78"/>
      <c r="SSX46" s="78"/>
      <c r="SSY46" s="78"/>
      <c r="SSZ46" s="78"/>
      <c r="STA46" s="78"/>
      <c r="STB46" s="78"/>
      <c r="STC46" s="78"/>
      <c r="STD46" s="78"/>
      <c r="STE46" s="78"/>
      <c r="STF46" s="78"/>
      <c r="STG46" s="78"/>
      <c r="STH46" s="78"/>
      <c r="STI46" s="78"/>
      <c r="STJ46" s="78"/>
      <c r="STK46" s="78"/>
      <c r="STL46" s="78"/>
      <c r="STM46" s="78"/>
      <c r="STN46" s="78"/>
      <c r="STO46" s="78"/>
      <c r="STP46" s="78"/>
      <c r="STQ46" s="78"/>
      <c r="STR46" s="78"/>
      <c r="STS46" s="78"/>
      <c r="STT46" s="78"/>
      <c r="STU46" s="78"/>
      <c r="STV46" s="78"/>
      <c r="STW46" s="78"/>
      <c r="STX46" s="78"/>
      <c r="STY46" s="78"/>
      <c r="STZ46" s="78"/>
      <c r="SUA46" s="78"/>
      <c r="SUB46" s="78"/>
      <c r="SUC46" s="78"/>
      <c r="SUD46" s="78"/>
      <c r="SUE46" s="78"/>
      <c r="SUF46" s="78"/>
      <c r="SUG46" s="78"/>
      <c r="SUH46" s="78"/>
      <c r="SUI46" s="78"/>
      <c r="SUJ46" s="78"/>
      <c r="SUK46" s="78"/>
      <c r="SUL46" s="78"/>
      <c r="SUM46" s="78"/>
      <c r="SUN46" s="78"/>
      <c r="SUO46" s="78"/>
      <c r="SUP46" s="78"/>
      <c r="SUQ46" s="78"/>
      <c r="SUR46" s="78"/>
      <c r="SUS46" s="78"/>
      <c r="SUT46" s="78"/>
      <c r="SUU46" s="78"/>
      <c r="SUV46" s="78"/>
      <c r="SUW46" s="78"/>
      <c r="SUX46" s="78"/>
      <c r="SUY46" s="78"/>
      <c r="SUZ46" s="78"/>
      <c r="SVA46" s="78"/>
      <c r="SVB46" s="78"/>
      <c r="SVC46" s="78"/>
      <c r="SVD46" s="78"/>
      <c r="SVE46" s="78"/>
      <c r="SVF46" s="78"/>
      <c r="SVG46" s="78"/>
      <c r="SVH46" s="78"/>
      <c r="SVI46" s="78"/>
      <c r="SVJ46" s="78"/>
      <c r="SVK46" s="78"/>
      <c r="SVL46" s="78"/>
      <c r="SVM46" s="78"/>
      <c r="SVN46" s="78"/>
      <c r="SVO46" s="78"/>
      <c r="SVP46" s="78"/>
      <c r="SVQ46" s="78"/>
      <c r="SVR46" s="78"/>
      <c r="SVS46" s="78"/>
      <c r="SVT46" s="78"/>
      <c r="SVU46" s="78"/>
      <c r="SVV46" s="78"/>
      <c r="SVW46" s="78"/>
      <c r="SVX46" s="78"/>
      <c r="SVY46" s="78"/>
      <c r="SVZ46" s="78"/>
      <c r="SWA46" s="78"/>
      <c r="SWB46" s="78"/>
      <c r="SWC46" s="78"/>
      <c r="SWD46" s="78"/>
      <c r="SWE46" s="78"/>
      <c r="SWF46" s="78"/>
      <c r="SWG46" s="78"/>
      <c r="SWH46" s="78"/>
      <c r="SWI46" s="78"/>
      <c r="SWJ46" s="78"/>
      <c r="SWK46" s="78"/>
      <c r="SWL46" s="78"/>
      <c r="SWM46" s="78"/>
      <c r="SWN46" s="78"/>
      <c r="SWO46" s="78"/>
      <c r="SWP46" s="78"/>
      <c r="SWQ46" s="78"/>
      <c r="SWR46" s="78"/>
      <c r="SWS46" s="78"/>
      <c r="SWT46" s="78"/>
      <c r="SWU46" s="78"/>
      <c r="SWV46" s="78"/>
      <c r="SWW46" s="78"/>
      <c r="SWX46" s="78"/>
      <c r="SWY46" s="78"/>
      <c r="SWZ46" s="78"/>
      <c r="SXA46" s="78"/>
      <c r="SXB46" s="78"/>
      <c r="SXC46" s="78"/>
      <c r="SXD46" s="78"/>
      <c r="SXE46" s="78"/>
      <c r="SXF46" s="78"/>
      <c r="SXG46" s="78"/>
      <c r="SXH46" s="78"/>
      <c r="SXI46" s="78"/>
      <c r="SXJ46" s="78"/>
      <c r="SXK46" s="78"/>
      <c r="SXL46" s="78"/>
      <c r="SXM46" s="78"/>
      <c r="SXN46" s="78"/>
      <c r="SXO46" s="78"/>
      <c r="SXP46" s="78"/>
      <c r="SXQ46" s="78"/>
      <c r="SXR46" s="78"/>
      <c r="SXS46" s="78"/>
      <c r="SXT46" s="78"/>
      <c r="SXU46" s="78"/>
      <c r="SXV46" s="78"/>
      <c r="SXW46" s="78"/>
      <c r="SXX46" s="78"/>
      <c r="SXY46" s="78"/>
      <c r="SXZ46" s="78"/>
      <c r="SYA46" s="78"/>
      <c r="SYB46" s="78"/>
      <c r="SYC46" s="78"/>
      <c r="SYD46" s="78"/>
      <c r="SYE46" s="78"/>
      <c r="SYF46" s="78"/>
      <c r="SYG46" s="78"/>
      <c r="SYH46" s="78"/>
      <c r="SYI46" s="78"/>
      <c r="SYJ46" s="78"/>
      <c r="SYK46" s="78"/>
      <c r="SYL46" s="78"/>
      <c r="SYM46" s="78"/>
      <c r="SYN46" s="78"/>
      <c r="SYO46" s="78"/>
      <c r="SYP46" s="78"/>
      <c r="SYQ46" s="78"/>
      <c r="SYR46" s="78"/>
      <c r="SYS46" s="78"/>
      <c r="SYT46" s="78"/>
      <c r="SYU46" s="78"/>
      <c r="SYV46" s="78"/>
      <c r="SYW46" s="78"/>
      <c r="SYX46" s="78"/>
      <c r="SYY46" s="78"/>
      <c r="SYZ46" s="78"/>
      <c r="SZA46" s="78"/>
      <c r="SZB46" s="78"/>
      <c r="SZC46" s="78"/>
      <c r="SZD46" s="78"/>
      <c r="SZE46" s="78"/>
      <c r="SZF46" s="78"/>
      <c r="SZG46" s="78"/>
      <c r="SZH46" s="78"/>
      <c r="SZI46" s="78"/>
      <c r="SZJ46" s="78"/>
      <c r="SZK46" s="78"/>
      <c r="SZL46" s="78"/>
      <c r="SZM46" s="78"/>
      <c r="SZN46" s="78"/>
      <c r="SZO46" s="78"/>
      <c r="SZP46" s="78"/>
      <c r="SZQ46" s="78"/>
      <c r="SZR46" s="78"/>
      <c r="SZS46" s="78"/>
      <c r="SZT46" s="78"/>
      <c r="SZU46" s="78"/>
      <c r="SZV46" s="78"/>
      <c r="SZW46" s="78"/>
      <c r="SZX46" s="78"/>
      <c r="SZY46" s="78"/>
      <c r="SZZ46" s="78"/>
      <c r="TAA46" s="78"/>
      <c r="TAB46" s="78"/>
      <c r="TAC46" s="78"/>
      <c r="TAD46" s="78"/>
      <c r="TAE46" s="78"/>
      <c r="TAF46" s="78"/>
      <c r="TAG46" s="78"/>
      <c r="TAH46" s="78"/>
      <c r="TAI46" s="78"/>
      <c r="TAJ46" s="78"/>
      <c r="TAK46" s="78"/>
      <c r="TAL46" s="78"/>
      <c r="TAM46" s="78"/>
      <c r="TAN46" s="78"/>
      <c r="TAO46" s="78"/>
      <c r="TAP46" s="78"/>
      <c r="TAQ46" s="78"/>
      <c r="TAR46" s="78"/>
      <c r="TAS46" s="78"/>
      <c r="TAT46" s="78"/>
      <c r="TAU46" s="78"/>
      <c r="TAV46" s="78"/>
      <c r="TAW46" s="78"/>
      <c r="TAX46" s="78"/>
      <c r="TAY46" s="78"/>
      <c r="TAZ46" s="78"/>
      <c r="TBA46" s="78"/>
      <c r="TBB46" s="78"/>
      <c r="TBC46" s="78"/>
      <c r="TBD46" s="78"/>
      <c r="TBE46" s="78"/>
      <c r="TBF46" s="78"/>
      <c r="TBG46" s="78"/>
      <c r="TBH46" s="78"/>
      <c r="TBI46" s="78"/>
      <c r="TBJ46" s="78"/>
      <c r="TBK46" s="78"/>
      <c r="TBL46" s="78"/>
      <c r="TBM46" s="78"/>
      <c r="TBN46" s="78"/>
      <c r="TBO46" s="78"/>
      <c r="TBP46" s="78"/>
      <c r="TBQ46" s="78"/>
      <c r="TBR46" s="78"/>
      <c r="TBS46" s="78"/>
      <c r="TBT46" s="78"/>
      <c r="TBU46" s="78"/>
      <c r="TBV46" s="78"/>
      <c r="TBW46" s="78"/>
      <c r="TBX46" s="78"/>
      <c r="TBY46" s="78"/>
      <c r="TBZ46" s="78"/>
      <c r="TCA46" s="78"/>
      <c r="TCB46" s="78"/>
      <c r="TCC46" s="78"/>
      <c r="TCD46" s="78"/>
      <c r="TCE46" s="78"/>
      <c r="TCF46" s="78"/>
      <c r="TCG46" s="78"/>
      <c r="TCH46" s="78"/>
      <c r="TCI46" s="78"/>
      <c r="TCJ46" s="78"/>
      <c r="TCK46" s="78"/>
      <c r="TCL46" s="78"/>
      <c r="TCM46" s="78"/>
      <c r="TCN46" s="78"/>
      <c r="TCO46" s="78"/>
      <c r="TCP46" s="78"/>
      <c r="TCQ46" s="78"/>
      <c r="TCR46" s="78"/>
      <c r="TCS46" s="78"/>
      <c r="TCT46" s="78"/>
      <c r="TCU46" s="78"/>
      <c r="TCV46" s="78"/>
      <c r="TCW46" s="78"/>
      <c r="TCX46" s="78"/>
      <c r="TCY46" s="78"/>
      <c r="TCZ46" s="78"/>
      <c r="TDA46" s="78"/>
      <c r="TDB46" s="78"/>
      <c r="TDC46" s="78"/>
      <c r="TDD46" s="78"/>
      <c r="TDE46" s="78"/>
      <c r="TDF46" s="78"/>
      <c r="TDG46" s="78"/>
      <c r="TDH46" s="78"/>
      <c r="TDI46" s="78"/>
      <c r="TDJ46" s="78"/>
      <c r="TDK46" s="78"/>
      <c r="TDL46" s="78"/>
      <c r="TDM46" s="78"/>
      <c r="TDN46" s="78"/>
      <c r="TDO46" s="78"/>
      <c r="TDP46" s="78"/>
      <c r="TDQ46" s="78"/>
      <c r="TDR46" s="78"/>
      <c r="TDS46" s="78"/>
      <c r="TDT46" s="78"/>
      <c r="TDU46" s="78"/>
      <c r="TDV46" s="78"/>
      <c r="TDW46" s="78"/>
      <c r="TDX46" s="78"/>
      <c r="TDY46" s="78"/>
      <c r="TDZ46" s="78"/>
      <c r="TEA46" s="78"/>
      <c r="TEB46" s="78"/>
      <c r="TEC46" s="78"/>
      <c r="TED46" s="78"/>
      <c r="TEE46" s="78"/>
      <c r="TEF46" s="78"/>
      <c r="TEG46" s="78"/>
      <c r="TEH46" s="78"/>
      <c r="TEI46" s="78"/>
      <c r="TEJ46" s="78"/>
      <c r="TEK46" s="78"/>
      <c r="TEL46" s="78"/>
      <c r="TEM46" s="78"/>
      <c r="TEN46" s="78"/>
      <c r="TEO46" s="78"/>
      <c r="TEP46" s="78"/>
      <c r="TEQ46" s="78"/>
      <c r="TER46" s="78"/>
      <c r="TES46" s="78"/>
      <c r="TET46" s="78"/>
      <c r="TEU46" s="78"/>
      <c r="TEV46" s="78"/>
      <c r="TEW46" s="78"/>
      <c r="TEX46" s="78"/>
      <c r="TEY46" s="78"/>
      <c r="TEZ46" s="78"/>
      <c r="TFA46" s="78"/>
      <c r="TFB46" s="78"/>
      <c r="TFC46" s="78"/>
      <c r="TFD46" s="78"/>
      <c r="TFE46" s="78"/>
      <c r="TFF46" s="78"/>
      <c r="TFG46" s="78"/>
      <c r="TFH46" s="78"/>
      <c r="TFI46" s="78"/>
      <c r="TFJ46" s="78"/>
      <c r="TFK46" s="78"/>
      <c r="TFL46" s="78"/>
      <c r="TFM46" s="78"/>
      <c r="TFN46" s="78"/>
      <c r="TFO46" s="78"/>
      <c r="TFP46" s="78"/>
      <c r="TFQ46" s="78"/>
      <c r="TFR46" s="78"/>
      <c r="TFS46" s="78"/>
      <c r="TFT46" s="78"/>
      <c r="TFU46" s="78"/>
      <c r="TFV46" s="78"/>
      <c r="TFW46" s="78"/>
      <c r="TFX46" s="78"/>
      <c r="TFY46" s="78"/>
      <c r="TFZ46" s="78"/>
      <c r="TGA46" s="78"/>
      <c r="TGB46" s="78"/>
      <c r="TGC46" s="78"/>
      <c r="TGD46" s="78"/>
      <c r="TGE46" s="78"/>
      <c r="TGF46" s="78"/>
      <c r="TGG46" s="78"/>
      <c r="TGH46" s="78"/>
      <c r="TGI46" s="78"/>
      <c r="TGJ46" s="78"/>
      <c r="TGK46" s="78"/>
      <c r="TGL46" s="78"/>
      <c r="TGM46" s="78"/>
      <c r="TGN46" s="78"/>
      <c r="TGO46" s="78"/>
      <c r="TGP46" s="78"/>
      <c r="TGQ46" s="78"/>
      <c r="TGR46" s="78"/>
      <c r="TGS46" s="78"/>
      <c r="TGT46" s="78"/>
      <c r="TGU46" s="78"/>
      <c r="TGV46" s="78"/>
      <c r="TGW46" s="78"/>
      <c r="TGX46" s="78"/>
      <c r="TGY46" s="78"/>
      <c r="TGZ46" s="78"/>
      <c r="THA46" s="78"/>
      <c r="THB46" s="78"/>
      <c r="THC46" s="78"/>
      <c r="THD46" s="78"/>
      <c r="THE46" s="78"/>
      <c r="THF46" s="78"/>
      <c r="THG46" s="78"/>
      <c r="THH46" s="78"/>
      <c r="THI46" s="78"/>
      <c r="THJ46" s="78"/>
      <c r="THK46" s="78"/>
      <c r="THL46" s="78"/>
      <c r="THM46" s="78"/>
      <c r="THN46" s="78"/>
      <c r="THO46" s="78"/>
      <c r="THP46" s="78"/>
      <c r="THQ46" s="78"/>
      <c r="THR46" s="78"/>
      <c r="THS46" s="78"/>
      <c r="THT46" s="78"/>
      <c r="THU46" s="78"/>
      <c r="THV46" s="78"/>
      <c r="THW46" s="78"/>
      <c r="THX46" s="78"/>
      <c r="THY46" s="78"/>
      <c r="THZ46" s="78"/>
      <c r="TIA46" s="78"/>
      <c r="TIB46" s="78"/>
      <c r="TIC46" s="78"/>
      <c r="TID46" s="78"/>
      <c r="TIE46" s="78"/>
      <c r="TIF46" s="78"/>
      <c r="TIG46" s="78"/>
      <c r="TIH46" s="78"/>
      <c r="TII46" s="78"/>
      <c r="TIJ46" s="78"/>
      <c r="TIK46" s="78"/>
      <c r="TIL46" s="78"/>
      <c r="TIM46" s="78"/>
      <c r="TIN46" s="78"/>
      <c r="TIO46" s="78"/>
      <c r="TIP46" s="78"/>
      <c r="TIQ46" s="78"/>
      <c r="TIR46" s="78"/>
      <c r="TIS46" s="78"/>
      <c r="TIT46" s="78"/>
      <c r="TIU46" s="78"/>
      <c r="TIV46" s="78"/>
      <c r="TIW46" s="78"/>
      <c r="TIX46" s="78"/>
      <c r="TIY46" s="78"/>
      <c r="TIZ46" s="78"/>
      <c r="TJA46" s="78"/>
      <c r="TJB46" s="78"/>
      <c r="TJC46" s="78"/>
      <c r="TJD46" s="78"/>
      <c r="TJE46" s="78"/>
      <c r="TJF46" s="78"/>
      <c r="TJG46" s="78"/>
      <c r="TJH46" s="78"/>
      <c r="TJI46" s="78"/>
      <c r="TJJ46" s="78"/>
      <c r="TJK46" s="78"/>
      <c r="TJL46" s="78"/>
      <c r="TJM46" s="78"/>
      <c r="TJN46" s="78"/>
      <c r="TJO46" s="78"/>
      <c r="TJP46" s="78"/>
      <c r="TJQ46" s="78"/>
      <c r="TJR46" s="78"/>
      <c r="TJS46" s="78"/>
      <c r="TJT46" s="78"/>
      <c r="TJU46" s="78"/>
      <c r="TJV46" s="78"/>
      <c r="TJW46" s="78"/>
      <c r="TJX46" s="78"/>
      <c r="TJY46" s="78"/>
      <c r="TJZ46" s="78"/>
      <c r="TKA46" s="78"/>
      <c r="TKB46" s="78"/>
      <c r="TKC46" s="78"/>
      <c r="TKD46" s="78"/>
      <c r="TKE46" s="78"/>
      <c r="TKF46" s="78"/>
      <c r="TKG46" s="78"/>
      <c r="TKH46" s="78"/>
      <c r="TKI46" s="78"/>
      <c r="TKJ46" s="78"/>
      <c r="TKK46" s="78"/>
      <c r="TKL46" s="78"/>
      <c r="TKM46" s="78"/>
      <c r="TKN46" s="78"/>
      <c r="TKO46" s="78"/>
      <c r="TKP46" s="78"/>
      <c r="TKQ46" s="78"/>
      <c r="TKR46" s="78"/>
      <c r="TKS46" s="78"/>
      <c r="TKT46" s="78"/>
      <c r="TKU46" s="78"/>
      <c r="TKV46" s="78"/>
      <c r="TKW46" s="78"/>
      <c r="TKX46" s="78"/>
      <c r="TKY46" s="78"/>
      <c r="TKZ46" s="78"/>
      <c r="TLA46" s="78"/>
      <c r="TLB46" s="78"/>
      <c r="TLC46" s="78"/>
      <c r="TLD46" s="78"/>
      <c r="TLE46" s="78"/>
      <c r="TLF46" s="78"/>
      <c r="TLG46" s="78"/>
      <c r="TLH46" s="78"/>
      <c r="TLI46" s="78"/>
      <c r="TLJ46" s="78"/>
      <c r="TLK46" s="78"/>
      <c r="TLL46" s="78"/>
      <c r="TLM46" s="78"/>
      <c r="TLN46" s="78"/>
      <c r="TLO46" s="78"/>
      <c r="TLP46" s="78"/>
      <c r="TLQ46" s="78"/>
      <c r="TLR46" s="78"/>
      <c r="TLS46" s="78"/>
      <c r="TLT46" s="78"/>
      <c r="TLU46" s="78"/>
      <c r="TLV46" s="78"/>
      <c r="TLW46" s="78"/>
      <c r="TLX46" s="78"/>
      <c r="TLY46" s="78"/>
      <c r="TLZ46" s="78"/>
      <c r="TMA46" s="78"/>
      <c r="TMB46" s="78"/>
      <c r="TMC46" s="78"/>
      <c r="TMD46" s="78"/>
      <c r="TME46" s="78"/>
      <c r="TMF46" s="78"/>
      <c r="TMG46" s="78"/>
      <c r="TMH46" s="78"/>
      <c r="TMI46" s="78"/>
      <c r="TMJ46" s="78"/>
      <c r="TMK46" s="78"/>
      <c r="TML46" s="78"/>
      <c r="TMM46" s="78"/>
      <c r="TMN46" s="78"/>
      <c r="TMO46" s="78"/>
      <c r="TMP46" s="78"/>
      <c r="TMQ46" s="78"/>
      <c r="TMR46" s="78"/>
      <c r="TMS46" s="78"/>
      <c r="TMT46" s="78"/>
      <c r="TMU46" s="78"/>
      <c r="TMV46" s="78"/>
      <c r="TMW46" s="78"/>
      <c r="TMX46" s="78"/>
      <c r="TMY46" s="78"/>
      <c r="TMZ46" s="78"/>
      <c r="TNA46" s="78"/>
      <c r="TNB46" s="78"/>
      <c r="TNC46" s="78"/>
      <c r="TND46" s="78"/>
      <c r="TNE46" s="78"/>
      <c r="TNF46" s="78"/>
      <c r="TNG46" s="78"/>
      <c r="TNH46" s="78"/>
      <c r="TNI46" s="78"/>
      <c r="TNJ46" s="78"/>
      <c r="TNK46" s="78"/>
      <c r="TNL46" s="78"/>
      <c r="TNM46" s="78"/>
      <c r="TNN46" s="78"/>
      <c r="TNO46" s="78"/>
      <c r="TNP46" s="78"/>
      <c r="TNQ46" s="78"/>
      <c r="TNR46" s="78"/>
      <c r="TNS46" s="78"/>
      <c r="TNT46" s="78"/>
      <c r="TNU46" s="78"/>
      <c r="TNV46" s="78"/>
      <c r="TNW46" s="78"/>
      <c r="TNX46" s="78"/>
      <c r="TNY46" s="78"/>
      <c r="TNZ46" s="78"/>
      <c r="TOA46" s="78"/>
      <c r="TOB46" s="78"/>
      <c r="TOC46" s="78"/>
      <c r="TOD46" s="78"/>
      <c r="TOE46" s="78"/>
      <c r="TOF46" s="78"/>
      <c r="TOG46" s="78"/>
      <c r="TOH46" s="78"/>
      <c r="TOI46" s="78"/>
      <c r="TOJ46" s="78"/>
      <c r="TOK46" s="78"/>
      <c r="TOL46" s="78"/>
      <c r="TOM46" s="78"/>
      <c r="TON46" s="78"/>
      <c r="TOO46" s="78"/>
      <c r="TOP46" s="78"/>
      <c r="TOQ46" s="78"/>
      <c r="TOR46" s="78"/>
      <c r="TOS46" s="78"/>
      <c r="TOT46" s="78"/>
      <c r="TOU46" s="78"/>
      <c r="TOV46" s="78"/>
      <c r="TOW46" s="78"/>
      <c r="TOX46" s="78"/>
      <c r="TOY46" s="78"/>
      <c r="TOZ46" s="78"/>
      <c r="TPA46" s="78"/>
      <c r="TPB46" s="78"/>
      <c r="TPC46" s="78"/>
      <c r="TPD46" s="78"/>
      <c r="TPE46" s="78"/>
      <c r="TPF46" s="78"/>
      <c r="TPG46" s="78"/>
      <c r="TPH46" s="78"/>
      <c r="TPI46" s="78"/>
      <c r="TPJ46" s="78"/>
      <c r="TPK46" s="78"/>
      <c r="TPL46" s="78"/>
      <c r="TPM46" s="78"/>
      <c r="TPN46" s="78"/>
      <c r="TPO46" s="78"/>
      <c r="TPP46" s="78"/>
      <c r="TPQ46" s="78"/>
      <c r="TPR46" s="78"/>
      <c r="TPS46" s="78"/>
      <c r="TPT46" s="78"/>
      <c r="TPU46" s="78"/>
      <c r="TPV46" s="78"/>
      <c r="TPW46" s="78"/>
      <c r="TPX46" s="78"/>
      <c r="TPY46" s="78"/>
      <c r="TPZ46" s="78"/>
      <c r="TQA46" s="78"/>
      <c r="TQB46" s="78"/>
      <c r="TQC46" s="78"/>
      <c r="TQD46" s="78"/>
      <c r="TQE46" s="78"/>
      <c r="TQF46" s="78"/>
      <c r="TQG46" s="78"/>
      <c r="TQH46" s="78"/>
      <c r="TQI46" s="78"/>
      <c r="TQJ46" s="78"/>
      <c r="TQK46" s="78"/>
      <c r="TQL46" s="78"/>
      <c r="TQM46" s="78"/>
      <c r="TQN46" s="78"/>
      <c r="TQO46" s="78"/>
      <c r="TQP46" s="78"/>
      <c r="TQQ46" s="78"/>
      <c r="TQR46" s="78"/>
      <c r="TQS46" s="78"/>
      <c r="TQT46" s="78"/>
      <c r="TQU46" s="78"/>
      <c r="TQV46" s="78"/>
      <c r="TQW46" s="78"/>
      <c r="TQX46" s="78"/>
      <c r="TQY46" s="78"/>
      <c r="TQZ46" s="78"/>
      <c r="TRA46" s="78"/>
      <c r="TRB46" s="78"/>
      <c r="TRC46" s="78"/>
      <c r="TRD46" s="78"/>
      <c r="TRE46" s="78"/>
      <c r="TRF46" s="78"/>
      <c r="TRG46" s="78"/>
      <c r="TRH46" s="78"/>
      <c r="TRI46" s="78"/>
      <c r="TRJ46" s="78"/>
      <c r="TRK46" s="78"/>
      <c r="TRL46" s="78"/>
      <c r="TRM46" s="78"/>
      <c r="TRN46" s="78"/>
      <c r="TRO46" s="78"/>
      <c r="TRP46" s="78"/>
      <c r="TRQ46" s="78"/>
      <c r="TRR46" s="78"/>
      <c r="TRS46" s="78"/>
      <c r="TRT46" s="78"/>
      <c r="TRU46" s="78"/>
      <c r="TRV46" s="78"/>
      <c r="TRW46" s="78"/>
      <c r="TRX46" s="78"/>
      <c r="TRY46" s="78"/>
      <c r="TRZ46" s="78"/>
      <c r="TSA46" s="78"/>
      <c r="TSB46" s="78"/>
      <c r="TSC46" s="78"/>
      <c r="TSD46" s="78"/>
      <c r="TSE46" s="78"/>
      <c r="TSF46" s="78"/>
      <c r="TSG46" s="78"/>
      <c r="TSH46" s="78"/>
      <c r="TSI46" s="78"/>
      <c r="TSJ46" s="78"/>
      <c r="TSK46" s="78"/>
      <c r="TSL46" s="78"/>
      <c r="TSM46" s="78"/>
      <c r="TSN46" s="78"/>
      <c r="TSO46" s="78"/>
      <c r="TSP46" s="78"/>
      <c r="TSQ46" s="78"/>
      <c r="TSR46" s="78"/>
      <c r="TSS46" s="78"/>
      <c r="TST46" s="78"/>
      <c r="TSU46" s="78"/>
      <c r="TSV46" s="78"/>
      <c r="TSW46" s="78"/>
      <c r="TSX46" s="78"/>
      <c r="TSY46" s="78"/>
      <c r="TSZ46" s="78"/>
      <c r="TTA46" s="78"/>
      <c r="TTB46" s="78"/>
      <c r="TTC46" s="78"/>
      <c r="TTD46" s="78"/>
      <c r="TTE46" s="78"/>
      <c r="TTF46" s="78"/>
      <c r="TTG46" s="78"/>
      <c r="TTH46" s="78"/>
      <c r="TTI46" s="78"/>
      <c r="TTJ46" s="78"/>
      <c r="TTK46" s="78"/>
      <c r="TTL46" s="78"/>
      <c r="TTM46" s="78"/>
      <c r="TTN46" s="78"/>
      <c r="TTO46" s="78"/>
      <c r="TTP46" s="78"/>
      <c r="TTQ46" s="78"/>
      <c r="TTR46" s="78"/>
      <c r="TTS46" s="78"/>
      <c r="TTT46" s="78"/>
      <c r="TTU46" s="78"/>
      <c r="TTV46" s="78"/>
      <c r="TTW46" s="78"/>
      <c r="TTX46" s="78"/>
      <c r="TTY46" s="78"/>
      <c r="TTZ46" s="78"/>
      <c r="TUA46" s="78"/>
      <c r="TUB46" s="78"/>
      <c r="TUC46" s="78"/>
      <c r="TUD46" s="78"/>
      <c r="TUE46" s="78"/>
      <c r="TUF46" s="78"/>
      <c r="TUG46" s="78"/>
      <c r="TUH46" s="78"/>
      <c r="TUI46" s="78"/>
      <c r="TUJ46" s="78"/>
      <c r="TUK46" s="78"/>
      <c r="TUL46" s="78"/>
      <c r="TUM46" s="78"/>
      <c r="TUN46" s="78"/>
      <c r="TUO46" s="78"/>
      <c r="TUP46" s="78"/>
      <c r="TUQ46" s="78"/>
      <c r="TUR46" s="78"/>
      <c r="TUS46" s="78"/>
      <c r="TUT46" s="78"/>
      <c r="TUU46" s="78"/>
      <c r="TUV46" s="78"/>
      <c r="TUW46" s="78"/>
      <c r="TUX46" s="78"/>
      <c r="TUY46" s="78"/>
      <c r="TUZ46" s="78"/>
      <c r="TVA46" s="78"/>
      <c r="TVB46" s="78"/>
      <c r="TVC46" s="78"/>
      <c r="TVD46" s="78"/>
      <c r="TVE46" s="78"/>
      <c r="TVF46" s="78"/>
      <c r="TVG46" s="78"/>
      <c r="TVH46" s="78"/>
      <c r="TVI46" s="78"/>
      <c r="TVJ46" s="78"/>
      <c r="TVK46" s="78"/>
      <c r="TVL46" s="78"/>
      <c r="TVM46" s="78"/>
      <c r="TVN46" s="78"/>
      <c r="TVO46" s="78"/>
      <c r="TVP46" s="78"/>
      <c r="TVQ46" s="78"/>
      <c r="TVR46" s="78"/>
      <c r="TVS46" s="78"/>
      <c r="TVT46" s="78"/>
      <c r="TVU46" s="78"/>
      <c r="TVV46" s="78"/>
      <c r="TVW46" s="78"/>
      <c r="TVX46" s="78"/>
      <c r="TVY46" s="78"/>
      <c r="TVZ46" s="78"/>
      <c r="TWA46" s="78"/>
      <c r="TWB46" s="78"/>
      <c r="TWC46" s="78"/>
      <c r="TWD46" s="78"/>
      <c r="TWE46" s="78"/>
      <c r="TWF46" s="78"/>
      <c r="TWG46" s="78"/>
      <c r="TWH46" s="78"/>
      <c r="TWI46" s="78"/>
      <c r="TWJ46" s="78"/>
      <c r="TWK46" s="78"/>
      <c r="TWL46" s="78"/>
      <c r="TWM46" s="78"/>
      <c r="TWN46" s="78"/>
      <c r="TWO46" s="78"/>
      <c r="TWP46" s="78"/>
      <c r="TWQ46" s="78"/>
      <c r="TWR46" s="78"/>
      <c r="TWS46" s="78"/>
      <c r="TWT46" s="78"/>
      <c r="TWU46" s="78"/>
      <c r="TWV46" s="78"/>
      <c r="TWW46" s="78"/>
      <c r="TWX46" s="78"/>
      <c r="TWY46" s="78"/>
      <c r="TWZ46" s="78"/>
      <c r="TXA46" s="78"/>
      <c r="TXB46" s="78"/>
      <c r="TXC46" s="78"/>
      <c r="TXD46" s="78"/>
      <c r="TXE46" s="78"/>
      <c r="TXF46" s="78"/>
      <c r="TXG46" s="78"/>
      <c r="TXH46" s="78"/>
      <c r="TXI46" s="78"/>
      <c r="TXJ46" s="78"/>
      <c r="TXK46" s="78"/>
      <c r="TXL46" s="78"/>
      <c r="TXM46" s="78"/>
      <c r="TXN46" s="78"/>
      <c r="TXO46" s="78"/>
      <c r="TXP46" s="78"/>
      <c r="TXQ46" s="78"/>
      <c r="TXR46" s="78"/>
      <c r="TXS46" s="78"/>
      <c r="TXT46" s="78"/>
      <c r="TXU46" s="78"/>
      <c r="TXV46" s="78"/>
      <c r="TXW46" s="78"/>
      <c r="TXX46" s="78"/>
      <c r="TXY46" s="78"/>
      <c r="TXZ46" s="78"/>
      <c r="TYA46" s="78"/>
      <c r="TYB46" s="78"/>
      <c r="TYC46" s="78"/>
      <c r="TYD46" s="78"/>
      <c r="TYE46" s="78"/>
      <c r="TYF46" s="78"/>
      <c r="TYG46" s="78"/>
      <c r="TYH46" s="78"/>
      <c r="TYI46" s="78"/>
      <c r="TYJ46" s="78"/>
      <c r="TYK46" s="78"/>
      <c r="TYL46" s="78"/>
      <c r="TYM46" s="78"/>
      <c r="TYN46" s="78"/>
      <c r="TYO46" s="78"/>
      <c r="TYP46" s="78"/>
      <c r="TYQ46" s="78"/>
      <c r="TYR46" s="78"/>
      <c r="TYS46" s="78"/>
      <c r="TYT46" s="78"/>
      <c r="TYU46" s="78"/>
      <c r="TYV46" s="78"/>
      <c r="TYW46" s="78"/>
      <c r="TYX46" s="78"/>
      <c r="TYY46" s="78"/>
      <c r="TYZ46" s="78"/>
      <c r="TZA46" s="78"/>
      <c r="TZB46" s="78"/>
      <c r="TZC46" s="78"/>
      <c r="TZD46" s="78"/>
      <c r="TZE46" s="78"/>
      <c r="TZF46" s="78"/>
      <c r="TZG46" s="78"/>
      <c r="TZH46" s="78"/>
      <c r="TZI46" s="78"/>
      <c r="TZJ46" s="78"/>
      <c r="TZK46" s="78"/>
      <c r="TZL46" s="78"/>
      <c r="TZM46" s="78"/>
      <c r="TZN46" s="78"/>
      <c r="TZO46" s="78"/>
      <c r="TZP46" s="78"/>
      <c r="TZQ46" s="78"/>
      <c r="TZR46" s="78"/>
      <c r="TZS46" s="78"/>
      <c r="TZT46" s="78"/>
      <c r="TZU46" s="78"/>
      <c r="TZV46" s="78"/>
      <c r="TZW46" s="78"/>
      <c r="TZX46" s="78"/>
      <c r="TZY46" s="78"/>
      <c r="TZZ46" s="78"/>
      <c r="UAA46" s="78"/>
      <c r="UAB46" s="78"/>
      <c r="UAC46" s="78"/>
      <c r="UAD46" s="78"/>
      <c r="UAE46" s="78"/>
      <c r="UAF46" s="78"/>
      <c r="UAG46" s="78"/>
      <c r="UAH46" s="78"/>
      <c r="UAI46" s="78"/>
      <c r="UAJ46" s="78"/>
      <c r="UAK46" s="78"/>
      <c r="UAL46" s="78"/>
      <c r="UAM46" s="78"/>
      <c r="UAN46" s="78"/>
      <c r="UAO46" s="78"/>
      <c r="UAP46" s="78"/>
      <c r="UAQ46" s="78"/>
      <c r="UAR46" s="78"/>
      <c r="UAS46" s="78"/>
      <c r="UAT46" s="78"/>
      <c r="UAU46" s="78"/>
      <c r="UAV46" s="78"/>
      <c r="UAW46" s="78"/>
      <c r="UAX46" s="78"/>
      <c r="UAY46" s="78"/>
      <c r="UAZ46" s="78"/>
      <c r="UBA46" s="78"/>
      <c r="UBB46" s="78"/>
      <c r="UBC46" s="78"/>
      <c r="UBD46" s="78"/>
      <c r="UBE46" s="78"/>
      <c r="UBF46" s="78"/>
      <c r="UBG46" s="78"/>
      <c r="UBH46" s="78"/>
      <c r="UBI46" s="78"/>
      <c r="UBJ46" s="78"/>
      <c r="UBK46" s="78"/>
      <c r="UBL46" s="78"/>
      <c r="UBM46" s="78"/>
      <c r="UBN46" s="78"/>
      <c r="UBO46" s="78"/>
      <c r="UBP46" s="78"/>
      <c r="UBQ46" s="78"/>
      <c r="UBR46" s="78"/>
      <c r="UBS46" s="78"/>
      <c r="UBT46" s="78"/>
      <c r="UBU46" s="78"/>
      <c r="UBV46" s="78"/>
      <c r="UBW46" s="78"/>
      <c r="UBX46" s="78"/>
      <c r="UBY46" s="78"/>
      <c r="UBZ46" s="78"/>
      <c r="UCA46" s="78"/>
      <c r="UCB46" s="78"/>
      <c r="UCC46" s="78"/>
      <c r="UCD46" s="78"/>
      <c r="UCE46" s="78"/>
      <c r="UCF46" s="78"/>
      <c r="UCG46" s="78"/>
      <c r="UCH46" s="78"/>
      <c r="UCI46" s="78"/>
      <c r="UCJ46" s="78"/>
      <c r="UCK46" s="78"/>
      <c r="UCL46" s="78"/>
      <c r="UCM46" s="78"/>
      <c r="UCN46" s="78"/>
      <c r="UCO46" s="78"/>
      <c r="UCP46" s="78"/>
      <c r="UCQ46" s="78"/>
      <c r="UCR46" s="78"/>
      <c r="UCS46" s="78"/>
      <c r="UCT46" s="78"/>
      <c r="UCU46" s="78"/>
      <c r="UCV46" s="78"/>
      <c r="UCW46" s="78"/>
      <c r="UCX46" s="78"/>
      <c r="UCY46" s="78"/>
      <c r="UCZ46" s="78"/>
      <c r="UDA46" s="78"/>
      <c r="UDB46" s="78"/>
      <c r="UDC46" s="78"/>
      <c r="UDD46" s="78"/>
      <c r="UDE46" s="78"/>
      <c r="UDF46" s="78"/>
      <c r="UDG46" s="78"/>
      <c r="UDH46" s="78"/>
      <c r="UDI46" s="78"/>
      <c r="UDJ46" s="78"/>
      <c r="UDK46" s="78"/>
      <c r="UDL46" s="78"/>
      <c r="UDM46" s="78"/>
      <c r="UDN46" s="78"/>
      <c r="UDO46" s="78"/>
      <c r="UDP46" s="78"/>
      <c r="UDQ46" s="78"/>
      <c r="UDR46" s="78"/>
      <c r="UDS46" s="78"/>
      <c r="UDT46" s="78"/>
      <c r="UDU46" s="78"/>
      <c r="UDV46" s="78"/>
      <c r="UDW46" s="78"/>
      <c r="UDX46" s="78"/>
      <c r="UDY46" s="78"/>
      <c r="UDZ46" s="78"/>
      <c r="UEA46" s="78"/>
      <c r="UEB46" s="78"/>
      <c r="UEC46" s="78"/>
      <c r="UED46" s="78"/>
      <c r="UEE46" s="78"/>
      <c r="UEF46" s="78"/>
      <c r="UEG46" s="78"/>
      <c r="UEH46" s="78"/>
      <c r="UEI46" s="78"/>
      <c r="UEJ46" s="78"/>
      <c r="UEK46" s="78"/>
      <c r="UEL46" s="78"/>
      <c r="UEM46" s="78"/>
      <c r="UEN46" s="78"/>
      <c r="UEO46" s="78"/>
      <c r="UEP46" s="78"/>
      <c r="UEQ46" s="78"/>
      <c r="UER46" s="78"/>
      <c r="UES46" s="78"/>
      <c r="UET46" s="78"/>
      <c r="UEU46" s="78"/>
      <c r="UEV46" s="78"/>
      <c r="UEW46" s="78"/>
      <c r="UEX46" s="78"/>
      <c r="UEY46" s="78"/>
      <c r="UEZ46" s="78"/>
      <c r="UFA46" s="78"/>
      <c r="UFB46" s="78"/>
      <c r="UFC46" s="78"/>
      <c r="UFD46" s="78"/>
      <c r="UFE46" s="78"/>
      <c r="UFF46" s="78"/>
      <c r="UFG46" s="78"/>
      <c r="UFH46" s="78"/>
      <c r="UFI46" s="78"/>
      <c r="UFJ46" s="78"/>
      <c r="UFK46" s="78"/>
      <c r="UFL46" s="78"/>
      <c r="UFM46" s="78"/>
      <c r="UFN46" s="78"/>
      <c r="UFO46" s="78"/>
      <c r="UFP46" s="78"/>
      <c r="UFQ46" s="78"/>
      <c r="UFR46" s="78"/>
      <c r="UFS46" s="78"/>
      <c r="UFT46" s="78"/>
      <c r="UFU46" s="78"/>
      <c r="UFV46" s="78"/>
      <c r="UFW46" s="78"/>
      <c r="UFX46" s="78"/>
      <c r="UFY46" s="78"/>
      <c r="UFZ46" s="78"/>
      <c r="UGA46" s="78"/>
      <c r="UGB46" s="78"/>
      <c r="UGC46" s="78"/>
      <c r="UGD46" s="78"/>
      <c r="UGE46" s="78"/>
      <c r="UGF46" s="78"/>
      <c r="UGG46" s="78"/>
      <c r="UGH46" s="78"/>
      <c r="UGI46" s="78"/>
      <c r="UGJ46" s="78"/>
      <c r="UGK46" s="78"/>
      <c r="UGL46" s="78"/>
      <c r="UGM46" s="78"/>
      <c r="UGN46" s="78"/>
      <c r="UGO46" s="78"/>
      <c r="UGP46" s="78"/>
      <c r="UGQ46" s="78"/>
      <c r="UGR46" s="78"/>
      <c r="UGS46" s="78"/>
      <c r="UGT46" s="78"/>
      <c r="UGU46" s="78"/>
      <c r="UGV46" s="78"/>
      <c r="UGW46" s="78"/>
      <c r="UGX46" s="78"/>
      <c r="UGY46" s="78"/>
      <c r="UGZ46" s="78"/>
      <c r="UHA46" s="78"/>
      <c r="UHB46" s="78"/>
      <c r="UHC46" s="78"/>
      <c r="UHD46" s="78"/>
      <c r="UHE46" s="78"/>
      <c r="UHF46" s="78"/>
      <c r="UHG46" s="78"/>
      <c r="UHH46" s="78"/>
      <c r="UHI46" s="78"/>
      <c r="UHJ46" s="78"/>
      <c r="UHK46" s="78"/>
      <c r="UHL46" s="78"/>
      <c r="UHM46" s="78"/>
      <c r="UHN46" s="78"/>
      <c r="UHO46" s="78"/>
      <c r="UHP46" s="78"/>
      <c r="UHQ46" s="78"/>
      <c r="UHR46" s="78"/>
      <c r="UHS46" s="78"/>
      <c r="UHT46" s="78"/>
      <c r="UHU46" s="78"/>
      <c r="UHV46" s="78"/>
      <c r="UHW46" s="78"/>
      <c r="UHX46" s="78"/>
      <c r="UHY46" s="78"/>
      <c r="UHZ46" s="78"/>
      <c r="UIA46" s="78"/>
      <c r="UIB46" s="78"/>
      <c r="UIC46" s="78"/>
      <c r="UID46" s="78"/>
      <c r="UIE46" s="78"/>
      <c r="UIF46" s="78"/>
      <c r="UIG46" s="78"/>
      <c r="UIH46" s="78"/>
      <c r="UII46" s="78"/>
      <c r="UIJ46" s="78"/>
      <c r="UIK46" s="78"/>
      <c r="UIL46" s="78"/>
      <c r="UIM46" s="78"/>
      <c r="UIN46" s="78"/>
      <c r="UIO46" s="78"/>
      <c r="UIP46" s="78"/>
      <c r="UIQ46" s="78"/>
      <c r="UIR46" s="78"/>
      <c r="UIS46" s="78"/>
      <c r="UIT46" s="78"/>
      <c r="UIU46" s="78"/>
      <c r="UIV46" s="78"/>
      <c r="UIW46" s="78"/>
      <c r="UIX46" s="78"/>
      <c r="UIY46" s="78"/>
      <c r="UIZ46" s="78"/>
      <c r="UJA46" s="78"/>
      <c r="UJB46" s="78"/>
      <c r="UJC46" s="78"/>
      <c r="UJD46" s="78"/>
      <c r="UJE46" s="78"/>
      <c r="UJF46" s="78"/>
      <c r="UJG46" s="78"/>
      <c r="UJH46" s="78"/>
      <c r="UJI46" s="78"/>
      <c r="UJJ46" s="78"/>
      <c r="UJK46" s="78"/>
      <c r="UJL46" s="78"/>
      <c r="UJM46" s="78"/>
      <c r="UJN46" s="78"/>
      <c r="UJO46" s="78"/>
      <c r="UJP46" s="78"/>
      <c r="UJQ46" s="78"/>
      <c r="UJR46" s="78"/>
      <c r="UJS46" s="78"/>
      <c r="UJT46" s="78"/>
      <c r="UJU46" s="78"/>
      <c r="UJV46" s="78"/>
      <c r="UJW46" s="78"/>
      <c r="UJX46" s="78"/>
      <c r="UJY46" s="78"/>
      <c r="UJZ46" s="78"/>
      <c r="UKA46" s="78"/>
      <c r="UKB46" s="78"/>
      <c r="UKC46" s="78"/>
      <c r="UKD46" s="78"/>
      <c r="UKE46" s="78"/>
      <c r="UKF46" s="78"/>
      <c r="UKG46" s="78"/>
      <c r="UKH46" s="78"/>
      <c r="UKI46" s="78"/>
      <c r="UKJ46" s="78"/>
      <c r="UKK46" s="78"/>
      <c r="UKL46" s="78"/>
      <c r="UKM46" s="78"/>
      <c r="UKN46" s="78"/>
      <c r="UKO46" s="78"/>
      <c r="UKP46" s="78"/>
      <c r="UKQ46" s="78"/>
      <c r="UKR46" s="78"/>
      <c r="UKS46" s="78"/>
      <c r="UKT46" s="78"/>
      <c r="UKU46" s="78"/>
      <c r="UKV46" s="78"/>
      <c r="UKW46" s="78"/>
      <c r="UKX46" s="78"/>
      <c r="UKY46" s="78"/>
      <c r="UKZ46" s="78"/>
      <c r="ULA46" s="78"/>
      <c r="ULB46" s="78"/>
      <c r="ULC46" s="78"/>
      <c r="ULD46" s="78"/>
      <c r="ULE46" s="78"/>
      <c r="ULF46" s="78"/>
      <c r="ULG46" s="78"/>
      <c r="ULH46" s="78"/>
      <c r="ULI46" s="78"/>
      <c r="ULJ46" s="78"/>
      <c r="ULK46" s="78"/>
      <c r="ULL46" s="78"/>
      <c r="ULM46" s="78"/>
      <c r="ULN46" s="78"/>
      <c r="ULO46" s="78"/>
      <c r="ULP46" s="78"/>
      <c r="ULQ46" s="78"/>
      <c r="ULR46" s="78"/>
      <c r="ULS46" s="78"/>
      <c r="ULT46" s="78"/>
      <c r="ULU46" s="78"/>
      <c r="ULV46" s="78"/>
      <c r="ULW46" s="78"/>
      <c r="ULX46" s="78"/>
      <c r="ULY46" s="78"/>
      <c r="ULZ46" s="78"/>
      <c r="UMA46" s="78"/>
      <c r="UMB46" s="78"/>
      <c r="UMC46" s="78"/>
      <c r="UMD46" s="78"/>
      <c r="UME46" s="78"/>
      <c r="UMF46" s="78"/>
      <c r="UMG46" s="78"/>
      <c r="UMH46" s="78"/>
      <c r="UMI46" s="78"/>
      <c r="UMJ46" s="78"/>
      <c r="UMK46" s="78"/>
      <c r="UML46" s="78"/>
      <c r="UMM46" s="78"/>
      <c r="UMN46" s="78"/>
      <c r="UMO46" s="78"/>
      <c r="UMP46" s="78"/>
      <c r="UMQ46" s="78"/>
      <c r="UMR46" s="78"/>
      <c r="UMS46" s="78"/>
      <c r="UMT46" s="78"/>
      <c r="UMU46" s="78"/>
      <c r="UMV46" s="78"/>
      <c r="UMW46" s="78"/>
      <c r="UMX46" s="78"/>
      <c r="UMY46" s="78"/>
      <c r="UMZ46" s="78"/>
      <c r="UNA46" s="78"/>
      <c r="UNB46" s="78"/>
      <c r="UNC46" s="78"/>
      <c r="UND46" s="78"/>
      <c r="UNE46" s="78"/>
      <c r="UNF46" s="78"/>
      <c r="UNG46" s="78"/>
      <c r="UNH46" s="78"/>
      <c r="UNI46" s="78"/>
      <c r="UNJ46" s="78"/>
      <c r="UNK46" s="78"/>
      <c r="UNL46" s="78"/>
      <c r="UNM46" s="78"/>
      <c r="UNN46" s="78"/>
      <c r="UNO46" s="78"/>
      <c r="UNP46" s="78"/>
      <c r="UNQ46" s="78"/>
      <c r="UNR46" s="78"/>
      <c r="UNS46" s="78"/>
      <c r="UNT46" s="78"/>
      <c r="UNU46" s="78"/>
      <c r="UNV46" s="78"/>
      <c r="UNW46" s="78"/>
      <c r="UNX46" s="78"/>
      <c r="UNY46" s="78"/>
      <c r="UNZ46" s="78"/>
      <c r="UOA46" s="78"/>
      <c r="UOB46" s="78"/>
      <c r="UOC46" s="78"/>
      <c r="UOD46" s="78"/>
      <c r="UOE46" s="78"/>
      <c r="UOF46" s="78"/>
      <c r="UOG46" s="78"/>
      <c r="UOH46" s="78"/>
      <c r="UOI46" s="78"/>
      <c r="UOJ46" s="78"/>
      <c r="UOK46" s="78"/>
      <c r="UOL46" s="78"/>
      <c r="UOM46" s="78"/>
      <c r="UON46" s="78"/>
      <c r="UOO46" s="78"/>
      <c r="UOP46" s="78"/>
      <c r="UOQ46" s="78"/>
      <c r="UOR46" s="78"/>
      <c r="UOS46" s="78"/>
      <c r="UOT46" s="78"/>
      <c r="UOU46" s="78"/>
      <c r="UOV46" s="78"/>
      <c r="UOW46" s="78"/>
      <c r="UOX46" s="78"/>
      <c r="UOY46" s="78"/>
      <c r="UOZ46" s="78"/>
      <c r="UPA46" s="78"/>
      <c r="UPB46" s="78"/>
      <c r="UPC46" s="78"/>
      <c r="UPD46" s="78"/>
      <c r="UPE46" s="78"/>
      <c r="UPF46" s="78"/>
      <c r="UPG46" s="78"/>
      <c r="UPH46" s="78"/>
      <c r="UPI46" s="78"/>
      <c r="UPJ46" s="78"/>
      <c r="UPK46" s="78"/>
      <c r="UPL46" s="78"/>
      <c r="UPM46" s="78"/>
      <c r="UPN46" s="78"/>
      <c r="UPO46" s="78"/>
      <c r="UPP46" s="78"/>
      <c r="UPQ46" s="78"/>
      <c r="UPR46" s="78"/>
      <c r="UPS46" s="78"/>
      <c r="UPT46" s="78"/>
      <c r="UPU46" s="78"/>
      <c r="UPV46" s="78"/>
      <c r="UPW46" s="78"/>
      <c r="UPX46" s="78"/>
      <c r="UPY46" s="78"/>
      <c r="UPZ46" s="78"/>
      <c r="UQA46" s="78"/>
      <c r="UQB46" s="78"/>
      <c r="UQC46" s="78"/>
      <c r="UQD46" s="78"/>
      <c r="UQE46" s="78"/>
      <c r="UQF46" s="78"/>
      <c r="UQG46" s="78"/>
      <c r="UQH46" s="78"/>
      <c r="UQI46" s="78"/>
      <c r="UQJ46" s="78"/>
      <c r="UQK46" s="78"/>
      <c r="UQL46" s="78"/>
      <c r="UQM46" s="78"/>
      <c r="UQN46" s="78"/>
      <c r="UQO46" s="78"/>
      <c r="UQP46" s="78"/>
      <c r="UQQ46" s="78"/>
      <c r="UQR46" s="78"/>
      <c r="UQS46" s="78"/>
      <c r="UQT46" s="78"/>
      <c r="UQU46" s="78"/>
      <c r="UQV46" s="78"/>
      <c r="UQW46" s="78"/>
      <c r="UQX46" s="78"/>
      <c r="UQY46" s="78"/>
      <c r="UQZ46" s="78"/>
      <c r="URA46" s="78"/>
      <c r="URB46" s="78"/>
      <c r="URC46" s="78"/>
      <c r="URD46" s="78"/>
      <c r="URE46" s="78"/>
      <c r="URF46" s="78"/>
      <c r="URG46" s="78"/>
      <c r="URH46" s="78"/>
      <c r="URI46" s="78"/>
      <c r="URJ46" s="78"/>
      <c r="URK46" s="78"/>
      <c r="URL46" s="78"/>
      <c r="URM46" s="78"/>
      <c r="URN46" s="78"/>
      <c r="URO46" s="78"/>
      <c r="URP46" s="78"/>
      <c r="URQ46" s="78"/>
      <c r="URR46" s="78"/>
      <c r="URS46" s="78"/>
      <c r="URT46" s="78"/>
      <c r="URU46" s="78"/>
      <c r="URV46" s="78"/>
      <c r="URW46" s="78"/>
      <c r="URX46" s="78"/>
      <c r="URY46" s="78"/>
      <c r="URZ46" s="78"/>
      <c r="USA46" s="78"/>
      <c r="USB46" s="78"/>
      <c r="USC46" s="78"/>
      <c r="USD46" s="78"/>
      <c r="USE46" s="78"/>
      <c r="USF46" s="78"/>
      <c r="USG46" s="78"/>
      <c r="USH46" s="78"/>
      <c r="USI46" s="78"/>
      <c r="USJ46" s="78"/>
      <c r="USK46" s="78"/>
      <c r="USL46" s="78"/>
      <c r="USM46" s="78"/>
      <c r="USN46" s="78"/>
      <c r="USO46" s="78"/>
      <c r="USP46" s="78"/>
      <c r="USQ46" s="78"/>
      <c r="USR46" s="78"/>
      <c r="USS46" s="78"/>
      <c r="UST46" s="78"/>
      <c r="USU46" s="78"/>
      <c r="USV46" s="78"/>
      <c r="USW46" s="78"/>
      <c r="USX46" s="78"/>
      <c r="USY46" s="78"/>
      <c r="USZ46" s="78"/>
      <c r="UTA46" s="78"/>
      <c r="UTB46" s="78"/>
      <c r="UTC46" s="78"/>
      <c r="UTD46" s="78"/>
      <c r="UTE46" s="78"/>
      <c r="UTF46" s="78"/>
      <c r="UTG46" s="78"/>
      <c r="UTH46" s="78"/>
      <c r="UTI46" s="78"/>
      <c r="UTJ46" s="78"/>
      <c r="UTK46" s="78"/>
      <c r="UTL46" s="78"/>
      <c r="UTM46" s="78"/>
      <c r="UTN46" s="78"/>
      <c r="UTO46" s="78"/>
      <c r="UTP46" s="78"/>
      <c r="UTQ46" s="78"/>
      <c r="UTR46" s="78"/>
      <c r="UTS46" s="78"/>
      <c r="UTT46" s="78"/>
      <c r="UTU46" s="78"/>
      <c r="UTV46" s="78"/>
      <c r="UTW46" s="78"/>
      <c r="UTX46" s="78"/>
      <c r="UTY46" s="78"/>
      <c r="UTZ46" s="78"/>
      <c r="UUA46" s="78"/>
      <c r="UUB46" s="78"/>
      <c r="UUC46" s="78"/>
      <c r="UUD46" s="78"/>
      <c r="UUE46" s="78"/>
      <c r="UUF46" s="78"/>
      <c r="UUG46" s="78"/>
      <c r="UUH46" s="78"/>
      <c r="UUI46" s="78"/>
      <c r="UUJ46" s="78"/>
      <c r="UUK46" s="78"/>
      <c r="UUL46" s="78"/>
      <c r="UUM46" s="78"/>
      <c r="UUN46" s="78"/>
      <c r="UUO46" s="78"/>
      <c r="UUP46" s="78"/>
      <c r="UUQ46" s="78"/>
      <c r="UUR46" s="78"/>
      <c r="UUS46" s="78"/>
      <c r="UUT46" s="78"/>
      <c r="UUU46" s="78"/>
      <c r="UUV46" s="78"/>
      <c r="UUW46" s="78"/>
      <c r="UUX46" s="78"/>
      <c r="UUY46" s="78"/>
      <c r="UUZ46" s="78"/>
      <c r="UVA46" s="78"/>
      <c r="UVB46" s="78"/>
      <c r="UVC46" s="78"/>
      <c r="UVD46" s="78"/>
      <c r="UVE46" s="78"/>
      <c r="UVF46" s="78"/>
      <c r="UVG46" s="78"/>
      <c r="UVH46" s="78"/>
      <c r="UVI46" s="78"/>
      <c r="UVJ46" s="78"/>
      <c r="UVK46" s="78"/>
      <c r="UVL46" s="78"/>
      <c r="UVM46" s="78"/>
      <c r="UVN46" s="78"/>
      <c r="UVO46" s="78"/>
      <c r="UVP46" s="78"/>
      <c r="UVQ46" s="78"/>
      <c r="UVR46" s="78"/>
      <c r="UVS46" s="78"/>
      <c r="UVT46" s="78"/>
      <c r="UVU46" s="78"/>
      <c r="UVV46" s="78"/>
      <c r="UVW46" s="78"/>
      <c r="UVX46" s="78"/>
      <c r="UVY46" s="78"/>
      <c r="UVZ46" s="78"/>
      <c r="UWA46" s="78"/>
      <c r="UWB46" s="78"/>
      <c r="UWC46" s="78"/>
      <c r="UWD46" s="78"/>
      <c r="UWE46" s="78"/>
      <c r="UWF46" s="78"/>
      <c r="UWG46" s="78"/>
      <c r="UWH46" s="78"/>
      <c r="UWI46" s="78"/>
      <c r="UWJ46" s="78"/>
      <c r="UWK46" s="78"/>
      <c r="UWL46" s="78"/>
      <c r="UWM46" s="78"/>
      <c r="UWN46" s="78"/>
      <c r="UWO46" s="78"/>
      <c r="UWP46" s="78"/>
      <c r="UWQ46" s="78"/>
      <c r="UWR46" s="78"/>
      <c r="UWS46" s="78"/>
      <c r="UWT46" s="78"/>
      <c r="UWU46" s="78"/>
      <c r="UWV46" s="78"/>
      <c r="UWW46" s="78"/>
      <c r="UWX46" s="78"/>
      <c r="UWY46" s="78"/>
      <c r="UWZ46" s="78"/>
      <c r="UXA46" s="78"/>
      <c r="UXB46" s="78"/>
      <c r="UXC46" s="78"/>
      <c r="UXD46" s="78"/>
      <c r="UXE46" s="78"/>
      <c r="UXF46" s="78"/>
      <c r="UXG46" s="78"/>
      <c r="UXH46" s="78"/>
      <c r="UXI46" s="78"/>
      <c r="UXJ46" s="78"/>
      <c r="UXK46" s="78"/>
      <c r="UXL46" s="78"/>
      <c r="UXM46" s="78"/>
      <c r="UXN46" s="78"/>
      <c r="UXO46" s="78"/>
      <c r="UXP46" s="78"/>
      <c r="UXQ46" s="78"/>
      <c r="UXR46" s="78"/>
      <c r="UXS46" s="78"/>
      <c r="UXT46" s="78"/>
      <c r="UXU46" s="78"/>
      <c r="UXV46" s="78"/>
      <c r="UXW46" s="78"/>
      <c r="UXX46" s="78"/>
      <c r="UXY46" s="78"/>
      <c r="UXZ46" s="78"/>
      <c r="UYA46" s="78"/>
      <c r="UYB46" s="78"/>
      <c r="UYC46" s="78"/>
      <c r="UYD46" s="78"/>
      <c r="UYE46" s="78"/>
      <c r="UYF46" s="78"/>
      <c r="UYG46" s="78"/>
      <c r="UYH46" s="78"/>
      <c r="UYI46" s="78"/>
      <c r="UYJ46" s="78"/>
      <c r="UYK46" s="78"/>
      <c r="UYL46" s="78"/>
      <c r="UYM46" s="78"/>
      <c r="UYN46" s="78"/>
      <c r="UYO46" s="78"/>
      <c r="UYP46" s="78"/>
      <c r="UYQ46" s="78"/>
      <c r="UYR46" s="78"/>
      <c r="UYS46" s="78"/>
      <c r="UYT46" s="78"/>
      <c r="UYU46" s="78"/>
      <c r="UYV46" s="78"/>
      <c r="UYW46" s="78"/>
      <c r="UYX46" s="78"/>
      <c r="UYY46" s="78"/>
      <c r="UYZ46" s="78"/>
      <c r="UZA46" s="78"/>
      <c r="UZB46" s="78"/>
      <c r="UZC46" s="78"/>
      <c r="UZD46" s="78"/>
      <c r="UZE46" s="78"/>
      <c r="UZF46" s="78"/>
      <c r="UZG46" s="78"/>
      <c r="UZH46" s="78"/>
      <c r="UZI46" s="78"/>
      <c r="UZJ46" s="78"/>
      <c r="UZK46" s="78"/>
      <c r="UZL46" s="78"/>
      <c r="UZM46" s="78"/>
      <c r="UZN46" s="78"/>
      <c r="UZO46" s="78"/>
      <c r="UZP46" s="78"/>
      <c r="UZQ46" s="78"/>
      <c r="UZR46" s="78"/>
      <c r="UZS46" s="78"/>
      <c r="UZT46" s="78"/>
      <c r="UZU46" s="78"/>
      <c r="UZV46" s="78"/>
      <c r="UZW46" s="78"/>
      <c r="UZX46" s="78"/>
      <c r="UZY46" s="78"/>
      <c r="UZZ46" s="78"/>
      <c r="VAA46" s="78"/>
      <c r="VAB46" s="78"/>
      <c r="VAC46" s="78"/>
      <c r="VAD46" s="78"/>
      <c r="VAE46" s="78"/>
      <c r="VAF46" s="78"/>
      <c r="VAG46" s="78"/>
      <c r="VAH46" s="78"/>
      <c r="VAI46" s="78"/>
      <c r="VAJ46" s="78"/>
      <c r="VAK46" s="78"/>
      <c r="VAL46" s="78"/>
      <c r="VAM46" s="78"/>
      <c r="VAN46" s="78"/>
      <c r="VAO46" s="78"/>
      <c r="VAP46" s="78"/>
      <c r="VAQ46" s="78"/>
      <c r="VAR46" s="78"/>
      <c r="VAS46" s="78"/>
      <c r="VAT46" s="78"/>
      <c r="VAU46" s="78"/>
      <c r="VAV46" s="78"/>
      <c r="VAW46" s="78"/>
      <c r="VAX46" s="78"/>
      <c r="VAY46" s="78"/>
      <c r="VAZ46" s="78"/>
      <c r="VBA46" s="78"/>
      <c r="VBB46" s="78"/>
      <c r="VBC46" s="78"/>
      <c r="VBD46" s="78"/>
      <c r="VBE46" s="78"/>
      <c r="VBF46" s="78"/>
      <c r="VBG46" s="78"/>
      <c r="VBH46" s="78"/>
      <c r="VBI46" s="78"/>
      <c r="VBJ46" s="78"/>
      <c r="VBK46" s="78"/>
      <c r="VBL46" s="78"/>
      <c r="VBM46" s="78"/>
      <c r="VBN46" s="78"/>
      <c r="VBO46" s="78"/>
      <c r="VBP46" s="78"/>
      <c r="VBQ46" s="78"/>
      <c r="VBR46" s="78"/>
      <c r="VBS46" s="78"/>
      <c r="VBT46" s="78"/>
      <c r="VBU46" s="78"/>
      <c r="VBV46" s="78"/>
      <c r="VBW46" s="78"/>
      <c r="VBX46" s="78"/>
      <c r="VBY46" s="78"/>
      <c r="VBZ46" s="78"/>
      <c r="VCA46" s="78"/>
      <c r="VCB46" s="78"/>
      <c r="VCC46" s="78"/>
      <c r="VCD46" s="78"/>
      <c r="VCE46" s="78"/>
      <c r="VCF46" s="78"/>
      <c r="VCG46" s="78"/>
      <c r="VCH46" s="78"/>
      <c r="VCI46" s="78"/>
      <c r="VCJ46" s="78"/>
      <c r="VCK46" s="78"/>
      <c r="VCL46" s="78"/>
      <c r="VCM46" s="78"/>
      <c r="VCN46" s="78"/>
      <c r="VCO46" s="78"/>
      <c r="VCP46" s="78"/>
      <c r="VCQ46" s="78"/>
      <c r="VCR46" s="78"/>
      <c r="VCS46" s="78"/>
      <c r="VCT46" s="78"/>
      <c r="VCU46" s="78"/>
      <c r="VCV46" s="78"/>
      <c r="VCW46" s="78"/>
      <c r="VCX46" s="78"/>
      <c r="VCY46" s="78"/>
      <c r="VCZ46" s="78"/>
      <c r="VDA46" s="78"/>
      <c r="VDB46" s="78"/>
      <c r="VDC46" s="78"/>
      <c r="VDD46" s="78"/>
      <c r="VDE46" s="78"/>
      <c r="VDF46" s="78"/>
      <c r="VDG46" s="78"/>
      <c r="VDH46" s="78"/>
      <c r="VDI46" s="78"/>
      <c r="VDJ46" s="78"/>
      <c r="VDK46" s="78"/>
      <c r="VDL46" s="78"/>
      <c r="VDM46" s="78"/>
      <c r="VDN46" s="78"/>
      <c r="VDO46" s="78"/>
      <c r="VDP46" s="78"/>
      <c r="VDQ46" s="78"/>
      <c r="VDR46" s="78"/>
      <c r="VDS46" s="78"/>
      <c r="VDT46" s="78"/>
      <c r="VDU46" s="78"/>
      <c r="VDV46" s="78"/>
      <c r="VDW46" s="78"/>
      <c r="VDX46" s="78"/>
      <c r="VDY46" s="78"/>
      <c r="VDZ46" s="78"/>
      <c r="VEA46" s="78"/>
      <c r="VEB46" s="78"/>
      <c r="VEC46" s="78"/>
      <c r="VED46" s="78"/>
      <c r="VEE46" s="78"/>
      <c r="VEF46" s="78"/>
      <c r="VEG46" s="78"/>
      <c r="VEH46" s="78"/>
      <c r="VEI46" s="78"/>
      <c r="VEJ46" s="78"/>
      <c r="VEK46" s="78"/>
      <c r="VEL46" s="78"/>
      <c r="VEM46" s="78"/>
      <c r="VEN46" s="78"/>
      <c r="VEO46" s="78"/>
      <c r="VEP46" s="78"/>
      <c r="VEQ46" s="78"/>
      <c r="VER46" s="78"/>
      <c r="VES46" s="78"/>
      <c r="VET46" s="78"/>
      <c r="VEU46" s="78"/>
      <c r="VEV46" s="78"/>
      <c r="VEW46" s="78"/>
      <c r="VEX46" s="78"/>
      <c r="VEY46" s="78"/>
      <c r="VEZ46" s="78"/>
      <c r="VFA46" s="78"/>
      <c r="VFB46" s="78"/>
      <c r="VFC46" s="78"/>
      <c r="VFD46" s="78"/>
      <c r="VFE46" s="78"/>
      <c r="VFF46" s="78"/>
      <c r="VFG46" s="78"/>
      <c r="VFH46" s="78"/>
      <c r="VFI46" s="78"/>
      <c r="VFJ46" s="78"/>
      <c r="VFK46" s="78"/>
      <c r="VFL46" s="78"/>
      <c r="VFM46" s="78"/>
      <c r="VFN46" s="78"/>
      <c r="VFO46" s="78"/>
      <c r="VFP46" s="78"/>
      <c r="VFQ46" s="78"/>
      <c r="VFR46" s="78"/>
      <c r="VFS46" s="78"/>
      <c r="VFT46" s="78"/>
      <c r="VFU46" s="78"/>
      <c r="VFV46" s="78"/>
      <c r="VFW46" s="78"/>
      <c r="VFX46" s="78"/>
      <c r="VFY46" s="78"/>
      <c r="VFZ46" s="78"/>
      <c r="VGA46" s="78"/>
      <c r="VGB46" s="78"/>
      <c r="VGC46" s="78"/>
      <c r="VGD46" s="78"/>
      <c r="VGE46" s="78"/>
      <c r="VGF46" s="78"/>
      <c r="VGG46" s="78"/>
      <c r="VGH46" s="78"/>
      <c r="VGI46" s="78"/>
      <c r="VGJ46" s="78"/>
      <c r="VGK46" s="78"/>
      <c r="VGL46" s="78"/>
      <c r="VGM46" s="78"/>
      <c r="VGN46" s="78"/>
      <c r="VGO46" s="78"/>
      <c r="VGP46" s="78"/>
      <c r="VGQ46" s="78"/>
      <c r="VGR46" s="78"/>
      <c r="VGS46" s="78"/>
      <c r="VGT46" s="78"/>
      <c r="VGU46" s="78"/>
      <c r="VGV46" s="78"/>
      <c r="VGW46" s="78"/>
      <c r="VGX46" s="78"/>
      <c r="VGY46" s="78"/>
      <c r="VGZ46" s="78"/>
      <c r="VHA46" s="78"/>
      <c r="VHB46" s="78"/>
      <c r="VHC46" s="78"/>
      <c r="VHD46" s="78"/>
      <c r="VHE46" s="78"/>
      <c r="VHF46" s="78"/>
      <c r="VHG46" s="78"/>
      <c r="VHH46" s="78"/>
      <c r="VHI46" s="78"/>
      <c r="VHJ46" s="78"/>
      <c r="VHK46" s="78"/>
      <c r="VHL46" s="78"/>
      <c r="VHM46" s="78"/>
      <c r="VHN46" s="78"/>
      <c r="VHO46" s="78"/>
      <c r="VHP46" s="78"/>
      <c r="VHQ46" s="78"/>
      <c r="VHR46" s="78"/>
      <c r="VHS46" s="78"/>
      <c r="VHT46" s="78"/>
      <c r="VHU46" s="78"/>
      <c r="VHV46" s="78"/>
      <c r="VHW46" s="78"/>
      <c r="VHX46" s="78"/>
      <c r="VHY46" s="78"/>
      <c r="VHZ46" s="78"/>
      <c r="VIA46" s="78"/>
      <c r="VIB46" s="78"/>
      <c r="VIC46" s="78"/>
      <c r="VID46" s="78"/>
      <c r="VIE46" s="78"/>
      <c r="VIF46" s="78"/>
      <c r="VIG46" s="78"/>
      <c r="VIH46" s="78"/>
      <c r="VII46" s="78"/>
      <c r="VIJ46" s="78"/>
      <c r="VIK46" s="78"/>
      <c r="VIL46" s="78"/>
      <c r="VIM46" s="78"/>
      <c r="VIN46" s="78"/>
      <c r="VIO46" s="78"/>
      <c r="VIP46" s="78"/>
      <c r="VIQ46" s="78"/>
      <c r="VIR46" s="78"/>
      <c r="VIS46" s="78"/>
      <c r="VIT46" s="78"/>
      <c r="VIU46" s="78"/>
      <c r="VIV46" s="78"/>
      <c r="VIW46" s="78"/>
      <c r="VIX46" s="78"/>
      <c r="VIY46" s="78"/>
      <c r="VIZ46" s="78"/>
      <c r="VJA46" s="78"/>
      <c r="VJB46" s="78"/>
      <c r="VJC46" s="78"/>
      <c r="VJD46" s="78"/>
      <c r="VJE46" s="78"/>
      <c r="VJF46" s="78"/>
      <c r="VJG46" s="78"/>
      <c r="VJH46" s="78"/>
      <c r="VJI46" s="78"/>
      <c r="VJJ46" s="78"/>
      <c r="VJK46" s="78"/>
      <c r="VJL46" s="78"/>
      <c r="VJM46" s="78"/>
      <c r="VJN46" s="78"/>
      <c r="VJO46" s="78"/>
      <c r="VJP46" s="78"/>
      <c r="VJQ46" s="78"/>
      <c r="VJR46" s="78"/>
      <c r="VJS46" s="78"/>
      <c r="VJT46" s="78"/>
      <c r="VJU46" s="78"/>
      <c r="VJV46" s="78"/>
      <c r="VJW46" s="78"/>
      <c r="VJX46" s="78"/>
      <c r="VJY46" s="78"/>
      <c r="VJZ46" s="78"/>
      <c r="VKA46" s="78"/>
      <c r="VKB46" s="78"/>
      <c r="VKC46" s="78"/>
      <c r="VKD46" s="78"/>
      <c r="VKE46" s="78"/>
      <c r="VKF46" s="78"/>
      <c r="VKG46" s="78"/>
      <c r="VKH46" s="78"/>
      <c r="VKI46" s="78"/>
      <c r="VKJ46" s="78"/>
      <c r="VKK46" s="78"/>
      <c r="VKL46" s="78"/>
      <c r="VKM46" s="78"/>
      <c r="VKN46" s="78"/>
      <c r="VKO46" s="78"/>
      <c r="VKP46" s="78"/>
      <c r="VKQ46" s="78"/>
      <c r="VKR46" s="78"/>
      <c r="VKS46" s="78"/>
      <c r="VKT46" s="78"/>
      <c r="VKU46" s="78"/>
      <c r="VKV46" s="78"/>
      <c r="VKW46" s="78"/>
      <c r="VKX46" s="78"/>
      <c r="VKY46" s="78"/>
      <c r="VKZ46" s="78"/>
      <c r="VLA46" s="78"/>
      <c r="VLB46" s="78"/>
      <c r="VLC46" s="78"/>
      <c r="VLD46" s="78"/>
      <c r="VLE46" s="78"/>
      <c r="VLF46" s="78"/>
      <c r="VLG46" s="78"/>
      <c r="VLH46" s="78"/>
      <c r="VLI46" s="78"/>
      <c r="VLJ46" s="78"/>
      <c r="VLK46" s="78"/>
      <c r="VLL46" s="78"/>
      <c r="VLM46" s="78"/>
      <c r="VLN46" s="78"/>
      <c r="VLO46" s="78"/>
      <c r="VLP46" s="78"/>
      <c r="VLQ46" s="78"/>
      <c r="VLR46" s="78"/>
      <c r="VLS46" s="78"/>
      <c r="VLT46" s="78"/>
      <c r="VLU46" s="78"/>
      <c r="VLV46" s="78"/>
      <c r="VLW46" s="78"/>
      <c r="VLX46" s="78"/>
      <c r="VLY46" s="78"/>
      <c r="VLZ46" s="78"/>
      <c r="VMA46" s="78"/>
      <c r="VMB46" s="78"/>
      <c r="VMC46" s="78"/>
      <c r="VMD46" s="78"/>
      <c r="VME46" s="78"/>
      <c r="VMF46" s="78"/>
      <c r="VMG46" s="78"/>
      <c r="VMH46" s="78"/>
      <c r="VMI46" s="78"/>
      <c r="VMJ46" s="78"/>
      <c r="VMK46" s="78"/>
      <c r="VML46" s="78"/>
      <c r="VMM46" s="78"/>
      <c r="VMN46" s="78"/>
      <c r="VMO46" s="78"/>
      <c r="VMP46" s="78"/>
      <c r="VMQ46" s="78"/>
      <c r="VMR46" s="78"/>
      <c r="VMS46" s="78"/>
      <c r="VMT46" s="78"/>
      <c r="VMU46" s="78"/>
      <c r="VMV46" s="78"/>
      <c r="VMW46" s="78"/>
      <c r="VMX46" s="78"/>
      <c r="VMY46" s="78"/>
      <c r="VMZ46" s="78"/>
      <c r="VNA46" s="78"/>
      <c r="VNB46" s="78"/>
      <c r="VNC46" s="78"/>
      <c r="VND46" s="78"/>
      <c r="VNE46" s="78"/>
      <c r="VNF46" s="78"/>
      <c r="VNG46" s="78"/>
      <c r="VNH46" s="78"/>
      <c r="VNI46" s="78"/>
      <c r="VNJ46" s="78"/>
      <c r="VNK46" s="78"/>
      <c r="VNL46" s="78"/>
      <c r="VNM46" s="78"/>
      <c r="VNN46" s="78"/>
      <c r="VNO46" s="78"/>
      <c r="VNP46" s="78"/>
      <c r="VNQ46" s="78"/>
      <c r="VNR46" s="78"/>
      <c r="VNS46" s="78"/>
      <c r="VNT46" s="78"/>
      <c r="VNU46" s="78"/>
      <c r="VNV46" s="78"/>
      <c r="VNW46" s="78"/>
      <c r="VNX46" s="78"/>
      <c r="VNY46" s="78"/>
      <c r="VNZ46" s="78"/>
      <c r="VOA46" s="78"/>
      <c r="VOB46" s="78"/>
      <c r="VOC46" s="78"/>
      <c r="VOD46" s="78"/>
      <c r="VOE46" s="78"/>
      <c r="VOF46" s="78"/>
      <c r="VOG46" s="78"/>
      <c r="VOH46" s="78"/>
      <c r="VOI46" s="78"/>
      <c r="VOJ46" s="78"/>
      <c r="VOK46" s="78"/>
      <c r="VOL46" s="78"/>
      <c r="VOM46" s="78"/>
      <c r="VON46" s="78"/>
      <c r="VOO46" s="78"/>
      <c r="VOP46" s="78"/>
      <c r="VOQ46" s="78"/>
      <c r="VOR46" s="78"/>
      <c r="VOS46" s="78"/>
      <c r="VOT46" s="78"/>
      <c r="VOU46" s="78"/>
      <c r="VOV46" s="78"/>
      <c r="VOW46" s="78"/>
      <c r="VOX46" s="78"/>
      <c r="VOY46" s="78"/>
      <c r="VOZ46" s="78"/>
      <c r="VPA46" s="78"/>
      <c r="VPB46" s="78"/>
      <c r="VPC46" s="78"/>
      <c r="VPD46" s="78"/>
      <c r="VPE46" s="78"/>
      <c r="VPF46" s="78"/>
      <c r="VPG46" s="78"/>
      <c r="VPH46" s="78"/>
      <c r="VPI46" s="78"/>
      <c r="VPJ46" s="78"/>
      <c r="VPK46" s="78"/>
      <c r="VPL46" s="78"/>
      <c r="VPM46" s="78"/>
      <c r="VPN46" s="78"/>
      <c r="VPO46" s="78"/>
      <c r="VPP46" s="78"/>
      <c r="VPQ46" s="78"/>
      <c r="VPR46" s="78"/>
      <c r="VPS46" s="78"/>
      <c r="VPT46" s="78"/>
      <c r="VPU46" s="78"/>
      <c r="VPV46" s="78"/>
      <c r="VPW46" s="78"/>
      <c r="VPX46" s="78"/>
      <c r="VPY46" s="78"/>
      <c r="VPZ46" s="78"/>
      <c r="VQA46" s="78"/>
      <c r="VQB46" s="78"/>
      <c r="VQC46" s="78"/>
      <c r="VQD46" s="78"/>
      <c r="VQE46" s="78"/>
      <c r="VQF46" s="78"/>
      <c r="VQG46" s="78"/>
      <c r="VQH46" s="78"/>
      <c r="VQI46" s="78"/>
      <c r="VQJ46" s="78"/>
      <c r="VQK46" s="78"/>
      <c r="VQL46" s="78"/>
      <c r="VQM46" s="78"/>
      <c r="VQN46" s="78"/>
      <c r="VQO46" s="78"/>
      <c r="VQP46" s="78"/>
      <c r="VQQ46" s="78"/>
      <c r="VQR46" s="78"/>
      <c r="VQS46" s="78"/>
      <c r="VQT46" s="78"/>
      <c r="VQU46" s="78"/>
      <c r="VQV46" s="78"/>
      <c r="VQW46" s="78"/>
      <c r="VQX46" s="78"/>
      <c r="VQY46" s="78"/>
      <c r="VQZ46" s="78"/>
      <c r="VRA46" s="78"/>
      <c r="VRB46" s="78"/>
      <c r="VRC46" s="78"/>
      <c r="VRD46" s="78"/>
      <c r="VRE46" s="78"/>
      <c r="VRF46" s="78"/>
      <c r="VRG46" s="78"/>
      <c r="VRH46" s="78"/>
      <c r="VRI46" s="78"/>
      <c r="VRJ46" s="78"/>
      <c r="VRK46" s="78"/>
      <c r="VRL46" s="78"/>
      <c r="VRM46" s="78"/>
      <c r="VRN46" s="78"/>
      <c r="VRO46" s="78"/>
      <c r="VRP46" s="78"/>
      <c r="VRQ46" s="78"/>
      <c r="VRR46" s="78"/>
      <c r="VRS46" s="78"/>
      <c r="VRT46" s="78"/>
      <c r="VRU46" s="78"/>
      <c r="VRV46" s="78"/>
      <c r="VRW46" s="78"/>
      <c r="VRX46" s="78"/>
      <c r="VRY46" s="78"/>
      <c r="VRZ46" s="78"/>
      <c r="VSA46" s="78"/>
      <c r="VSB46" s="78"/>
      <c r="VSC46" s="78"/>
      <c r="VSD46" s="78"/>
      <c r="VSE46" s="78"/>
      <c r="VSF46" s="78"/>
      <c r="VSG46" s="78"/>
      <c r="VSH46" s="78"/>
      <c r="VSI46" s="78"/>
      <c r="VSJ46" s="78"/>
      <c r="VSK46" s="78"/>
      <c r="VSL46" s="78"/>
      <c r="VSM46" s="78"/>
      <c r="VSN46" s="78"/>
      <c r="VSO46" s="78"/>
      <c r="VSP46" s="78"/>
      <c r="VSQ46" s="78"/>
      <c r="VSR46" s="78"/>
      <c r="VSS46" s="78"/>
      <c r="VST46" s="78"/>
      <c r="VSU46" s="78"/>
      <c r="VSV46" s="78"/>
      <c r="VSW46" s="78"/>
      <c r="VSX46" s="78"/>
      <c r="VSY46" s="78"/>
      <c r="VSZ46" s="78"/>
      <c r="VTA46" s="78"/>
      <c r="VTB46" s="78"/>
      <c r="VTC46" s="78"/>
      <c r="VTD46" s="78"/>
      <c r="VTE46" s="78"/>
      <c r="VTF46" s="78"/>
      <c r="VTG46" s="78"/>
      <c r="VTH46" s="78"/>
      <c r="VTI46" s="78"/>
      <c r="VTJ46" s="78"/>
      <c r="VTK46" s="78"/>
      <c r="VTL46" s="78"/>
      <c r="VTM46" s="78"/>
      <c r="VTN46" s="78"/>
      <c r="VTO46" s="78"/>
      <c r="VTP46" s="78"/>
      <c r="VTQ46" s="78"/>
      <c r="VTR46" s="78"/>
      <c r="VTS46" s="78"/>
      <c r="VTT46" s="78"/>
      <c r="VTU46" s="78"/>
      <c r="VTV46" s="78"/>
      <c r="VTW46" s="78"/>
      <c r="VTX46" s="78"/>
      <c r="VTY46" s="78"/>
      <c r="VTZ46" s="78"/>
      <c r="VUA46" s="78"/>
      <c r="VUB46" s="78"/>
      <c r="VUC46" s="78"/>
      <c r="VUD46" s="78"/>
      <c r="VUE46" s="78"/>
      <c r="VUF46" s="78"/>
      <c r="VUG46" s="78"/>
      <c r="VUH46" s="78"/>
      <c r="VUI46" s="78"/>
      <c r="VUJ46" s="78"/>
      <c r="VUK46" s="78"/>
      <c r="VUL46" s="78"/>
      <c r="VUM46" s="78"/>
      <c r="VUN46" s="78"/>
      <c r="VUO46" s="78"/>
      <c r="VUP46" s="78"/>
      <c r="VUQ46" s="78"/>
      <c r="VUR46" s="78"/>
      <c r="VUS46" s="78"/>
      <c r="VUT46" s="78"/>
      <c r="VUU46" s="78"/>
      <c r="VUV46" s="78"/>
      <c r="VUW46" s="78"/>
      <c r="VUX46" s="78"/>
      <c r="VUY46" s="78"/>
      <c r="VUZ46" s="78"/>
      <c r="VVA46" s="78"/>
      <c r="VVB46" s="78"/>
      <c r="VVC46" s="78"/>
      <c r="VVD46" s="78"/>
      <c r="VVE46" s="78"/>
      <c r="VVF46" s="78"/>
      <c r="VVG46" s="78"/>
      <c r="VVH46" s="78"/>
      <c r="VVI46" s="78"/>
      <c r="VVJ46" s="78"/>
      <c r="VVK46" s="78"/>
      <c r="VVL46" s="78"/>
      <c r="VVM46" s="78"/>
      <c r="VVN46" s="78"/>
      <c r="VVO46" s="78"/>
      <c r="VVP46" s="78"/>
      <c r="VVQ46" s="78"/>
      <c r="VVR46" s="78"/>
      <c r="VVS46" s="78"/>
      <c r="VVT46" s="78"/>
      <c r="VVU46" s="78"/>
      <c r="VVV46" s="78"/>
      <c r="VVW46" s="78"/>
      <c r="VVX46" s="78"/>
      <c r="VVY46" s="78"/>
      <c r="VVZ46" s="78"/>
      <c r="VWA46" s="78"/>
      <c r="VWB46" s="78"/>
      <c r="VWC46" s="78"/>
      <c r="VWD46" s="78"/>
      <c r="VWE46" s="78"/>
      <c r="VWF46" s="78"/>
      <c r="VWG46" s="78"/>
      <c r="VWH46" s="78"/>
      <c r="VWI46" s="78"/>
      <c r="VWJ46" s="78"/>
      <c r="VWK46" s="78"/>
      <c r="VWL46" s="78"/>
      <c r="VWM46" s="78"/>
      <c r="VWN46" s="78"/>
      <c r="VWO46" s="78"/>
      <c r="VWP46" s="78"/>
      <c r="VWQ46" s="78"/>
      <c r="VWR46" s="78"/>
      <c r="VWS46" s="78"/>
      <c r="VWT46" s="78"/>
      <c r="VWU46" s="78"/>
      <c r="VWV46" s="78"/>
      <c r="VWW46" s="78"/>
      <c r="VWX46" s="78"/>
      <c r="VWY46" s="78"/>
      <c r="VWZ46" s="78"/>
      <c r="VXA46" s="78"/>
      <c r="VXB46" s="78"/>
      <c r="VXC46" s="78"/>
      <c r="VXD46" s="78"/>
      <c r="VXE46" s="78"/>
      <c r="VXF46" s="78"/>
      <c r="VXG46" s="78"/>
      <c r="VXH46" s="78"/>
      <c r="VXI46" s="78"/>
      <c r="VXJ46" s="78"/>
      <c r="VXK46" s="78"/>
      <c r="VXL46" s="78"/>
      <c r="VXM46" s="78"/>
      <c r="VXN46" s="78"/>
      <c r="VXO46" s="78"/>
      <c r="VXP46" s="78"/>
      <c r="VXQ46" s="78"/>
      <c r="VXR46" s="78"/>
      <c r="VXS46" s="78"/>
      <c r="VXT46" s="78"/>
      <c r="VXU46" s="78"/>
      <c r="VXV46" s="78"/>
      <c r="VXW46" s="78"/>
      <c r="VXX46" s="78"/>
      <c r="VXY46" s="78"/>
      <c r="VXZ46" s="78"/>
      <c r="VYA46" s="78"/>
      <c r="VYB46" s="78"/>
      <c r="VYC46" s="78"/>
      <c r="VYD46" s="78"/>
      <c r="VYE46" s="78"/>
      <c r="VYF46" s="78"/>
      <c r="VYG46" s="78"/>
      <c r="VYH46" s="78"/>
      <c r="VYI46" s="78"/>
      <c r="VYJ46" s="78"/>
      <c r="VYK46" s="78"/>
      <c r="VYL46" s="78"/>
      <c r="VYM46" s="78"/>
      <c r="VYN46" s="78"/>
      <c r="VYO46" s="78"/>
      <c r="VYP46" s="78"/>
      <c r="VYQ46" s="78"/>
      <c r="VYR46" s="78"/>
      <c r="VYS46" s="78"/>
      <c r="VYT46" s="78"/>
      <c r="VYU46" s="78"/>
      <c r="VYV46" s="78"/>
      <c r="VYW46" s="78"/>
      <c r="VYX46" s="78"/>
      <c r="VYY46" s="78"/>
      <c r="VYZ46" s="78"/>
      <c r="VZA46" s="78"/>
      <c r="VZB46" s="78"/>
      <c r="VZC46" s="78"/>
      <c r="VZD46" s="78"/>
      <c r="VZE46" s="78"/>
      <c r="VZF46" s="78"/>
      <c r="VZG46" s="78"/>
      <c r="VZH46" s="78"/>
      <c r="VZI46" s="78"/>
      <c r="VZJ46" s="78"/>
      <c r="VZK46" s="78"/>
      <c r="VZL46" s="78"/>
      <c r="VZM46" s="78"/>
      <c r="VZN46" s="78"/>
      <c r="VZO46" s="78"/>
      <c r="VZP46" s="78"/>
      <c r="VZQ46" s="78"/>
      <c r="VZR46" s="78"/>
      <c r="VZS46" s="78"/>
      <c r="VZT46" s="78"/>
      <c r="VZU46" s="78"/>
      <c r="VZV46" s="78"/>
      <c r="VZW46" s="78"/>
      <c r="VZX46" s="78"/>
      <c r="VZY46" s="78"/>
      <c r="VZZ46" s="78"/>
      <c r="WAA46" s="78"/>
      <c r="WAB46" s="78"/>
      <c r="WAC46" s="78"/>
      <c r="WAD46" s="78"/>
      <c r="WAE46" s="78"/>
      <c r="WAF46" s="78"/>
      <c r="WAG46" s="78"/>
      <c r="WAH46" s="78"/>
      <c r="WAI46" s="78"/>
      <c r="WAJ46" s="78"/>
      <c r="WAK46" s="78"/>
      <c r="WAL46" s="78"/>
      <c r="WAM46" s="78"/>
      <c r="WAN46" s="78"/>
      <c r="WAO46" s="78"/>
      <c r="WAP46" s="78"/>
      <c r="WAQ46" s="78"/>
      <c r="WAR46" s="78"/>
      <c r="WAS46" s="78"/>
      <c r="WAT46" s="78"/>
      <c r="WAU46" s="78"/>
      <c r="WAV46" s="78"/>
      <c r="WAW46" s="78"/>
      <c r="WAX46" s="78"/>
      <c r="WAY46" s="78"/>
      <c r="WAZ46" s="78"/>
      <c r="WBA46" s="78"/>
      <c r="WBB46" s="78"/>
      <c r="WBC46" s="78"/>
      <c r="WBD46" s="78"/>
      <c r="WBE46" s="78"/>
      <c r="WBF46" s="78"/>
      <c r="WBG46" s="78"/>
      <c r="WBH46" s="78"/>
      <c r="WBI46" s="78"/>
      <c r="WBJ46" s="78"/>
      <c r="WBK46" s="78"/>
      <c r="WBL46" s="78"/>
      <c r="WBM46" s="78"/>
      <c r="WBN46" s="78"/>
      <c r="WBO46" s="78"/>
      <c r="WBP46" s="78"/>
      <c r="WBQ46" s="78"/>
      <c r="WBR46" s="78"/>
      <c r="WBS46" s="78"/>
      <c r="WBT46" s="78"/>
      <c r="WBU46" s="78"/>
      <c r="WBV46" s="78"/>
      <c r="WBW46" s="78"/>
      <c r="WBX46" s="78"/>
      <c r="WBY46" s="78"/>
      <c r="WBZ46" s="78"/>
      <c r="WCA46" s="78"/>
      <c r="WCB46" s="78"/>
      <c r="WCC46" s="78"/>
      <c r="WCD46" s="78"/>
      <c r="WCE46" s="78"/>
      <c r="WCF46" s="78"/>
      <c r="WCG46" s="78"/>
      <c r="WCH46" s="78"/>
      <c r="WCI46" s="78"/>
      <c r="WCJ46" s="78"/>
      <c r="WCK46" s="78"/>
      <c r="WCL46" s="78"/>
      <c r="WCM46" s="78"/>
      <c r="WCN46" s="78"/>
      <c r="WCO46" s="78"/>
      <c r="WCP46" s="78"/>
      <c r="WCQ46" s="78"/>
      <c r="WCR46" s="78"/>
      <c r="WCS46" s="78"/>
      <c r="WCT46" s="78"/>
      <c r="WCU46" s="78"/>
      <c r="WCV46" s="78"/>
      <c r="WCW46" s="78"/>
      <c r="WCX46" s="78"/>
      <c r="WCY46" s="78"/>
      <c r="WCZ46" s="78"/>
      <c r="WDA46" s="78"/>
      <c r="WDB46" s="78"/>
      <c r="WDC46" s="78"/>
      <c r="WDD46" s="78"/>
      <c r="WDE46" s="78"/>
      <c r="WDF46" s="78"/>
      <c r="WDG46" s="78"/>
      <c r="WDH46" s="78"/>
      <c r="WDI46" s="78"/>
      <c r="WDJ46" s="78"/>
      <c r="WDK46" s="78"/>
      <c r="WDL46" s="78"/>
      <c r="WDM46" s="78"/>
      <c r="WDN46" s="78"/>
      <c r="WDO46" s="78"/>
      <c r="WDP46" s="78"/>
      <c r="WDQ46" s="78"/>
      <c r="WDR46" s="78"/>
      <c r="WDS46" s="78"/>
      <c r="WDT46" s="78"/>
      <c r="WDU46" s="78"/>
      <c r="WDV46" s="78"/>
      <c r="WDW46" s="78"/>
      <c r="WDX46" s="78"/>
      <c r="WDY46" s="78"/>
      <c r="WDZ46" s="78"/>
      <c r="WEA46" s="78"/>
      <c r="WEB46" s="78"/>
      <c r="WEC46" s="78"/>
      <c r="WED46" s="78"/>
      <c r="WEE46" s="78"/>
      <c r="WEF46" s="78"/>
      <c r="WEG46" s="78"/>
      <c r="WEH46" s="78"/>
      <c r="WEI46" s="78"/>
      <c r="WEJ46" s="78"/>
      <c r="WEK46" s="78"/>
      <c r="WEL46" s="78"/>
      <c r="WEM46" s="78"/>
      <c r="WEN46" s="78"/>
      <c r="WEO46" s="78"/>
      <c r="WEP46" s="78"/>
      <c r="WEQ46" s="78"/>
      <c r="WER46" s="78"/>
      <c r="WES46" s="78"/>
      <c r="WET46" s="78"/>
      <c r="WEU46" s="78"/>
      <c r="WEV46" s="78"/>
      <c r="WEW46" s="78"/>
      <c r="WEX46" s="78"/>
      <c r="WEY46" s="78"/>
      <c r="WEZ46" s="78"/>
      <c r="WFA46" s="78"/>
      <c r="WFB46" s="78"/>
      <c r="WFC46" s="78"/>
      <c r="WFD46" s="78"/>
      <c r="WFE46" s="78"/>
      <c r="WFF46" s="78"/>
      <c r="WFG46" s="78"/>
      <c r="WFH46" s="78"/>
      <c r="WFI46" s="78"/>
      <c r="WFJ46" s="78"/>
      <c r="WFK46" s="78"/>
      <c r="WFL46" s="78"/>
      <c r="WFM46" s="78"/>
      <c r="WFN46" s="78"/>
      <c r="WFO46" s="78"/>
      <c r="WFP46" s="78"/>
      <c r="WFQ46" s="78"/>
      <c r="WFR46" s="78"/>
      <c r="WFS46" s="78"/>
      <c r="WFT46" s="78"/>
      <c r="WFU46" s="78"/>
      <c r="WFV46" s="78"/>
      <c r="WFW46" s="78"/>
      <c r="WFX46" s="78"/>
      <c r="WFY46" s="78"/>
      <c r="WFZ46" s="78"/>
      <c r="WGA46" s="78"/>
      <c r="WGB46" s="78"/>
      <c r="WGC46" s="78"/>
      <c r="WGD46" s="78"/>
      <c r="WGE46" s="78"/>
      <c r="WGF46" s="78"/>
      <c r="WGG46" s="78"/>
      <c r="WGH46" s="78"/>
      <c r="WGI46" s="78"/>
      <c r="WGJ46" s="78"/>
      <c r="WGK46" s="78"/>
      <c r="WGL46" s="78"/>
      <c r="WGM46" s="78"/>
      <c r="WGN46" s="78"/>
      <c r="WGO46" s="78"/>
      <c r="WGP46" s="78"/>
      <c r="WGQ46" s="78"/>
      <c r="WGR46" s="78"/>
      <c r="WGS46" s="78"/>
      <c r="WGT46" s="78"/>
      <c r="WGU46" s="78"/>
      <c r="WGV46" s="78"/>
      <c r="WGW46" s="78"/>
      <c r="WGX46" s="78"/>
      <c r="WGY46" s="78"/>
      <c r="WGZ46" s="78"/>
      <c r="WHA46" s="78"/>
      <c r="WHB46" s="78"/>
      <c r="WHC46" s="78"/>
      <c r="WHD46" s="78"/>
      <c r="WHE46" s="78"/>
      <c r="WHF46" s="78"/>
      <c r="WHG46" s="78"/>
      <c r="WHH46" s="78"/>
      <c r="WHI46" s="78"/>
      <c r="WHJ46" s="78"/>
      <c r="WHK46" s="78"/>
      <c r="WHL46" s="78"/>
      <c r="WHM46" s="78"/>
      <c r="WHN46" s="78"/>
      <c r="WHO46" s="78"/>
      <c r="WHP46" s="78"/>
      <c r="WHQ46" s="78"/>
      <c r="WHR46" s="78"/>
      <c r="WHS46" s="78"/>
      <c r="WHT46" s="78"/>
      <c r="WHU46" s="78"/>
      <c r="WHV46" s="78"/>
      <c r="WHW46" s="78"/>
      <c r="WHX46" s="78"/>
      <c r="WHY46" s="78"/>
      <c r="WHZ46" s="78"/>
      <c r="WIA46" s="78"/>
      <c r="WIB46" s="78"/>
      <c r="WIC46" s="78"/>
      <c r="WID46" s="78"/>
      <c r="WIE46" s="78"/>
      <c r="WIF46" s="78"/>
      <c r="WIG46" s="78"/>
      <c r="WIH46" s="78"/>
      <c r="WII46" s="78"/>
      <c r="WIJ46" s="78"/>
      <c r="WIK46" s="78"/>
      <c r="WIL46" s="78"/>
      <c r="WIM46" s="78"/>
      <c r="WIN46" s="78"/>
      <c r="WIO46" s="78"/>
      <c r="WIP46" s="78"/>
      <c r="WIQ46" s="78"/>
      <c r="WIR46" s="78"/>
      <c r="WIS46" s="78"/>
      <c r="WIT46" s="78"/>
      <c r="WIU46" s="78"/>
      <c r="WIV46" s="78"/>
      <c r="WIW46" s="78"/>
      <c r="WIX46" s="78"/>
      <c r="WIY46" s="78"/>
      <c r="WIZ46" s="78"/>
      <c r="WJA46" s="78"/>
      <c r="WJB46" s="78"/>
      <c r="WJC46" s="78"/>
      <c r="WJD46" s="78"/>
      <c r="WJE46" s="78"/>
      <c r="WJF46" s="78"/>
      <c r="WJG46" s="78"/>
      <c r="WJH46" s="78"/>
      <c r="WJI46" s="78"/>
      <c r="WJJ46" s="78"/>
      <c r="WJK46" s="78"/>
      <c r="WJL46" s="78"/>
      <c r="WJM46" s="78"/>
      <c r="WJN46" s="78"/>
      <c r="WJO46" s="78"/>
      <c r="WJP46" s="78"/>
      <c r="WJQ46" s="78"/>
    </row>
    <row r="47" spans="1:15825" s="75" customFormat="1" ht="30" hidden="1" customHeight="1">
      <c r="A47" s="77"/>
      <c r="C47" s="79"/>
      <c r="D47" s="79"/>
      <c r="F47" s="817" t="s">
        <v>107</v>
      </c>
      <c r="G47" s="818"/>
      <c r="H47" s="314"/>
      <c r="I47" s="314"/>
      <c r="J47" s="314"/>
      <c r="K47" s="79"/>
    </row>
    <row r="48" spans="1:15825" s="78" customFormat="1" ht="30" hidden="1" customHeight="1">
      <c r="A48" s="77"/>
      <c r="C48" s="79"/>
      <c r="D48" s="79"/>
      <c r="E48" s="79"/>
      <c r="F48" s="122" t="s">
        <v>101</v>
      </c>
      <c r="G48" s="122" t="s">
        <v>102</v>
      </c>
      <c r="H48" s="315"/>
      <c r="I48" s="315"/>
      <c r="J48" s="315"/>
      <c r="Y48" s="77"/>
      <c r="Z48" s="77"/>
    </row>
    <row r="49" spans="1:26" s="78" customFormat="1" ht="66" hidden="1" customHeight="1">
      <c r="A49" s="123"/>
      <c r="C49" s="819" t="s">
        <v>108</v>
      </c>
      <c r="D49" s="820"/>
      <c r="E49" s="115" t="s">
        <v>136</v>
      </c>
      <c r="F49" s="124">
        <v>16</v>
      </c>
      <c r="G49" s="124">
        <v>17</v>
      </c>
      <c r="H49" s="316"/>
      <c r="I49" s="316"/>
      <c r="J49" s="316"/>
      <c r="N49" s="127" t="s">
        <v>103</v>
      </c>
      <c r="O49" s="127"/>
      <c r="P49" s="155" t="s">
        <v>42</v>
      </c>
      <c r="Y49" s="77"/>
      <c r="Z49" s="77"/>
    </row>
    <row r="50" spans="1:26" s="78" customFormat="1" ht="30" hidden="1" customHeight="1">
      <c r="A50" s="123"/>
      <c r="C50" s="114">
        <v>1</v>
      </c>
      <c r="D50" s="116" t="str">
        <f>VLOOKUP(C50,LISTA_OFERENTES,2,FALSE)</f>
        <v>KER INGENIERIA S.A.S.</v>
      </c>
      <c r="E50" s="125">
        <f t="shared" ref="E50:E66" ca="1" si="98">INDIRECT(F50,TRUE)</f>
        <v>0</v>
      </c>
      <c r="F50" s="117" t="str">
        <f>ADDRESS(82,G50,1,1)</f>
        <v>$P$82</v>
      </c>
      <c r="G50" s="117">
        <f>F49</f>
        <v>16</v>
      </c>
      <c r="H50" s="317"/>
      <c r="I50" s="317"/>
      <c r="J50" s="317"/>
      <c r="N50" s="114">
        <v>1</v>
      </c>
      <c r="O50" s="116" t="str">
        <f t="shared" ref="O50:O66" si="99">VLOOKUP(N50,LISTA_OFERENTES,2,FALSE)</f>
        <v>KER INGENIERIA S.A.S.</v>
      </c>
      <c r="P50" s="114" t="e">
        <f>IF(HLOOKUP(N50,VER_UNI,2,FALSE)="OK","H","NH")</f>
        <v>#N/A</v>
      </c>
      <c r="Y50" s="77"/>
      <c r="Z50" s="77"/>
    </row>
    <row r="51" spans="1:26" s="78" customFormat="1" ht="30" hidden="1" customHeight="1">
      <c r="A51" s="123"/>
      <c r="C51" s="114">
        <v>2</v>
      </c>
      <c r="D51" s="116" t="str">
        <f t="shared" ref="D51:D66" si="100">VLOOKUP(C51,LISTA_OFERENTES,2,FALSE)</f>
        <v>UNIÓN TEMPORAL SUPERVISOR 2021</v>
      </c>
      <c r="E51" s="125">
        <f t="shared" ca="1" si="98"/>
        <v>0</v>
      </c>
      <c r="F51" s="117" t="str">
        <f t="shared" ref="F51:F66" si="101">ADDRESS(82,G51,1,1)</f>
        <v>$AG$82</v>
      </c>
      <c r="G51" s="126">
        <f>G50+$G$49</f>
        <v>33</v>
      </c>
      <c r="H51" s="318"/>
      <c r="I51" s="318"/>
      <c r="J51" s="318"/>
      <c r="N51" s="114">
        <v>2</v>
      </c>
      <c r="O51" s="116" t="str">
        <f t="shared" si="99"/>
        <v>UNIÓN TEMPORAL SUPERVISOR 2021</v>
      </c>
      <c r="P51" s="114" t="e">
        <f t="shared" ref="P51:P66" si="102">IF(HLOOKUP(N51,VER_UNI,2,FALSE)="OK","H","NH")</f>
        <v>#N/A</v>
      </c>
      <c r="Y51" s="77"/>
      <c r="Z51" s="77"/>
    </row>
    <row r="52" spans="1:26" s="78" customFormat="1" ht="30" hidden="1" customHeight="1">
      <c r="A52" s="123"/>
      <c r="C52" s="114">
        <v>3</v>
      </c>
      <c r="D52" s="116" t="str">
        <f t="shared" si="100"/>
        <v>PreVeo S.A.S.</v>
      </c>
      <c r="E52" s="125">
        <f t="shared" ca="1" si="98"/>
        <v>0</v>
      </c>
      <c r="F52" s="117" t="str">
        <f t="shared" si="101"/>
        <v>$AX$82</v>
      </c>
      <c r="G52" s="126">
        <f t="shared" ref="G52:G66" si="103">G51+$G$49</f>
        <v>50</v>
      </c>
      <c r="H52" s="318"/>
      <c r="I52" s="318"/>
      <c r="J52" s="318"/>
      <c r="N52" s="114">
        <v>3</v>
      </c>
      <c r="O52" s="116" t="str">
        <f t="shared" si="99"/>
        <v>PreVeo S.A.S.</v>
      </c>
      <c r="P52" s="114" t="e">
        <f t="shared" si="102"/>
        <v>#N/A</v>
      </c>
      <c r="Y52" s="77"/>
      <c r="Z52" s="77"/>
    </row>
    <row r="53" spans="1:26" s="78" customFormat="1" ht="30" hidden="1" customHeight="1">
      <c r="A53" s="123"/>
      <c r="C53" s="114">
        <v>4</v>
      </c>
      <c r="D53" s="116" t="str">
        <f t="shared" si="100"/>
        <v>INTERVE S.A.S.</v>
      </c>
      <c r="E53" s="125">
        <f t="shared" ca="1" si="98"/>
        <v>0</v>
      </c>
      <c r="F53" s="117" t="str">
        <f t="shared" si="101"/>
        <v>$BO$82</v>
      </c>
      <c r="G53" s="126">
        <f t="shared" si="103"/>
        <v>67</v>
      </c>
      <c r="H53" s="318"/>
      <c r="I53" s="318"/>
      <c r="J53" s="318"/>
      <c r="N53" s="114">
        <v>4</v>
      </c>
      <c r="O53" s="116" t="str">
        <f t="shared" si="99"/>
        <v>INTERVE S.A.S.</v>
      </c>
      <c r="P53" s="114" t="e">
        <f t="shared" si="102"/>
        <v>#N/A</v>
      </c>
      <c r="Y53" s="77"/>
      <c r="Z53" s="77"/>
    </row>
    <row r="54" spans="1:26" s="78" customFormat="1" ht="30" hidden="1" customHeight="1">
      <c r="A54" s="123"/>
      <c r="C54" s="114">
        <v>5</v>
      </c>
      <c r="D54" s="116">
        <f t="shared" si="100"/>
        <v>0</v>
      </c>
      <c r="E54" s="125">
        <f t="shared" ca="1" si="98"/>
        <v>0</v>
      </c>
      <c r="F54" s="117" t="str">
        <f t="shared" si="101"/>
        <v>$CF$82</v>
      </c>
      <c r="G54" s="126">
        <f t="shared" si="103"/>
        <v>84</v>
      </c>
      <c r="H54" s="318"/>
      <c r="I54" s="318"/>
      <c r="J54" s="318"/>
      <c r="N54" s="114">
        <v>5</v>
      </c>
      <c r="O54" s="116">
        <f t="shared" si="99"/>
        <v>0</v>
      </c>
      <c r="P54" s="114" t="e">
        <f t="shared" si="102"/>
        <v>#N/A</v>
      </c>
    </row>
    <row r="55" spans="1:26" s="78" customFormat="1" ht="30" hidden="1" customHeight="1">
      <c r="A55" s="123"/>
      <c r="C55" s="114">
        <v>6</v>
      </c>
      <c r="D55" s="116">
        <f t="shared" si="100"/>
        <v>0</v>
      </c>
      <c r="E55" s="125">
        <f t="shared" ca="1" si="98"/>
        <v>0</v>
      </c>
      <c r="F55" s="117" t="str">
        <f t="shared" si="101"/>
        <v>$CW$82</v>
      </c>
      <c r="G55" s="126">
        <f t="shared" si="103"/>
        <v>101</v>
      </c>
      <c r="H55" s="318"/>
      <c r="I55" s="318"/>
      <c r="J55" s="318"/>
      <c r="N55" s="114">
        <v>6</v>
      </c>
      <c r="O55" s="116">
        <f t="shared" si="99"/>
        <v>0</v>
      </c>
      <c r="P55" s="114" t="e">
        <f t="shared" si="102"/>
        <v>#N/A</v>
      </c>
    </row>
    <row r="56" spans="1:26" s="78" customFormat="1" ht="30" hidden="1" customHeight="1">
      <c r="A56" s="123"/>
      <c r="C56" s="114">
        <v>7</v>
      </c>
      <c r="D56" s="116">
        <f t="shared" si="100"/>
        <v>0</v>
      </c>
      <c r="E56" s="125">
        <f t="shared" ca="1" si="98"/>
        <v>0</v>
      </c>
      <c r="F56" s="117" t="str">
        <f t="shared" si="101"/>
        <v>$DN$82</v>
      </c>
      <c r="G56" s="126">
        <f t="shared" si="103"/>
        <v>118</v>
      </c>
      <c r="H56" s="318"/>
      <c r="I56" s="318"/>
      <c r="J56" s="318"/>
      <c r="N56" s="114">
        <v>7</v>
      </c>
      <c r="O56" s="116">
        <f t="shared" si="99"/>
        <v>0</v>
      </c>
      <c r="P56" s="114" t="e">
        <f t="shared" si="102"/>
        <v>#N/A</v>
      </c>
    </row>
    <row r="57" spans="1:26" s="78" customFormat="1" ht="30" hidden="1" customHeight="1">
      <c r="A57" s="123"/>
      <c r="C57" s="114">
        <v>8</v>
      </c>
      <c r="D57" s="116">
        <f t="shared" si="100"/>
        <v>0</v>
      </c>
      <c r="E57" s="125">
        <f t="shared" ca="1" si="98"/>
        <v>0</v>
      </c>
      <c r="F57" s="117" t="str">
        <f t="shared" si="101"/>
        <v>$EE$82</v>
      </c>
      <c r="G57" s="126">
        <f t="shared" si="103"/>
        <v>135</v>
      </c>
      <c r="H57" s="318"/>
      <c r="I57" s="318"/>
      <c r="J57" s="318"/>
      <c r="N57" s="114">
        <v>8</v>
      </c>
      <c r="O57" s="116">
        <f t="shared" si="99"/>
        <v>0</v>
      </c>
      <c r="P57" s="114" t="e">
        <f t="shared" si="102"/>
        <v>#N/A</v>
      </c>
    </row>
    <row r="58" spans="1:26" s="78" customFormat="1" ht="30" hidden="1" customHeight="1">
      <c r="A58" s="123"/>
      <c r="C58" s="114">
        <v>9</v>
      </c>
      <c r="D58" s="116">
        <f t="shared" si="100"/>
        <v>0</v>
      </c>
      <c r="E58" s="125">
        <f t="shared" ca="1" si="98"/>
        <v>0</v>
      </c>
      <c r="F58" s="117" t="str">
        <f t="shared" si="101"/>
        <v>$EV$82</v>
      </c>
      <c r="G58" s="126">
        <f t="shared" si="103"/>
        <v>152</v>
      </c>
      <c r="H58" s="318"/>
      <c r="I58" s="318"/>
      <c r="J58" s="318"/>
      <c r="N58" s="114">
        <v>9</v>
      </c>
      <c r="O58" s="116">
        <f t="shared" si="99"/>
        <v>0</v>
      </c>
      <c r="P58" s="114" t="e">
        <f t="shared" si="102"/>
        <v>#N/A</v>
      </c>
    </row>
    <row r="59" spans="1:26" s="78" customFormat="1" ht="30" hidden="1" customHeight="1">
      <c r="A59" s="123"/>
      <c r="C59" s="114">
        <v>10</v>
      </c>
      <c r="D59" s="116">
        <f t="shared" si="100"/>
        <v>0</v>
      </c>
      <c r="E59" s="125">
        <f t="shared" ca="1" si="98"/>
        <v>0</v>
      </c>
      <c r="F59" s="117" t="str">
        <f t="shared" si="101"/>
        <v>$FM$82</v>
      </c>
      <c r="G59" s="126">
        <f t="shared" si="103"/>
        <v>169</v>
      </c>
      <c r="H59" s="318"/>
      <c r="I59" s="318"/>
      <c r="J59" s="318"/>
      <c r="N59" s="114">
        <v>10</v>
      </c>
      <c r="O59" s="116">
        <f t="shared" si="99"/>
        <v>0</v>
      </c>
      <c r="P59" s="114" t="e">
        <f t="shared" si="102"/>
        <v>#N/A</v>
      </c>
    </row>
    <row r="60" spans="1:26" s="78" customFormat="1" ht="30" hidden="1" customHeight="1">
      <c r="A60" s="123"/>
      <c r="C60" s="114">
        <v>11</v>
      </c>
      <c r="D60" s="116">
        <f t="shared" si="100"/>
        <v>0</v>
      </c>
      <c r="E60" s="125">
        <f t="shared" ca="1" si="98"/>
        <v>0</v>
      </c>
      <c r="F60" s="117" t="str">
        <f t="shared" si="101"/>
        <v>$GD$82</v>
      </c>
      <c r="G60" s="126">
        <f t="shared" si="103"/>
        <v>186</v>
      </c>
      <c r="H60" s="318"/>
      <c r="I60" s="318"/>
      <c r="J60" s="318"/>
      <c r="N60" s="114">
        <v>11</v>
      </c>
      <c r="O60" s="116">
        <f t="shared" si="99"/>
        <v>0</v>
      </c>
      <c r="P60" s="114" t="e">
        <f t="shared" si="102"/>
        <v>#N/A</v>
      </c>
    </row>
    <row r="61" spans="1:26" s="78" customFormat="1" ht="30" hidden="1" customHeight="1">
      <c r="A61" s="123"/>
      <c r="C61" s="114">
        <v>12</v>
      </c>
      <c r="D61" s="116">
        <f t="shared" si="100"/>
        <v>0</v>
      </c>
      <c r="E61" s="125">
        <f t="shared" ca="1" si="98"/>
        <v>0</v>
      </c>
      <c r="F61" s="117" t="str">
        <f t="shared" si="101"/>
        <v>$GU$82</v>
      </c>
      <c r="G61" s="126">
        <f t="shared" si="103"/>
        <v>203</v>
      </c>
      <c r="H61" s="318"/>
      <c r="I61" s="318"/>
      <c r="J61" s="318"/>
      <c r="N61" s="114">
        <v>12</v>
      </c>
      <c r="O61" s="116">
        <f t="shared" si="99"/>
        <v>0</v>
      </c>
      <c r="P61" s="114" t="e">
        <f t="shared" si="102"/>
        <v>#N/A</v>
      </c>
    </row>
    <row r="62" spans="1:26" s="78" customFormat="1" ht="30" hidden="1" customHeight="1">
      <c r="A62" s="123"/>
      <c r="C62" s="114">
        <v>13</v>
      </c>
      <c r="D62" s="116">
        <f t="shared" si="100"/>
        <v>0</v>
      </c>
      <c r="E62" s="125">
        <f t="shared" ca="1" si="98"/>
        <v>0</v>
      </c>
      <c r="F62" s="117" t="str">
        <f t="shared" si="101"/>
        <v>$HL$82</v>
      </c>
      <c r="G62" s="126">
        <f t="shared" si="103"/>
        <v>220</v>
      </c>
      <c r="H62" s="318"/>
      <c r="I62" s="318"/>
      <c r="J62" s="318"/>
      <c r="N62" s="114">
        <v>13</v>
      </c>
      <c r="O62" s="116">
        <f t="shared" si="99"/>
        <v>0</v>
      </c>
      <c r="P62" s="114" t="e">
        <f t="shared" si="102"/>
        <v>#N/A</v>
      </c>
    </row>
    <row r="63" spans="1:26" s="78" customFormat="1" ht="30" hidden="1" customHeight="1">
      <c r="A63" s="123"/>
      <c r="C63" s="114">
        <v>14</v>
      </c>
      <c r="D63" s="116">
        <f t="shared" si="100"/>
        <v>0</v>
      </c>
      <c r="E63" s="125">
        <f t="shared" ca="1" si="98"/>
        <v>0</v>
      </c>
      <c r="F63" s="117" t="str">
        <f t="shared" si="101"/>
        <v>$IC$82</v>
      </c>
      <c r="G63" s="126">
        <f t="shared" si="103"/>
        <v>237</v>
      </c>
      <c r="H63" s="318"/>
      <c r="I63" s="318"/>
      <c r="J63" s="318"/>
      <c r="N63" s="114">
        <v>14</v>
      </c>
      <c r="O63" s="116">
        <f t="shared" si="99"/>
        <v>0</v>
      </c>
      <c r="P63" s="114" t="e">
        <f t="shared" si="102"/>
        <v>#N/A</v>
      </c>
    </row>
    <row r="64" spans="1:26" s="78" customFormat="1" ht="30" hidden="1" customHeight="1">
      <c r="A64" s="123"/>
      <c r="C64" s="114">
        <v>15</v>
      </c>
      <c r="D64" s="116">
        <f t="shared" si="100"/>
        <v>0</v>
      </c>
      <c r="E64" s="125">
        <f t="shared" ca="1" si="98"/>
        <v>0</v>
      </c>
      <c r="F64" s="117" t="str">
        <f t="shared" si="101"/>
        <v>$IT$82</v>
      </c>
      <c r="G64" s="126">
        <f t="shared" si="103"/>
        <v>254</v>
      </c>
      <c r="H64" s="318"/>
      <c r="I64" s="318"/>
      <c r="J64" s="318"/>
      <c r="N64" s="114">
        <v>15</v>
      </c>
      <c r="O64" s="116">
        <f t="shared" si="99"/>
        <v>0</v>
      </c>
      <c r="P64" s="114" t="e">
        <f t="shared" si="102"/>
        <v>#N/A</v>
      </c>
    </row>
    <row r="65" spans="1:31" s="78" customFormat="1" ht="30" hidden="1" customHeight="1">
      <c r="A65" s="123"/>
      <c r="C65" s="114">
        <v>16</v>
      </c>
      <c r="D65" s="116">
        <f t="shared" si="100"/>
        <v>0</v>
      </c>
      <c r="E65" s="125">
        <f t="shared" ca="1" si="98"/>
        <v>0</v>
      </c>
      <c r="F65" s="117" t="str">
        <f t="shared" si="101"/>
        <v>$JK$82</v>
      </c>
      <c r="G65" s="126">
        <f t="shared" si="103"/>
        <v>271</v>
      </c>
      <c r="H65" s="318"/>
      <c r="I65" s="318"/>
      <c r="J65" s="318"/>
      <c r="N65" s="114">
        <v>16</v>
      </c>
      <c r="O65" s="116">
        <f t="shared" si="99"/>
        <v>0</v>
      </c>
      <c r="P65" s="114" t="e">
        <f t="shared" si="102"/>
        <v>#N/A</v>
      </c>
    </row>
    <row r="66" spans="1:31" s="78" customFormat="1" ht="30" hidden="1" customHeight="1">
      <c r="A66" s="123"/>
      <c r="C66" s="114">
        <v>17</v>
      </c>
      <c r="D66" s="116">
        <f t="shared" si="100"/>
        <v>0</v>
      </c>
      <c r="E66" s="125">
        <f t="shared" ca="1" si="98"/>
        <v>0</v>
      </c>
      <c r="F66" s="117" t="str">
        <f t="shared" si="101"/>
        <v>$KB$82</v>
      </c>
      <c r="G66" s="126">
        <f t="shared" si="103"/>
        <v>288</v>
      </c>
      <c r="H66" s="318"/>
      <c r="I66" s="318"/>
      <c r="J66" s="318"/>
      <c r="N66" s="114">
        <v>17</v>
      </c>
      <c r="O66" s="116">
        <f t="shared" si="99"/>
        <v>0</v>
      </c>
      <c r="P66" s="114" t="e">
        <f t="shared" si="102"/>
        <v>#N/A</v>
      </c>
    </row>
    <row r="67" spans="1:31" ht="15.75" hidden="1" customHeight="1">
      <c r="W67" s="78"/>
      <c r="X67" s="78"/>
      <c r="Y67" s="78"/>
      <c r="Z67" s="78"/>
      <c r="AA67" s="78"/>
      <c r="AB67" s="78"/>
      <c r="AC67" s="78"/>
      <c r="AD67" s="78"/>
      <c r="AE67" s="78"/>
    </row>
    <row r="68" spans="1:31" ht="15.75" hidden="1" customHeight="1">
      <c r="W68" s="78"/>
      <c r="X68" s="78"/>
      <c r="Y68" s="78"/>
      <c r="Z68" s="78"/>
      <c r="AA68" s="78"/>
      <c r="AB68" s="78"/>
      <c r="AC68" s="78"/>
      <c r="AD68" s="78"/>
      <c r="AE68" s="78"/>
    </row>
    <row r="69" spans="1:31" ht="15.75" hidden="1" customHeight="1">
      <c r="W69" s="78"/>
      <c r="X69" s="78"/>
      <c r="Y69" s="78"/>
      <c r="Z69" s="78"/>
      <c r="AA69" s="78"/>
      <c r="AB69" s="78"/>
      <c r="AC69" s="78"/>
      <c r="AD69" s="78"/>
      <c r="AE69" s="78"/>
    </row>
    <row r="70" spans="1:31" ht="15.75" hidden="1" customHeight="1">
      <c r="W70" s="78"/>
      <c r="X70" s="78"/>
      <c r="Y70" s="78"/>
      <c r="Z70" s="78"/>
      <c r="AA70" s="78"/>
      <c r="AB70" s="78"/>
      <c r="AC70" s="78"/>
      <c r="AD70" s="78"/>
      <c r="AE70" s="78"/>
    </row>
    <row r="71" spans="1:31" ht="15.75" hidden="1" customHeight="1">
      <c r="C71" s="815" t="s">
        <v>104</v>
      </c>
      <c r="D71" s="816"/>
      <c r="E71" s="79"/>
      <c r="F71" s="79"/>
    </row>
    <row r="72" spans="1:31" ht="30" hidden="1" customHeight="1">
      <c r="C72" s="113" t="s">
        <v>101</v>
      </c>
      <c r="D72" s="113" t="s">
        <v>105</v>
      </c>
      <c r="E72" s="79"/>
      <c r="F72" s="79"/>
      <c r="W72" s="75"/>
      <c r="X72" s="75"/>
      <c r="Y72" s="75"/>
      <c r="Z72" s="75"/>
      <c r="AA72" s="75"/>
      <c r="AB72" s="75"/>
      <c r="AC72" s="75"/>
      <c r="AD72" s="75"/>
      <c r="AE72" s="75"/>
    </row>
    <row r="73" spans="1:31" ht="15.75" hidden="1" customHeight="1">
      <c r="C73" s="114">
        <v>15</v>
      </c>
      <c r="D73" s="114">
        <v>17</v>
      </c>
      <c r="E73" s="79"/>
      <c r="F73" s="79"/>
    </row>
    <row r="74" spans="1:31" ht="15.75" hidden="1" customHeight="1">
      <c r="C74" s="79"/>
      <c r="D74" s="79"/>
      <c r="E74" s="79"/>
      <c r="F74" s="79"/>
    </row>
    <row r="75" spans="1:31" ht="15.75" hidden="1" customHeight="1">
      <c r="C75" s="200" t="s">
        <v>3</v>
      </c>
      <c r="D75" s="115" t="s">
        <v>106</v>
      </c>
      <c r="E75" s="79"/>
      <c r="F75" s="79"/>
    </row>
    <row r="76" spans="1:31" ht="18" hidden="1" customHeight="1">
      <c r="C76" s="118">
        <v>1</v>
      </c>
      <c r="D76" s="119">
        <f t="shared" ref="D76:D85" ca="1" si="104">INDIRECT(E76,TRUE)</f>
        <v>0</v>
      </c>
      <c r="E76" s="120" t="str">
        <f>ADDRESS(88,F76,1,1)</f>
        <v>$O$88</v>
      </c>
      <c r="F76" s="120">
        <f>C73</f>
        <v>15</v>
      </c>
    </row>
    <row r="77" spans="1:31" ht="18" hidden="1" customHeight="1">
      <c r="C77" s="118">
        <v>2</v>
      </c>
      <c r="D77" s="119">
        <f t="shared" ca="1" si="104"/>
        <v>0</v>
      </c>
      <c r="E77" s="120" t="str">
        <f t="shared" ref="E77:E89" si="105">ADDRESS(88,F77,1,1)</f>
        <v>$AF$88</v>
      </c>
      <c r="F77" s="120">
        <f>F76+$D$73</f>
        <v>32</v>
      </c>
    </row>
    <row r="78" spans="1:31" ht="18" hidden="1" customHeight="1">
      <c r="C78" s="118">
        <v>3</v>
      </c>
      <c r="D78" s="119">
        <f t="shared" ca="1" si="104"/>
        <v>0</v>
      </c>
      <c r="E78" s="120" t="str">
        <f t="shared" si="105"/>
        <v>$AW$88</v>
      </c>
      <c r="F78" s="120">
        <f t="shared" ref="F78:F89" si="106">F77+$D$73</f>
        <v>49</v>
      </c>
    </row>
    <row r="79" spans="1:31" ht="18" hidden="1" customHeight="1">
      <c r="C79" s="118">
        <v>4</v>
      </c>
      <c r="D79" s="119">
        <f t="shared" ca="1" si="104"/>
        <v>0</v>
      </c>
      <c r="E79" s="120" t="str">
        <f t="shared" si="105"/>
        <v>$BN$88</v>
      </c>
      <c r="F79" s="120">
        <f t="shared" si="106"/>
        <v>66</v>
      </c>
    </row>
    <row r="80" spans="1:31" ht="18" hidden="1" customHeight="1">
      <c r="C80" s="118">
        <v>5</v>
      </c>
      <c r="D80" s="119">
        <f t="shared" ca="1" si="104"/>
        <v>0</v>
      </c>
      <c r="E80" s="120" t="str">
        <f t="shared" si="105"/>
        <v>$CE$88</v>
      </c>
      <c r="F80" s="120">
        <f t="shared" si="106"/>
        <v>83</v>
      </c>
    </row>
    <row r="81" spans="3:6" ht="18" hidden="1" customHeight="1">
      <c r="C81" s="118">
        <v>6</v>
      </c>
      <c r="D81" s="119">
        <f t="shared" ca="1" si="104"/>
        <v>0</v>
      </c>
      <c r="E81" s="120" t="str">
        <f t="shared" si="105"/>
        <v>$CV$88</v>
      </c>
      <c r="F81" s="120">
        <f t="shared" si="106"/>
        <v>100</v>
      </c>
    </row>
    <row r="82" spans="3:6" ht="18" hidden="1" customHeight="1">
      <c r="C82" s="118">
        <v>7</v>
      </c>
      <c r="D82" s="119">
        <f t="shared" ca="1" si="104"/>
        <v>0</v>
      </c>
      <c r="E82" s="120" t="str">
        <f t="shared" si="105"/>
        <v>$DM$88</v>
      </c>
      <c r="F82" s="120">
        <f t="shared" si="106"/>
        <v>117</v>
      </c>
    </row>
    <row r="83" spans="3:6" ht="18" hidden="1" customHeight="1">
      <c r="C83" s="118">
        <v>8</v>
      </c>
      <c r="D83" s="119">
        <f t="shared" ca="1" si="104"/>
        <v>0</v>
      </c>
      <c r="E83" s="120" t="str">
        <f t="shared" si="105"/>
        <v>$ED$88</v>
      </c>
      <c r="F83" s="120">
        <f t="shared" si="106"/>
        <v>134</v>
      </c>
    </row>
    <row r="84" spans="3:6" ht="18" hidden="1" customHeight="1">
      <c r="C84" s="118">
        <v>9</v>
      </c>
      <c r="D84" s="119">
        <f t="shared" ca="1" si="104"/>
        <v>0</v>
      </c>
      <c r="E84" s="120" t="str">
        <f t="shared" si="105"/>
        <v>$EU$88</v>
      </c>
      <c r="F84" s="120">
        <f t="shared" si="106"/>
        <v>151</v>
      </c>
    </row>
    <row r="85" spans="3:6" ht="18" hidden="1" customHeight="1">
      <c r="C85" s="118">
        <v>10</v>
      </c>
      <c r="D85" s="119">
        <f t="shared" ca="1" si="104"/>
        <v>0</v>
      </c>
      <c r="E85" s="120" t="str">
        <f t="shared" si="105"/>
        <v>$FL$88</v>
      </c>
      <c r="F85" s="120">
        <f t="shared" si="106"/>
        <v>168</v>
      </c>
    </row>
    <row r="86" spans="3:6" ht="18" hidden="1" customHeight="1">
      <c r="C86" s="118">
        <v>11</v>
      </c>
      <c r="D86" s="119">
        <f t="shared" ref="D86:D89" ca="1" si="107">INDIRECT(E86,TRUE)</f>
        <v>0</v>
      </c>
      <c r="E86" s="120" t="str">
        <f t="shared" si="105"/>
        <v>$GC$88</v>
      </c>
      <c r="F86" s="120">
        <f t="shared" si="106"/>
        <v>185</v>
      </c>
    </row>
    <row r="87" spans="3:6" ht="18" hidden="1" customHeight="1">
      <c r="C87" s="118">
        <v>12</v>
      </c>
      <c r="D87" s="119">
        <f t="shared" ca="1" si="107"/>
        <v>0</v>
      </c>
      <c r="E87" s="120" t="str">
        <f t="shared" si="105"/>
        <v>$GT$88</v>
      </c>
      <c r="F87" s="120">
        <f t="shared" si="106"/>
        <v>202</v>
      </c>
    </row>
    <row r="88" spans="3:6" ht="18" hidden="1" customHeight="1">
      <c r="C88" s="118">
        <v>13</v>
      </c>
      <c r="D88" s="119">
        <f t="shared" ca="1" si="107"/>
        <v>0</v>
      </c>
      <c r="E88" s="120" t="str">
        <f t="shared" si="105"/>
        <v>$HK$88</v>
      </c>
      <c r="F88" s="120">
        <f t="shared" si="106"/>
        <v>219</v>
      </c>
    </row>
    <row r="89" spans="3:6" ht="18" hidden="1" customHeight="1">
      <c r="C89" s="118">
        <v>14</v>
      </c>
      <c r="D89" s="119">
        <f t="shared" ca="1" si="107"/>
        <v>0</v>
      </c>
      <c r="E89" s="120" t="str">
        <f t="shared" si="105"/>
        <v>$IB$88</v>
      </c>
      <c r="F89" s="120">
        <f t="shared" si="106"/>
        <v>236</v>
      </c>
    </row>
    <row r="90" spans="3:6" ht="15.75" hidden="1" customHeight="1"/>
    <row r="91" spans="3:6" ht="15.75" hidden="1" customHeight="1"/>
    <row r="92" spans="3:6" ht="15.75" hidden="1" customHeight="1"/>
    <row r="93" spans="3:6" ht="15.75" hidden="1" customHeight="1"/>
    <row r="94" spans="3:6" ht="15.75" hidden="1" customHeight="1"/>
    <row r="110" spans="23:31">
      <c r="W110" s="75"/>
      <c r="X110" s="77"/>
      <c r="Y110" s="78"/>
      <c r="Z110" s="77"/>
      <c r="AA110" s="78"/>
      <c r="AB110" s="77"/>
      <c r="AC110" s="78"/>
      <c r="AD110" s="77"/>
      <c r="AE110" s="75"/>
    </row>
    <row r="111" spans="23:31">
      <c r="W111" s="75"/>
      <c r="X111" s="75"/>
      <c r="Y111" s="75"/>
      <c r="Z111" s="75"/>
      <c r="AA111" s="75"/>
      <c r="AB111" s="75"/>
      <c r="AC111" s="75"/>
      <c r="AD111" s="75"/>
      <c r="AE111" s="75"/>
    </row>
    <row r="112" spans="23:31">
      <c r="W112" s="78"/>
      <c r="X112" s="77"/>
      <c r="Y112" s="78"/>
      <c r="Z112" s="77"/>
      <c r="AA112" s="78"/>
      <c r="AB112" s="77"/>
      <c r="AC112" s="78"/>
      <c r="AD112" s="77"/>
      <c r="AE112" s="78"/>
    </row>
    <row r="113" spans="23:31">
      <c r="W113" s="78"/>
      <c r="X113" s="77"/>
      <c r="Y113" s="78"/>
      <c r="Z113" s="77"/>
      <c r="AA113" s="78"/>
      <c r="AB113" s="77"/>
      <c r="AC113" s="78"/>
      <c r="AD113" s="77"/>
      <c r="AE113" s="78"/>
    </row>
    <row r="114" spans="23:31">
      <c r="W114" s="78"/>
      <c r="X114" s="77"/>
      <c r="Y114" s="78"/>
      <c r="Z114" s="77"/>
      <c r="AA114" s="78"/>
      <c r="AB114" s="77"/>
      <c r="AC114" s="78"/>
      <c r="AD114" s="77"/>
      <c r="AE114" s="78"/>
    </row>
    <row r="115" spans="23:31">
      <c r="W115" s="78"/>
      <c r="X115" s="77"/>
      <c r="Y115" s="78"/>
      <c r="Z115" s="77"/>
      <c r="AA115" s="78"/>
      <c r="AB115" s="77"/>
      <c r="AC115" s="78"/>
      <c r="AD115" s="77"/>
      <c r="AE115" s="78"/>
    </row>
    <row r="116" spans="23:31">
      <c r="W116" s="78"/>
      <c r="X116" s="77"/>
      <c r="Y116" s="78"/>
      <c r="Z116" s="77"/>
      <c r="AA116" s="78"/>
      <c r="AB116" s="77"/>
      <c r="AC116" s="78"/>
      <c r="AD116" s="77"/>
      <c r="AE116" s="78"/>
    </row>
    <row r="117" spans="23:31">
      <c r="W117" s="78"/>
      <c r="X117" s="77"/>
      <c r="Y117" s="78"/>
      <c r="Z117" s="77"/>
      <c r="AA117" s="78"/>
      <c r="AB117" s="77"/>
      <c r="AC117" s="78"/>
      <c r="AD117" s="77"/>
      <c r="AE117" s="78"/>
    </row>
    <row r="118" spans="23:31">
      <c r="W118" s="78"/>
      <c r="X118" s="78"/>
      <c r="Y118" s="78"/>
      <c r="Z118" s="78"/>
      <c r="AA118" s="78"/>
      <c r="AB118" s="78"/>
      <c r="AC118" s="78"/>
      <c r="AD118" s="78"/>
      <c r="AE118" s="78"/>
    </row>
    <row r="119" spans="23:31">
      <c r="W119" s="78"/>
      <c r="X119" s="78"/>
      <c r="Y119" s="78"/>
      <c r="Z119" s="78"/>
      <c r="AA119" s="78"/>
      <c r="AB119" s="78"/>
      <c r="AC119" s="78"/>
      <c r="AD119" s="78"/>
      <c r="AE119" s="78"/>
    </row>
    <row r="120" spans="23:31">
      <c r="W120" s="78"/>
      <c r="X120" s="78"/>
      <c r="Y120" s="78"/>
      <c r="Z120" s="78"/>
      <c r="AA120" s="78"/>
      <c r="AB120" s="78"/>
      <c r="AC120" s="78"/>
      <c r="AD120" s="78"/>
      <c r="AE120" s="78"/>
    </row>
    <row r="121" spans="23:31">
      <c r="W121" s="78"/>
      <c r="X121" s="78"/>
      <c r="Y121" s="78"/>
      <c r="Z121" s="78"/>
      <c r="AA121" s="78"/>
      <c r="AB121" s="78"/>
      <c r="AC121" s="78"/>
      <c r="AD121" s="78"/>
      <c r="AE121" s="78"/>
    </row>
    <row r="122" spans="23:31">
      <c r="W122" s="78"/>
      <c r="X122" s="78"/>
      <c r="Y122" s="78"/>
      <c r="Z122" s="78"/>
      <c r="AA122" s="78"/>
      <c r="AB122" s="78"/>
      <c r="AC122" s="78"/>
      <c r="AD122" s="78"/>
      <c r="AE122" s="78"/>
    </row>
    <row r="123" spans="23:31">
      <c r="W123" s="78"/>
      <c r="X123" s="78"/>
      <c r="Y123" s="78"/>
      <c r="Z123" s="78"/>
      <c r="AA123" s="78"/>
      <c r="AB123" s="78"/>
      <c r="AC123" s="78"/>
      <c r="AD123" s="78"/>
      <c r="AE123" s="78"/>
    </row>
    <row r="124" spans="23:31">
      <c r="W124" s="78"/>
      <c r="X124" s="78"/>
      <c r="Y124" s="78"/>
      <c r="Z124" s="78"/>
      <c r="AA124" s="78"/>
      <c r="AB124" s="78"/>
      <c r="AC124" s="78"/>
      <c r="AD124" s="78"/>
      <c r="AE124" s="78"/>
    </row>
    <row r="125" spans="23:31">
      <c r="W125" s="78"/>
      <c r="X125" s="78"/>
      <c r="Y125" s="78"/>
      <c r="Z125" s="78"/>
      <c r="AA125" s="78"/>
      <c r="AB125" s="78"/>
      <c r="AC125" s="78"/>
      <c r="AD125" s="78"/>
      <c r="AE125" s="78"/>
    </row>
    <row r="126" spans="23:31">
      <c r="W126" s="78"/>
      <c r="X126" s="78"/>
      <c r="Y126" s="78"/>
      <c r="Z126" s="78"/>
      <c r="AA126" s="78"/>
      <c r="AB126" s="78"/>
      <c r="AC126" s="78"/>
      <c r="AD126" s="78"/>
      <c r="AE126" s="78"/>
    </row>
    <row r="127" spans="23:31">
      <c r="W127" s="78"/>
      <c r="X127" s="78"/>
      <c r="Y127" s="78"/>
      <c r="Z127" s="78"/>
      <c r="AA127" s="78"/>
      <c r="AB127" s="78"/>
      <c r="AC127" s="78"/>
      <c r="AD127" s="78"/>
      <c r="AE127" s="78"/>
    </row>
    <row r="128" spans="23:31">
      <c r="W128" s="77"/>
      <c r="X128" s="77"/>
      <c r="Y128" s="77"/>
      <c r="Z128" s="77"/>
      <c r="AA128" s="77"/>
      <c r="AB128" s="77"/>
      <c r="AC128" s="77"/>
      <c r="AD128" s="77"/>
      <c r="AE128" s="79"/>
    </row>
    <row r="129" spans="23:31">
      <c r="W129" s="77"/>
      <c r="X129" s="77"/>
      <c r="Y129" s="77"/>
      <c r="Z129" s="77"/>
      <c r="AA129" s="77"/>
      <c r="AB129" s="77"/>
      <c r="AC129" s="77"/>
      <c r="AD129" s="77"/>
      <c r="AE129" s="79"/>
    </row>
    <row r="130" spans="23:31">
      <c r="W130" s="77"/>
      <c r="X130" s="77"/>
      <c r="Y130" s="77"/>
      <c r="Z130" s="77"/>
      <c r="AA130" s="77"/>
      <c r="AB130" s="77"/>
      <c r="AC130" s="77"/>
      <c r="AD130" s="77"/>
      <c r="AE130" s="79"/>
    </row>
    <row r="131" spans="23:31">
      <c r="W131" s="77"/>
      <c r="X131" s="77"/>
      <c r="Y131" s="77"/>
      <c r="Z131" s="77"/>
      <c r="AA131" s="77"/>
      <c r="AB131" s="77"/>
      <c r="AC131" s="77"/>
      <c r="AD131" s="77"/>
      <c r="AE131" s="79"/>
    </row>
    <row r="132" spans="23:31">
      <c r="W132" s="77"/>
      <c r="X132" s="77"/>
      <c r="Y132" s="77"/>
      <c r="Z132" s="77"/>
      <c r="AA132" s="77"/>
      <c r="AB132" s="77"/>
      <c r="AC132" s="77"/>
      <c r="AD132" s="77"/>
      <c r="AE132" s="79"/>
    </row>
    <row r="133" spans="23:31">
      <c r="W133" s="77"/>
      <c r="X133" s="77"/>
      <c r="Y133" s="77"/>
      <c r="Z133" s="77"/>
      <c r="AA133" s="77"/>
      <c r="AB133" s="77"/>
      <c r="AC133" s="77"/>
      <c r="AD133" s="77"/>
      <c r="AE133" s="79"/>
    </row>
    <row r="134" spans="23:31">
      <c r="W134" s="77"/>
      <c r="X134" s="77"/>
      <c r="Y134" s="77"/>
      <c r="Z134" s="77"/>
      <c r="AA134" s="77"/>
      <c r="AB134" s="77"/>
      <c r="AC134" s="77"/>
      <c r="AD134" s="77"/>
      <c r="AE134" s="79"/>
    </row>
    <row r="135" spans="23:31">
      <c r="W135" s="77"/>
      <c r="X135" s="77"/>
      <c r="Y135" s="77"/>
      <c r="Z135" s="77"/>
      <c r="AA135" s="77"/>
      <c r="AB135" s="77"/>
      <c r="AC135" s="77"/>
      <c r="AD135" s="77"/>
      <c r="AE135" s="79"/>
    </row>
    <row r="136" spans="23:31">
      <c r="W136" s="77"/>
      <c r="X136" s="77"/>
      <c r="Y136" s="77"/>
      <c r="Z136" s="77"/>
      <c r="AA136" s="77"/>
      <c r="AB136" s="77"/>
      <c r="AC136" s="77"/>
      <c r="AD136" s="77"/>
      <c r="AE136" s="79"/>
    </row>
    <row r="137" spans="23:31">
      <c r="W137" s="77"/>
      <c r="X137" s="77"/>
      <c r="Y137" s="77"/>
      <c r="Z137" s="77"/>
      <c r="AA137" s="77"/>
      <c r="AB137" s="77"/>
      <c r="AC137" s="77"/>
      <c r="AD137" s="77"/>
      <c r="AE137" s="79"/>
    </row>
    <row r="138" spans="23:31">
      <c r="W138" s="77"/>
      <c r="X138" s="77"/>
      <c r="Y138" s="77"/>
      <c r="Z138" s="77"/>
      <c r="AA138" s="77"/>
      <c r="AB138" s="77"/>
      <c r="AC138" s="77"/>
      <c r="AD138" s="77"/>
      <c r="AE138" s="79"/>
    </row>
    <row r="139" spans="23:31">
      <c r="W139" s="77"/>
      <c r="X139" s="77"/>
      <c r="Y139" s="77"/>
      <c r="Z139" s="77"/>
      <c r="AA139" s="77"/>
      <c r="AB139" s="77"/>
      <c r="AC139" s="77"/>
      <c r="AD139" s="77"/>
      <c r="AE139" s="79"/>
    </row>
    <row r="140" spans="23:31">
      <c r="W140" s="77"/>
      <c r="X140" s="77"/>
      <c r="Y140" s="77"/>
      <c r="Z140" s="77"/>
      <c r="AA140" s="77"/>
      <c r="AB140" s="77"/>
      <c r="AC140" s="77"/>
      <c r="AD140" s="77"/>
      <c r="AE140" s="79"/>
    </row>
    <row r="141" spans="23:31">
      <c r="W141" s="77"/>
      <c r="X141" s="77"/>
      <c r="Y141" s="77"/>
      <c r="Z141" s="77"/>
      <c r="AA141" s="77"/>
      <c r="AB141" s="77"/>
      <c r="AC141" s="77"/>
      <c r="AD141" s="77"/>
      <c r="AE141" s="79"/>
    </row>
    <row r="142" spans="23:31">
      <c r="W142" s="77"/>
      <c r="X142" s="77"/>
      <c r="Y142" s="77"/>
      <c r="Z142" s="77"/>
      <c r="AA142" s="77"/>
      <c r="AB142" s="77"/>
      <c r="AC142" s="77"/>
      <c r="AD142" s="77"/>
      <c r="AE142" s="79"/>
    </row>
    <row r="143" spans="23:31">
      <c r="W143" s="77"/>
      <c r="X143" s="77"/>
      <c r="Y143" s="77"/>
      <c r="Z143" s="77"/>
      <c r="AA143" s="77"/>
      <c r="AB143" s="77"/>
      <c r="AC143" s="77"/>
      <c r="AD143" s="77"/>
      <c r="AE143" s="79"/>
    </row>
    <row r="144" spans="23:31">
      <c r="W144" s="77"/>
      <c r="X144" s="77"/>
      <c r="Y144" s="77"/>
      <c r="Z144" s="77"/>
      <c r="AA144" s="77"/>
      <c r="AB144" s="77"/>
      <c r="AC144" s="77"/>
      <c r="AD144" s="77"/>
      <c r="AE144" s="79"/>
    </row>
    <row r="145" spans="23:31">
      <c r="W145" s="77"/>
      <c r="X145" s="77"/>
      <c r="Y145" s="77"/>
      <c r="Z145" s="77"/>
      <c r="AA145" s="77"/>
      <c r="AB145" s="77"/>
      <c r="AC145" s="77"/>
      <c r="AD145" s="77"/>
      <c r="AE145" s="79"/>
    </row>
  </sheetData>
  <sheetProtection algorithmName="SHA-512" hashValue="m5poROQ5197A1dz7crMXPF7bQTkFEvIukF6e5ZJd+TNfU7ITk/p0wU92ZZ5S2tebF/+tloJoY5c30K6plt6z+A==" saltValue="FGE7TZ6yT5CtC5wRDwS+LA==" spinCount="100000" sheet="1" objects="1" scenarios="1"/>
  <mergeCells count="168">
    <mergeCell ref="BM26:BU26"/>
    <mergeCell ref="BZ33:CE33"/>
    <mergeCell ref="CG27:CP27"/>
    <mergeCell ref="CH28:CP28"/>
    <mergeCell ref="CH29:CP29"/>
    <mergeCell ref="BZ35:CE35"/>
    <mergeCell ref="BZ36:CE36"/>
    <mergeCell ref="BZ37:CE37"/>
    <mergeCell ref="BM3:BM10"/>
    <mergeCell ref="CM3:CM10"/>
    <mergeCell ref="CN3:CN10"/>
    <mergeCell ref="CO3:CO10"/>
    <mergeCell ref="CP3:CP10"/>
    <mergeCell ref="CJ3:CJ10"/>
    <mergeCell ref="CK3:CK10"/>
    <mergeCell ref="CL3:CL10"/>
    <mergeCell ref="BX4:BZ8"/>
    <mergeCell ref="CA4:CG4"/>
    <mergeCell ref="CA5:CG6"/>
    <mergeCell ref="CA7:CG8"/>
    <mergeCell ref="BZ10:CG10"/>
    <mergeCell ref="BZ18:CG18"/>
    <mergeCell ref="CH18:CP18"/>
    <mergeCell ref="AS3:AS10"/>
    <mergeCell ref="AT3:AT10"/>
    <mergeCell ref="AU3:AU10"/>
    <mergeCell ref="AV3:AV10"/>
    <mergeCell ref="AE3:AE10"/>
    <mergeCell ref="BM18:BU18"/>
    <mergeCell ref="BM23:BU23"/>
    <mergeCell ref="BM24:BU24"/>
    <mergeCell ref="BM25:BU25"/>
    <mergeCell ref="AJ10:AQ10"/>
    <mergeCell ref="W23:AE23"/>
    <mergeCell ref="W24:AE24"/>
    <mergeCell ref="W25:AE25"/>
    <mergeCell ref="BT3:BT10"/>
    <mergeCell ref="BU3:BU10"/>
    <mergeCell ref="BF4:BL4"/>
    <mergeCell ref="BF5:BL6"/>
    <mergeCell ref="BF7:BL8"/>
    <mergeCell ref="BE10:BL10"/>
    <mergeCell ref="AZ3:AZ10"/>
    <mergeCell ref="AH4:AJ8"/>
    <mergeCell ref="AK4:AQ4"/>
    <mergeCell ref="AK5:AQ6"/>
    <mergeCell ref="AK7:AQ8"/>
    <mergeCell ref="M43:V43"/>
    <mergeCell ref="C71:D71"/>
    <mergeCell ref="F47:G47"/>
    <mergeCell ref="C49:D49"/>
    <mergeCell ref="P2:V3"/>
    <mergeCell ref="B3:K3"/>
    <mergeCell ref="B4:D8"/>
    <mergeCell ref="E4:K4"/>
    <mergeCell ref="E5:K6"/>
    <mergeCell ref="E7:K8"/>
    <mergeCell ref="M4:O8"/>
    <mergeCell ref="P4:V4"/>
    <mergeCell ref="P5:V6"/>
    <mergeCell ref="P7:V8"/>
    <mergeCell ref="M2:M3"/>
    <mergeCell ref="N2:O3"/>
    <mergeCell ref="O37:T37"/>
    <mergeCell ref="O39:T39"/>
    <mergeCell ref="O40:T40"/>
    <mergeCell ref="D10:K10"/>
    <mergeCell ref="D18:K18"/>
    <mergeCell ref="B22:I22"/>
    <mergeCell ref="H25:I25"/>
    <mergeCell ref="D33:I33"/>
    <mergeCell ref="D35:I35"/>
    <mergeCell ref="D36:I36"/>
    <mergeCell ref="D37:I37"/>
    <mergeCell ref="D39:I39"/>
    <mergeCell ref="D40:I40"/>
    <mergeCell ref="O10:V10"/>
    <mergeCell ref="O18:V18"/>
    <mergeCell ref="M22:T22"/>
    <mergeCell ref="O24:T24"/>
    <mergeCell ref="S25:T25"/>
    <mergeCell ref="O26:T26"/>
    <mergeCell ref="O33:T33"/>
    <mergeCell ref="O35:T35"/>
    <mergeCell ref="O36:T36"/>
    <mergeCell ref="D24:I24"/>
    <mergeCell ref="D26:I26"/>
    <mergeCell ref="W26:AE26"/>
    <mergeCell ref="V27:AE27"/>
    <mergeCell ref="W28:AE28"/>
    <mergeCell ref="W29:AE29"/>
    <mergeCell ref="AH2:AH3"/>
    <mergeCell ref="AI2:AJ3"/>
    <mergeCell ref="AJ18:AQ18"/>
    <mergeCell ref="AQ27:AZ27"/>
    <mergeCell ref="AR28:AZ28"/>
    <mergeCell ref="AR29:AZ29"/>
    <mergeCell ref="W3:W10"/>
    <mergeCell ref="X3:X10"/>
    <mergeCell ref="Y3:Y10"/>
    <mergeCell ref="Z3:Z10"/>
    <mergeCell ref="AA3:AA10"/>
    <mergeCell ref="AB3:AB10"/>
    <mergeCell ref="W18:AE18"/>
    <mergeCell ref="AC3:AC10"/>
    <mergeCell ref="AD3:AD10"/>
    <mergeCell ref="AR3:AR10"/>
    <mergeCell ref="AK2:AQ3"/>
    <mergeCell ref="AW3:AW10"/>
    <mergeCell ref="AX3:AX10"/>
    <mergeCell ref="AY3:AY10"/>
    <mergeCell ref="AJ37:AO37"/>
    <mergeCell ref="AJ39:AO39"/>
    <mergeCell ref="AJ40:AO40"/>
    <mergeCell ref="AH43:AQ43"/>
    <mergeCell ref="BC2:BC3"/>
    <mergeCell ref="BD2:BE3"/>
    <mergeCell ref="BC4:BE8"/>
    <mergeCell ref="BE18:BL18"/>
    <mergeCell ref="BC22:BJ22"/>
    <mergeCell ref="BE24:BJ24"/>
    <mergeCell ref="BI25:BJ25"/>
    <mergeCell ref="BE26:BJ26"/>
    <mergeCell ref="BL27:BU27"/>
    <mergeCell ref="BM28:BU28"/>
    <mergeCell ref="BM29:BU29"/>
    <mergeCell ref="BE33:BJ33"/>
    <mergeCell ref="BE35:BJ35"/>
    <mergeCell ref="BE36:BJ36"/>
    <mergeCell ref="BE37:BJ37"/>
    <mergeCell ref="BE39:BJ39"/>
    <mergeCell ref="BE40:BJ40"/>
    <mergeCell ref="AR18:AZ18"/>
    <mergeCell ref="AH22:AO22"/>
    <mergeCell ref="AR23:AZ23"/>
    <mergeCell ref="AJ33:AO33"/>
    <mergeCell ref="AJ35:AO35"/>
    <mergeCell ref="AJ36:AO36"/>
    <mergeCell ref="AJ24:AO24"/>
    <mergeCell ref="AR24:AZ24"/>
    <mergeCell ref="AN25:AO25"/>
    <mergeCell ref="AR25:AZ25"/>
    <mergeCell ref="AJ26:AO26"/>
    <mergeCell ref="AR26:AZ26"/>
    <mergeCell ref="BZ39:CE39"/>
    <mergeCell ref="BZ40:CE40"/>
    <mergeCell ref="BX43:CG43"/>
    <mergeCell ref="BC43:BL43"/>
    <mergeCell ref="BX2:BX3"/>
    <mergeCell ref="BY2:BZ3"/>
    <mergeCell ref="CA2:CG3"/>
    <mergeCell ref="CH3:CH10"/>
    <mergeCell ref="CI3:CI10"/>
    <mergeCell ref="BX22:CE22"/>
    <mergeCell ref="CH23:CP23"/>
    <mergeCell ref="BZ24:CE24"/>
    <mergeCell ref="CH24:CP24"/>
    <mergeCell ref="CD25:CE25"/>
    <mergeCell ref="CH25:CP25"/>
    <mergeCell ref="BZ26:CE26"/>
    <mergeCell ref="CH26:CP26"/>
    <mergeCell ref="BF2:BL3"/>
    <mergeCell ref="BN3:BN10"/>
    <mergeCell ref="BO3:BO10"/>
    <mergeCell ref="BP3:BP10"/>
    <mergeCell ref="BQ3:BQ10"/>
    <mergeCell ref="BR3:BR10"/>
    <mergeCell ref="BS3:BS10"/>
  </mergeCells>
  <conditionalFormatting sqref="M43">
    <cfRule type="cellIs" dxfId="373" priority="7964" operator="equal">
      <formula>"NO HABILITADO"</formula>
    </cfRule>
    <cfRule type="cellIs" dxfId="372" priority="7965" operator="equal">
      <formula>"OK"</formula>
    </cfRule>
  </conditionalFormatting>
  <conditionalFormatting sqref="W11:Z11 W18">
    <cfRule type="cellIs" dxfId="371" priority="7940" operator="equal">
      <formula>0</formula>
    </cfRule>
    <cfRule type="cellIs" dxfId="370" priority="7941" operator="equal">
      <formula>1</formula>
    </cfRule>
  </conditionalFormatting>
  <conditionalFormatting sqref="AC43">
    <cfRule type="cellIs" dxfId="369" priority="7952" operator="equal">
      <formula>0</formula>
    </cfRule>
    <cfRule type="cellIs" dxfId="368" priority="7953" operator="equal">
      <formula>1</formula>
    </cfRule>
  </conditionalFormatting>
  <conditionalFormatting sqref="AE43">
    <cfRule type="cellIs" dxfId="367" priority="7948" operator="equal">
      <formula>0</formula>
    </cfRule>
    <cfRule type="cellIs" dxfId="366" priority="7949" operator="equal">
      <formula>1</formula>
    </cfRule>
  </conditionalFormatting>
  <conditionalFormatting sqref="AA11:AB11">
    <cfRule type="cellIs" dxfId="365" priority="7944" operator="equal">
      <formula>0</formula>
    </cfRule>
    <cfRule type="cellIs" dxfId="364" priority="7945" operator="equal">
      <formula>1</formula>
    </cfRule>
  </conditionalFormatting>
  <conditionalFormatting sqref="AC11">
    <cfRule type="cellIs" dxfId="363" priority="7942" operator="equal">
      <formula>0</formula>
    </cfRule>
    <cfRule type="cellIs" dxfId="362" priority="7943" operator="equal">
      <formula>1</formula>
    </cfRule>
  </conditionalFormatting>
  <conditionalFormatting sqref="AA11:AB11">
    <cfRule type="cellIs" dxfId="361" priority="7938" operator="equal">
      <formula>0</formula>
    </cfRule>
    <cfRule type="cellIs" dxfId="360" priority="7939" operator="equal">
      <formula>1</formula>
    </cfRule>
  </conditionalFormatting>
  <conditionalFormatting sqref="AB11">
    <cfRule type="cellIs" dxfId="359" priority="7936" operator="equal">
      <formula>0</formula>
    </cfRule>
    <cfRule type="cellIs" dxfId="358" priority="7937" operator="equal">
      <formula>1</formula>
    </cfRule>
  </conditionalFormatting>
  <conditionalFormatting sqref="X43">
    <cfRule type="cellIs" dxfId="357" priority="6480" operator="equal">
      <formula>0</formula>
    </cfRule>
    <cfRule type="cellIs" dxfId="356" priority="6481" operator="equal">
      <formula>1</formula>
    </cfRule>
  </conditionalFormatting>
  <conditionalFormatting sqref="N46">
    <cfRule type="cellIs" dxfId="355" priority="7600" operator="equal">
      <formula>"OK"</formula>
    </cfRule>
    <cfRule type="cellIs" dxfId="354" priority="7601" operator="equal">
      <formula>"NO HABILITADO"</formula>
    </cfRule>
  </conditionalFormatting>
  <conditionalFormatting sqref="AB46">
    <cfRule type="cellIs" dxfId="353" priority="7598" operator="equal">
      <formula>"OK"</formula>
    </cfRule>
    <cfRule type="cellIs" dxfId="352" priority="7599" operator="equal">
      <formula>"NO HABILITADO"</formula>
    </cfRule>
  </conditionalFormatting>
  <conditionalFormatting sqref="P50:P66">
    <cfRule type="cellIs" dxfId="351" priority="7596" operator="equal">
      <formula>"NH"</formula>
    </cfRule>
    <cfRule type="cellIs" dxfId="350" priority="7597" operator="equal">
      <formula>"H"</formula>
    </cfRule>
  </conditionalFormatting>
  <conditionalFormatting sqref="Z43">
    <cfRule type="cellIs" dxfId="349" priority="7492" operator="equal">
      <formula>0</formula>
    </cfRule>
    <cfRule type="cellIs" dxfId="348" priority="7493" operator="equal">
      <formula>1</formula>
    </cfRule>
  </conditionalFormatting>
  <conditionalFormatting sqref="W31:Z31">
    <cfRule type="cellIs" dxfId="347" priority="4728" operator="equal">
      <formula>0</formula>
    </cfRule>
    <cfRule type="cellIs" dxfId="346" priority="4729" operator="equal">
      <formula>1</formula>
    </cfRule>
  </conditionalFormatting>
  <conditionalFormatting sqref="AA31:AB31">
    <cfRule type="cellIs" dxfId="345" priority="4732" operator="equal">
      <formula>0</formula>
    </cfRule>
    <cfRule type="cellIs" dxfId="344" priority="4733" operator="equal">
      <formula>1</formula>
    </cfRule>
  </conditionalFormatting>
  <conditionalFormatting sqref="AC31">
    <cfRule type="cellIs" dxfId="343" priority="4730" operator="equal">
      <formula>0</formula>
    </cfRule>
    <cfRule type="cellIs" dxfId="342" priority="4731" operator="equal">
      <formula>1</formula>
    </cfRule>
  </conditionalFormatting>
  <conditionalFormatting sqref="AA31:AB31">
    <cfRule type="cellIs" dxfId="341" priority="4726" operator="equal">
      <formula>0</formula>
    </cfRule>
    <cfRule type="cellIs" dxfId="340" priority="4727" operator="equal">
      <formula>1</formula>
    </cfRule>
  </conditionalFormatting>
  <conditionalFormatting sqref="AB31">
    <cfRule type="cellIs" dxfId="339" priority="4724" operator="equal">
      <formula>0</formula>
    </cfRule>
    <cfRule type="cellIs" dxfId="338" priority="4725" operator="equal">
      <formula>1</formula>
    </cfRule>
  </conditionalFormatting>
  <conditionalFormatting sqref="W12:Z17">
    <cfRule type="cellIs" dxfId="337" priority="417" operator="equal">
      <formula>0</formula>
    </cfRule>
    <cfRule type="cellIs" dxfId="336" priority="418" operator="equal">
      <formula>1</formula>
    </cfRule>
  </conditionalFormatting>
  <conditionalFormatting sqref="AA12:AB17">
    <cfRule type="cellIs" dxfId="335" priority="421" operator="equal">
      <formula>0</formula>
    </cfRule>
    <cfRule type="cellIs" dxfId="334" priority="422" operator="equal">
      <formula>1</formula>
    </cfRule>
  </conditionalFormatting>
  <conditionalFormatting sqref="AC12:AC17">
    <cfRule type="cellIs" dxfId="333" priority="419" operator="equal">
      <formula>0</formula>
    </cfRule>
    <cfRule type="cellIs" dxfId="332" priority="420" operator="equal">
      <formula>1</formula>
    </cfRule>
  </conditionalFormatting>
  <conditionalFormatting sqref="AA12:AB17">
    <cfRule type="cellIs" dxfId="331" priority="415" operator="equal">
      <formula>0</formula>
    </cfRule>
    <cfRule type="cellIs" dxfId="330" priority="416" operator="equal">
      <formula>1</formula>
    </cfRule>
  </conditionalFormatting>
  <conditionalFormatting sqref="AB12:AB17">
    <cfRule type="cellIs" dxfId="329" priority="413" operator="equal">
      <formula>0</formula>
    </cfRule>
    <cfRule type="cellIs" dxfId="328" priority="414" operator="equal">
      <formula>1</formula>
    </cfRule>
  </conditionalFormatting>
  <conditionalFormatting sqref="W19:Z22">
    <cfRule type="cellIs" dxfId="327" priority="407" operator="equal">
      <formula>0</formula>
    </cfRule>
    <cfRule type="cellIs" dxfId="326" priority="408" operator="equal">
      <formula>1</formula>
    </cfRule>
  </conditionalFormatting>
  <conditionalFormatting sqref="AA19:AB22">
    <cfRule type="cellIs" dxfId="325" priority="411" operator="equal">
      <formula>0</formula>
    </cfRule>
    <cfRule type="cellIs" dxfId="324" priority="412" operator="equal">
      <formula>1</formula>
    </cfRule>
  </conditionalFormatting>
  <conditionalFormatting sqref="AC19:AC22">
    <cfRule type="cellIs" dxfId="323" priority="409" operator="equal">
      <formula>0</formula>
    </cfRule>
    <cfRule type="cellIs" dxfId="322" priority="410" operator="equal">
      <formula>1</formula>
    </cfRule>
  </conditionalFormatting>
  <conditionalFormatting sqref="AA19:AB22">
    <cfRule type="cellIs" dxfId="321" priority="405" operator="equal">
      <formula>0</formula>
    </cfRule>
    <cfRule type="cellIs" dxfId="320" priority="406" operator="equal">
      <formula>1</formula>
    </cfRule>
  </conditionalFormatting>
  <conditionalFormatting sqref="AB19:AB22">
    <cfRule type="cellIs" dxfId="319" priority="403" operator="equal">
      <formula>0</formula>
    </cfRule>
    <cfRule type="cellIs" dxfId="318" priority="404" operator="equal">
      <formula>1</formula>
    </cfRule>
  </conditionalFormatting>
  <conditionalFormatting sqref="W23">
    <cfRule type="cellIs" dxfId="317" priority="401" operator="equal">
      <formula>0</formula>
    </cfRule>
    <cfRule type="cellIs" dxfId="316" priority="402" operator="equal">
      <formula>1</formula>
    </cfRule>
  </conditionalFormatting>
  <conditionalFormatting sqref="W24:W26">
    <cfRule type="cellIs" dxfId="315" priority="399" operator="equal">
      <formula>0</formula>
    </cfRule>
    <cfRule type="cellIs" dxfId="314" priority="400" operator="equal">
      <formula>1</formula>
    </cfRule>
  </conditionalFormatting>
  <conditionalFormatting sqref="W30:Z30">
    <cfRule type="cellIs" dxfId="313" priority="383" operator="equal">
      <formula>0</formula>
    </cfRule>
    <cfRule type="cellIs" dxfId="312" priority="384" operator="equal">
      <formula>1</formula>
    </cfRule>
  </conditionalFormatting>
  <conditionalFormatting sqref="AA30:AB30">
    <cfRule type="cellIs" dxfId="311" priority="387" operator="equal">
      <formula>0</formula>
    </cfRule>
    <cfRule type="cellIs" dxfId="310" priority="388" operator="equal">
      <formula>1</formula>
    </cfRule>
  </conditionalFormatting>
  <conditionalFormatting sqref="AC30">
    <cfRule type="cellIs" dxfId="309" priority="385" operator="equal">
      <formula>0</formula>
    </cfRule>
    <cfRule type="cellIs" dxfId="308" priority="386" operator="equal">
      <formula>1</formula>
    </cfRule>
  </conditionalFormatting>
  <conditionalFormatting sqref="AA30:AB30">
    <cfRule type="cellIs" dxfId="307" priority="381" operator="equal">
      <formula>0</formula>
    </cfRule>
    <cfRule type="cellIs" dxfId="306" priority="382" operator="equal">
      <formula>1</formula>
    </cfRule>
  </conditionalFormatting>
  <conditionalFormatting sqref="AB30">
    <cfRule type="cellIs" dxfId="305" priority="379" operator="equal">
      <formula>0</formula>
    </cfRule>
    <cfRule type="cellIs" dxfId="304" priority="380" operator="equal">
      <formula>1</formula>
    </cfRule>
  </conditionalFormatting>
  <conditionalFormatting sqref="W28">
    <cfRule type="cellIs" dxfId="303" priority="377" operator="equal">
      <formula>0</formula>
    </cfRule>
    <cfRule type="cellIs" dxfId="302" priority="378" operator="equal">
      <formula>1</formula>
    </cfRule>
  </conditionalFormatting>
  <conditionalFormatting sqref="W29">
    <cfRule type="cellIs" dxfId="301" priority="375" operator="equal">
      <formula>0</formula>
    </cfRule>
    <cfRule type="cellIs" dxfId="300" priority="376" operator="equal">
      <formula>1</formula>
    </cfRule>
  </conditionalFormatting>
  <conditionalFormatting sqref="W32:Z32">
    <cfRule type="cellIs" dxfId="299" priority="369" operator="equal">
      <formula>0</formula>
    </cfRule>
    <cfRule type="cellIs" dxfId="298" priority="370" operator="equal">
      <formula>1</formula>
    </cfRule>
  </conditionalFormatting>
  <conditionalFormatting sqref="AA32:AB32">
    <cfRule type="cellIs" dxfId="297" priority="373" operator="equal">
      <formula>0</formula>
    </cfRule>
    <cfRule type="cellIs" dxfId="296" priority="374" operator="equal">
      <formula>1</formula>
    </cfRule>
  </conditionalFormatting>
  <conditionalFormatting sqref="AC32">
    <cfRule type="cellIs" dxfId="295" priority="371" operator="equal">
      <formula>0</formula>
    </cfRule>
    <cfRule type="cellIs" dxfId="294" priority="372" operator="equal">
      <formula>1</formula>
    </cfRule>
  </conditionalFormatting>
  <conditionalFormatting sqref="AA32:AB32">
    <cfRule type="cellIs" dxfId="293" priority="367" operator="equal">
      <formula>0</formula>
    </cfRule>
    <cfRule type="cellIs" dxfId="292" priority="368" operator="equal">
      <formula>1</formula>
    </cfRule>
  </conditionalFormatting>
  <conditionalFormatting sqref="AB32">
    <cfRule type="cellIs" dxfId="291" priority="365" operator="equal">
      <formula>0</formula>
    </cfRule>
    <cfRule type="cellIs" dxfId="290" priority="366" operator="equal">
      <formula>1</formula>
    </cfRule>
  </conditionalFormatting>
  <conditionalFormatting sqref="W33:Z33">
    <cfRule type="cellIs" dxfId="289" priority="359" operator="equal">
      <formula>0</formula>
    </cfRule>
    <cfRule type="cellIs" dxfId="288" priority="360" operator="equal">
      <formula>1</formula>
    </cfRule>
  </conditionalFormatting>
  <conditionalFormatting sqref="AA33:AB33">
    <cfRule type="cellIs" dxfId="287" priority="363" operator="equal">
      <formula>0</formula>
    </cfRule>
    <cfRule type="cellIs" dxfId="286" priority="364" operator="equal">
      <formula>1</formula>
    </cfRule>
  </conditionalFormatting>
  <conditionalFormatting sqref="AC33">
    <cfRule type="cellIs" dxfId="285" priority="361" operator="equal">
      <formula>0</formula>
    </cfRule>
    <cfRule type="cellIs" dxfId="284" priority="362" operator="equal">
      <formula>1</formula>
    </cfRule>
  </conditionalFormatting>
  <conditionalFormatting sqref="AA33:AB33">
    <cfRule type="cellIs" dxfId="283" priority="357" operator="equal">
      <formula>0</formula>
    </cfRule>
    <cfRule type="cellIs" dxfId="282" priority="358" operator="equal">
      <formula>1</formula>
    </cfRule>
  </conditionalFormatting>
  <conditionalFormatting sqref="AB33">
    <cfRule type="cellIs" dxfId="281" priority="355" operator="equal">
      <formula>0</formula>
    </cfRule>
    <cfRule type="cellIs" dxfId="280" priority="356" operator="equal">
      <formula>1</formula>
    </cfRule>
  </conditionalFormatting>
  <conditionalFormatting sqref="AH43">
    <cfRule type="cellIs" dxfId="279" priority="353" operator="equal">
      <formula>"NO HABILITADO"</formula>
    </cfRule>
    <cfRule type="cellIs" dxfId="278" priority="354" operator="equal">
      <formula>"OK"</formula>
    </cfRule>
  </conditionalFormatting>
  <conditionalFormatting sqref="AR11:AU11 AR18">
    <cfRule type="cellIs" dxfId="277" priority="343" operator="equal">
      <formula>0</formula>
    </cfRule>
    <cfRule type="cellIs" dxfId="276" priority="344" operator="equal">
      <formula>1</formula>
    </cfRule>
  </conditionalFormatting>
  <conditionalFormatting sqref="AX43">
    <cfRule type="cellIs" dxfId="275" priority="351" operator="equal">
      <formula>0</formula>
    </cfRule>
    <cfRule type="cellIs" dxfId="274" priority="352" operator="equal">
      <formula>1</formula>
    </cfRule>
  </conditionalFormatting>
  <conditionalFormatting sqref="AZ43">
    <cfRule type="cellIs" dxfId="273" priority="349" operator="equal">
      <formula>0</formula>
    </cfRule>
    <cfRule type="cellIs" dxfId="272" priority="350" operator="equal">
      <formula>1</formula>
    </cfRule>
  </conditionalFormatting>
  <conditionalFormatting sqref="AV11:AW11">
    <cfRule type="cellIs" dxfId="271" priority="347" operator="equal">
      <formula>0</formula>
    </cfRule>
    <cfRule type="cellIs" dxfId="270" priority="348" operator="equal">
      <formula>1</formula>
    </cfRule>
  </conditionalFormatting>
  <conditionalFormatting sqref="AX11">
    <cfRule type="cellIs" dxfId="269" priority="345" operator="equal">
      <formula>0</formula>
    </cfRule>
    <cfRule type="cellIs" dxfId="268" priority="346" operator="equal">
      <formula>1</formula>
    </cfRule>
  </conditionalFormatting>
  <conditionalFormatting sqref="AV11:AW11">
    <cfRule type="cellIs" dxfId="267" priority="341" operator="equal">
      <formula>0</formula>
    </cfRule>
    <cfRule type="cellIs" dxfId="266" priority="342" operator="equal">
      <formula>1</formula>
    </cfRule>
  </conditionalFormatting>
  <conditionalFormatting sqref="AW11">
    <cfRule type="cellIs" dxfId="265" priority="339" operator="equal">
      <formula>0</formula>
    </cfRule>
    <cfRule type="cellIs" dxfId="264" priority="340" operator="equal">
      <formula>1</formula>
    </cfRule>
  </conditionalFormatting>
  <conditionalFormatting sqref="AS43">
    <cfRule type="cellIs" dxfId="263" priority="335" operator="equal">
      <formula>0</formula>
    </cfRule>
    <cfRule type="cellIs" dxfId="262" priority="336" operator="equal">
      <formula>1</formula>
    </cfRule>
  </conditionalFormatting>
  <conditionalFormatting sqref="AU43">
    <cfRule type="cellIs" dxfId="261" priority="337" operator="equal">
      <formula>0</formula>
    </cfRule>
    <cfRule type="cellIs" dxfId="260" priority="338" operator="equal">
      <formula>1</formula>
    </cfRule>
  </conditionalFormatting>
  <conditionalFormatting sqref="AR31:AU31">
    <cfRule type="cellIs" dxfId="259" priority="329" operator="equal">
      <formula>0</formula>
    </cfRule>
    <cfRule type="cellIs" dxfId="258" priority="330" operator="equal">
      <formula>1</formula>
    </cfRule>
  </conditionalFormatting>
  <conditionalFormatting sqref="AV31:AW31">
    <cfRule type="cellIs" dxfId="257" priority="333" operator="equal">
      <formula>0</formula>
    </cfRule>
    <cfRule type="cellIs" dxfId="256" priority="334" operator="equal">
      <formula>1</formula>
    </cfRule>
  </conditionalFormatting>
  <conditionalFormatting sqref="AX31">
    <cfRule type="cellIs" dxfId="255" priority="331" operator="equal">
      <formula>0</formula>
    </cfRule>
    <cfRule type="cellIs" dxfId="254" priority="332" operator="equal">
      <formula>1</formula>
    </cfRule>
  </conditionalFormatting>
  <conditionalFormatting sqref="AV31:AW31">
    <cfRule type="cellIs" dxfId="253" priority="327" operator="equal">
      <formula>0</formula>
    </cfRule>
    <cfRule type="cellIs" dxfId="252" priority="328" operator="equal">
      <formula>1</formula>
    </cfRule>
  </conditionalFormatting>
  <conditionalFormatting sqref="AW31">
    <cfRule type="cellIs" dxfId="251" priority="325" operator="equal">
      <formula>0</formula>
    </cfRule>
    <cfRule type="cellIs" dxfId="250" priority="326" operator="equal">
      <formula>1</formula>
    </cfRule>
  </conditionalFormatting>
  <conditionalFormatting sqref="AR12:AU17">
    <cfRule type="cellIs" dxfId="249" priority="319" operator="equal">
      <formula>0</formula>
    </cfRule>
    <cfRule type="cellIs" dxfId="248" priority="320" operator="equal">
      <formula>1</formula>
    </cfRule>
  </conditionalFormatting>
  <conditionalFormatting sqref="AV12:AW17">
    <cfRule type="cellIs" dxfId="247" priority="323" operator="equal">
      <formula>0</formula>
    </cfRule>
    <cfRule type="cellIs" dxfId="246" priority="324" operator="equal">
      <formula>1</formula>
    </cfRule>
  </conditionalFormatting>
  <conditionalFormatting sqref="AX12:AX17">
    <cfRule type="cellIs" dxfId="245" priority="321" operator="equal">
      <formula>0</formula>
    </cfRule>
    <cfRule type="cellIs" dxfId="244" priority="322" operator="equal">
      <formula>1</formula>
    </cfRule>
  </conditionalFormatting>
  <conditionalFormatting sqref="AV12:AW17">
    <cfRule type="cellIs" dxfId="243" priority="317" operator="equal">
      <formula>0</formula>
    </cfRule>
    <cfRule type="cellIs" dxfId="242" priority="318" operator="equal">
      <formula>1</formula>
    </cfRule>
  </conditionalFormatting>
  <conditionalFormatting sqref="AW12:AW17">
    <cfRule type="cellIs" dxfId="241" priority="315" operator="equal">
      <formula>0</formula>
    </cfRule>
    <cfRule type="cellIs" dxfId="240" priority="316" operator="equal">
      <formula>1</formula>
    </cfRule>
  </conditionalFormatting>
  <conditionalFormatting sqref="AR19:AU22">
    <cfRule type="cellIs" dxfId="239" priority="309" operator="equal">
      <formula>0</formula>
    </cfRule>
    <cfRule type="cellIs" dxfId="238" priority="310" operator="equal">
      <formula>1</formula>
    </cfRule>
  </conditionalFormatting>
  <conditionalFormatting sqref="AV19:AW22">
    <cfRule type="cellIs" dxfId="237" priority="313" operator="equal">
      <formula>0</formula>
    </cfRule>
    <cfRule type="cellIs" dxfId="236" priority="314" operator="equal">
      <formula>1</formula>
    </cfRule>
  </conditionalFormatting>
  <conditionalFormatting sqref="AX19:AX22">
    <cfRule type="cellIs" dxfId="235" priority="311" operator="equal">
      <formula>0</formula>
    </cfRule>
    <cfRule type="cellIs" dxfId="234" priority="312" operator="equal">
      <formula>1</formula>
    </cfRule>
  </conditionalFormatting>
  <conditionalFormatting sqref="AV19:AW22">
    <cfRule type="cellIs" dxfId="233" priority="307" operator="equal">
      <formula>0</formula>
    </cfRule>
    <cfRule type="cellIs" dxfId="232" priority="308" operator="equal">
      <formula>1</formula>
    </cfRule>
  </conditionalFormatting>
  <conditionalFormatting sqref="AW19:AW22">
    <cfRule type="cellIs" dxfId="231" priority="305" operator="equal">
      <formula>0</formula>
    </cfRule>
    <cfRule type="cellIs" dxfId="230" priority="306" operator="equal">
      <formula>1</formula>
    </cfRule>
  </conditionalFormatting>
  <conditionalFormatting sqref="AR23">
    <cfRule type="cellIs" dxfId="229" priority="303" operator="equal">
      <formula>0</formula>
    </cfRule>
    <cfRule type="cellIs" dxfId="228" priority="304" operator="equal">
      <formula>1</formula>
    </cfRule>
  </conditionalFormatting>
  <conditionalFormatting sqref="AR24:AR26">
    <cfRule type="cellIs" dxfId="227" priority="301" operator="equal">
      <formula>0</formula>
    </cfRule>
    <cfRule type="cellIs" dxfId="226" priority="302" operator="equal">
      <formula>1</formula>
    </cfRule>
  </conditionalFormatting>
  <conditionalFormatting sqref="AR30:AU30">
    <cfRule type="cellIs" dxfId="225" priority="295" operator="equal">
      <formula>0</formula>
    </cfRule>
    <cfRule type="cellIs" dxfId="224" priority="296" operator="equal">
      <formula>1</formula>
    </cfRule>
  </conditionalFormatting>
  <conditionalFormatting sqref="AV30:AW30">
    <cfRule type="cellIs" dxfId="223" priority="299" operator="equal">
      <formula>0</formula>
    </cfRule>
    <cfRule type="cellIs" dxfId="222" priority="300" operator="equal">
      <formula>1</formula>
    </cfRule>
  </conditionalFormatting>
  <conditionalFormatting sqref="AX30">
    <cfRule type="cellIs" dxfId="221" priority="297" operator="equal">
      <formula>0</formula>
    </cfRule>
    <cfRule type="cellIs" dxfId="220" priority="298" operator="equal">
      <formula>1</formula>
    </cfRule>
  </conditionalFormatting>
  <conditionalFormatting sqref="AV30:AW30">
    <cfRule type="cellIs" dxfId="219" priority="293" operator="equal">
      <formula>0</formula>
    </cfRule>
    <cfRule type="cellIs" dxfId="218" priority="294" operator="equal">
      <formula>1</formula>
    </cfRule>
  </conditionalFormatting>
  <conditionalFormatting sqref="AW30">
    <cfRule type="cellIs" dxfId="217" priority="291" operator="equal">
      <formula>0</formula>
    </cfRule>
    <cfRule type="cellIs" dxfId="216" priority="292" operator="equal">
      <formula>1</formula>
    </cfRule>
  </conditionalFormatting>
  <conditionalFormatting sqref="AR28">
    <cfRule type="cellIs" dxfId="215" priority="289" operator="equal">
      <formula>0</formula>
    </cfRule>
    <cfRule type="cellIs" dxfId="214" priority="290" operator="equal">
      <formula>1</formula>
    </cfRule>
  </conditionalFormatting>
  <conditionalFormatting sqref="AR29">
    <cfRule type="cellIs" dxfId="213" priority="287" operator="equal">
      <formula>0</formula>
    </cfRule>
    <cfRule type="cellIs" dxfId="212" priority="288" operator="equal">
      <formula>1</formula>
    </cfRule>
  </conditionalFormatting>
  <conditionalFormatting sqref="AR32:AU32">
    <cfRule type="cellIs" dxfId="211" priority="281" operator="equal">
      <formula>0</formula>
    </cfRule>
    <cfRule type="cellIs" dxfId="210" priority="282" operator="equal">
      <formula>1</formula>
    </cfRule>
  </conditionalFormatting>
  <conditionalFormatting sqref="AV32:AW32">
    <cfRule type="cellIs" dxfId="209" priority="285" operator="equal">
      <formula>0</formula>
    </cfRule>
    <cfRule type="cellIs" dxfId="208" priority="286" operator="equal">
      <formula>1</formula>
    </cfRule>
  </conditionalFormatting>
  <conditionalFormatting sqref="AX32">
    <cfRule type="cellIs" dxfId="207" priority="283" operator="equal">
      <formula>0</formula>
    </cfRule>
    <cfRule type="cellIs" dxfId="206" priority="284" operator="equal">
      <formula>1</formula>
    </cfRule>
  </conditionalFormatting>
  <conditionalFormatting sqref="AV32:AW32">
    <cfRule type="cellIs" dxfId="205" priority="279" operator="equal">
      <formula>0</formula>
    </cfRule>
    <cfRule type="cellIs" dxfId="204" priority="280" operator="equal">
      <formula>1</formula>
    </cfRule>
  </conditionalFormatting>
  <conditionalFormatting sqref="AW32">
    <cfRule type="cellIs" dxfId="203" priority="277" operator="equal">
      <formula>0</formula>
    </cfRule>
    <cfRule type="cellIs" dxfId="202" priority="278" operator="equal">
      <formula>1</formula>
    </cfRule>
  </conditionalFormatting>
  <conditionalFormatting sqref="AR33:AU33">
    <cfRule type="cellIs" dxfId="201" priority="271" operator="equal">
      <formula>0</formula>
    </cfRule>
    <cfRule type="cellIs" dxfId="200" priority="272" operator="equal">
      <formula>1</formula>
    </cfRule>
  </conditionalFormatting>
  <conditionalFormatting sqref="AV33:AW33">
    <cfRule type="cellIs" dxfId="199" priority="275" operator="equal">
      <formula>0</formula>
    </cfRule>
    <cfRule type="cellIs" dxfId="198" priority="276" operator="equal">
      <formula>1</formula>
    </cfRule>
  </conditionalFormatting>
  <conditionalFormatting sqref="AX33">
    <cfRule type="cellIs" dxfId="197" priority="273" operator="equal">
      <formula>0</formula>
    </cfRule>
    <cfRule type="cellIs" dxfId="196" priority="274" operator="equal">
      <formula>1</formula>
    </cfRule>
  </conditionalFormatting>
  <conditionalFormatting sqref="AV33:AW33">
    <cfRule type="cellIs" dxfId="195" priority="269" operator="equal">
      <formula>0</formula>
    </cfRule>
    <cfRule type="cellIs" dxfId="194" priority="270" operator="equal">
      <formula>1</formula>
    </cfRule>
  </conditionalFormatting>
  <conditionalFormatting sqref="AW33">
    <cfRule type="cellIs" dxfId="193" priority="267" operator="equal">
      <formula>0</formula>
    </cfRule>
    <cfRule type="cellIs" dxfId="192" priority="268" operator="equal">
      <formula>1</formula>
    </cfRule>
  </conditionalFormatting>
  <conditionalFormatting sqref="BC43">
    <cfRule type="cellIs" dxfId="191" priority="265" operator="equal">
      <formula>"NO HABILITADO"</formula>
    </cfRule>
    <cfRule type="cellIs" dxfId="190" priority="266" operator="equal">
      <formula>"OK"</formula>
    </cfRule>
  </conditionalFormatting>
  <conditionalFormatting sqref="BM11:BP11 BM18">
    <cfRule type="cellIs" dxfId="189" priority="255" operator="equal">
      <formula>0</formula>
    </cfRule>
    <cfRule type="cellIs" dxfId="188" priority="256" operator="equal">
      <formula>1</formula>
    </cfRule>
  </conditionalFormatting>
  <conditionalFormatting sqref="BS43">
    <cfRule type="cellIs" dxfId="187" priority="263" operator="equal">
      <formula>0</formula>
    </cfRule>
    <cfRule type="cellIs" dxfId="186" priority="264" operator="equal">
      <formula>1</formula>
    </cfRule>
  </conditionalFormatting>
  <conditionalFormatting sqref="BU43">
    <cfRule type="cellIs" dxfId="185" priority="261" operator="equal">
      <formula>0</formula>
    </cfRule>
    <cfRule type="cellIs" dxfId="184" priority="262" operator="equal">
      <formula>1</formula>
    </cfRule>
  </conditionalFormatting>
  <conditionalFormatting sqref="BQ11:BR11">
    <cfRule type="cellIs" dxfId="183" priority="259" operator="equal">
      <formula>0</formula>
    </cfRule>
    <cfRule type="cellIs" dxfId="182" priority="260" operator="equal">
      <formula>1</formula>
    </cfRule>
  </conditionalFormatting>
  <conditionalFormatting sqref="BS11">
    <cfRule type="cellIs" dxfId="181" priority="257" operator="equal">
      <formula>0</formula>
    </cfRule>
    <cfRule type="cellIs" dxfId="180" priority="258" operator="equal">
      <formula>1</formula>
    </cfRule>
  </conditionalFormatting>
  <conditionalFormatting sqref="BQ11:BR11">
    <cfRule type="cellIs" dxfId="179" priority="253" operator="equal">
      <formula>0</formula>
    </cfRule>
    <cfRule type="cellIs" dxfId="178" priority="254" operator="equal">
      <formula>1</formula>
    </cfRule>
  </conditionalFormatting>
  <conditionalFormatting sqref="BR11">
    <cfRule type="cellIs" dxfId="177" priority="251" operator="equal">
      <formula>0</formula>
    </cfRule>
    <cfRule type="cellIs" dxfId="176" priority="252" operator="equal">
      <formula>1</formula>
    </cfRule>
  </conditionalFormatting>
  <conditionalFormatting sqref="BN43">
    <cfRule type="cellIs" dxfId="175" priority="247" operator="equal">
      <formula>0</formula>
    </cfRule>
    <cfRule type="cellIs" dxfId="174" priority="248" operator="equal">
      <formula>1</formula>
    </cfRule>
  </conditionalFormatting>
  <conditionalFormatting sqref="BP43">
    <cfRule type="cellIs" dxfId="173" priority="249" operator="equal">
      <formula>0</formula>
    </cfRule>
    <cfRule type="cellIs" dxfId="172" priority="250" operator="equal">
      <formula>1</formula>
    </cfRule>
  </conditionalFormatting>
  <conditionalFormatting sqref="BM31:BP31">
    <cfRule type="cellIs" dxfId="171" priority="241" operator="equal">
      <formula>0</formula>
    </cfRule>
    <cfRule type="cellIs" dxfId="170" priority="242" operator="equal">
      <formula>1</formula>
    </cfRule>
  </conditionalFormatting>
  <conditionalFormatting sqref="BR31">
    <cfRule type="cellIs" dxfId="169" priority="245" operator="equal">
      <formula>0</formula>
    </cfRule>
    <cfRule type="cellIs" dxfId="168" priority="246" operator="equal">
      <formula>1</formula>
    </cfRule>
  </conditionalFormatting>
  <conditionalFormatting sqref="BS31">
    <cfRule type="cellIs" dxfId="167" priority="243" operator="equal">
      <formula>0</formula>
    </cfRule>
    <cfRule type="cellIs" dxfId="166" priority="244" operator="equal">
      <formula>1</formula>
    </cfRule>
  </conditionalFormatting>
  <conditionalFormatting sqref="BR31">
    <cfRule type="cellIs" dxfId="165" priority="239" operator="equal">
      <formula>0</formula>
    </cfRule>
    <cfRule type="cellIs" dxfId="164" priority="240" operator="equal">
      <formula>1</formula>
    </cfRule>
  </conditionalFormatting>
  <conditionalFormatting sqref="BR31">
    <cfRule type="cellIs" dxfId="163" priority="237" operator="equal">
      <formula>0</formula>
    </cfRule>
    <cfRule type="cellIs" dxfId="162" priority="238" operator="equal">
      <formula>1</formula>
    </cfRule>
  </conditionalFormatting>
  <conditionalFormatting sqref="BM12:BP17">
    <cfRule type="cellIs" dxfId="161" priority="231" operator="equal">
      <formula>0</formula>
    </cfRule>
    <cfRule type="cellIs" dxfId="160" priority="232" operator="equal">
      <formula>1</formula>
    </cfRule>
  </conditionalFormatting>
  <conditionalFormatting sqref="BQ12:BR17">
    <cfRule type="cellIs" dxfId="159" priority="235" operator="equal">
      <formula>0</formula>
    </cfRule>
    <cfRule type="cellIs" dxfId="158" priority="236" operator="equal">
      <formula>1</formula>
    </cfRule>
  </conditionalFormatting>
  <conditionalFormatting sqref="BS12:BS17">
    <cfRule type="cellIs" dxfId="157" priority="233" operator="equal">
      <formula>0</formula>
    </cfRule>
    <cfRule type="cellIs" dxfId="156" priority="234" operator="equal">
      <formula>1</formula>
    </cfRule>
  </conditionalFormatting>
  <conditionalFormatting sqref="BQ12:BR17">
    <cfRule type="cellIs" dxfId="155" priority="229" operator="equal">
      <formula>0</formula>
    </cfRule>
    <cfRule type="cellIs" dxfId="154" priority="230" operator="equal">
      <formula>1</formula>
    </cfRule>
  </conditionalFormatting>
  <conditionalFormatting sqref="BR12:BR17">
    <cfRule type="cellIs" dxfId="153" priority="227" operator="equal">
      <formula>0</formula>
    </cfRule>
    <cfRule type="cellIs" dxfId="152" priority="228" operator="equal">
      <formula>1</formula>
    </cfRule>
  </conditionalFormatting>
  <conditionalFormatting sqref="BM19:BP22">
    <cfRule type="cellIs" dxfId="151" priority="221" operator="equal">
      <formula>0</formula>
    </cfRule>
    <cfRule type="cellIs" dxfId="150" priority="222" operator="equal">
      <formula>1</formula>
    </cfRule>
  </conditionalFormatting>
  <conditionalFormatting sqref="BQ19:BR22">
    <cfRule type="cellIs" dxfId="149" priority="225" operator="equal">
      <formula>0</formula>
    </cfRule>
    <cfRule type="cellIs" dxfId="148" priority="226" operator="equal">
      <formula>1</formula>
    </cfRule>
  </conditionalFormatting>
  <conditionalFormatting sqref="BS19:BS22">
    <cfRule type="cellIs" dxfId="147" priority="223" operator="equal">
      <formula>0</formula>
    </cfRule>
    <cfRule type="cellIs" dxfId="146" priority="224" operator="equal">
      <formula>1</formula>
    </cfRule>
  </conditionalFormatting>
  <conditionalFormatting sqref="BQ19:BR22">
    <cfRule type="cellIs" dxfId="145" priority="219" operator="equal">
      <formula>0</formula>
    </cfRule>
    <cfRule type="cellIs" dxfId="144" priority="220" operator="equal">
      <formula>1</formula>
    </cfRule>
  </conditionalFormatting>
  <conditionalFormatting sqref="BR19:BR22">
    <cfRule type="cellIs" dxfId="143" priority="217" operator="equal">
      <formula>0</formula>
    </cfRule>
    <cfRule type="cellIs" dxfId="142" priority="218" operator="equal">
      <formula>1</formula>
    </cfRule>
  </conditionalFormatting>
  <conditionalFormatting sqref="BM23">
    <cfRule type="cellIs" dxfId="141" priority="215" operator="equal">
      <formula>0</formula>
    </cfRule>
    <cfRule type="cellIs" dxfId="140" priority="216" operator="equal">
      <formula>1</formula>
    </cfRule>
  </conditionalFormatting>
  <conditionalFormatting sqref="BM24:BM26">
    <cfRule type="cellIs" dxfId="139" priority="213" operator="equal">
      <formula>0</formula>
    </cfRule>
    <cfRule type="cellIs" dxfId="138" priority="214" operator="equal">
      <formula>1</formula>
    </cfRule>
  </conditionalFormatting>
  <conditionalFormatting sqref="BM30:BP30">
    <cfRule type="cellIs" dxfId="137" priority="207" operator="equal">
      <formula>0</formula>
    </cfRule>
    <cfRule type="cellIs" dxfId="136" priority="208" operator="equal">
      <formula>1</formula>
    </cfRule>
  </conditionalFormatting>
  <conditionalFormatting sqref="BQ30:BR30 BQ31:BQ33">
    <cfRule type="cellIs" dxfId="135" priority="211" operator="equal">
      <formula>0</formula>
    </cfRule>
    <cfRule type="cellIs" dxfId="134" priority="212" operator="equal">
      <formula>1</formula>
    </cfRule>
  </conditionalFormatting>
  <conditionalFormatting sqref="BS30">
    <cfRule type="cellIs" dxfId="133" priority="209" operator="equal">
      <formula>0</formula>
    </cfRule>
    <cfRule type="cellIs" dxfId="132" priority="210" operator="equal">
      <formula>1</formula>
    </cfRule>
  </conditionalFormatting>
  <conditionalFormatting sqref="BQ30:BR30 BQ31:BQ33">
    <cfRule type="cellIs" dxfId="131" priority="205" operator="equal">
      <formula>0</formula>
    </cfRule>
    <cfRule type="cellIs" dxfId="130" priority="206" operator="equal">
      <formula>1</formula>
    </cfRule>
  </conditionalFormatting>
  <conditionalFormatting sqref="BR30">
    <cfRule type="cellIs" dxfId="129" priority="203" operator="equal">
      <formula>0</formula>
    </cfRule>
    <cfRule type="cellIs" dxfId="128" priority="204" operator="equal">
      <formula>1</formula>
    </cfRule>
  </conditionalFormatting>
  <conditionalFormatting sqref="BM28">
    <cfRule type="cellIs" dxfId="127" priority="201" operator="equal">
      <formula>0</formula>
    </cfRule>
    <cfRule type="cellIs" dxfId="126" priority="202" operator="equal">
      <formula>1</formula>
    </cfRule>
  </conditionalFormatting>
  <conditionalFormatting sqref="BM29">
    <cfRule type="cellIs" dxfId="125" priority="199" operator="equal">
      <formula>0</formula>
    </cfRule>
    <cfRule type="cellIs" dxfId="124" priority="200" operator="equal">
      <formula>1</formula>
    </cfRule>
  </conditionalFormatting>
  <conditionalFormatting sqref="BR32">
    <cfRule type="cellIs" dxfId="123" priority="197" operator="equal">
      <formula>0</formula>
    </cfRule>
    <cfRule type="cellIs" dxfId="122" priority="198" operator="equal">
      <formula>1</formula>
    </cfRule>
  </conditionalFormatting>
  <conditionalFormatting sqref="BS32">
    <cfRule type="cellIs" dxfId="121" priority="195" operator="equal">
      <formula>0</formula>
    </cfRule>
    <cfRule type="cellIs" dxfId="120" priority="196" operator="equal">
      <formula>1</formula>
    </cfRule>
  </conditionalFormatting>
  <conditionalFormatting sqref="BR32">
    <cfRule type="cellIs" dxfId="119" priority="191" operator="equal">
      <formula>0</formula>
    </cfRule>
    <cfRule type="cellIs" dxfId="118" priority="192" operator="equal">
      <formula>1</formula>
    </cfRule>
  </conditionalFormatting>
  <conditionalFormatting sqref="BR32">
    <cfRule type="cellIs" dxfId="117" priority="189" operator="equal">
      <formula>0</formula>
    </cfRule>
    <cfRule type="cellIs" dxfId="116" priority="190" operator="equal">
      <formula>1</formula>
    </cfRule>
  </conditionalFormatting>
  <conditionalFormatting sqref="BM33:BP33">
    <cfRule type="cellIs" dxfId="115" priority="183" operator="equal">
      <formula>0</formula>
    </cfRule>
    <cfRule type="cellIs" dxfId="114" priority="184" operator="equal">
      <formula>1</formula>
    </cfRule>
  </conditionalFormatting>
  <conditionalFormatting sqref="BR33">
    <cfRule type="cellIs" dxfId="113" priority="187" operator="equal">
      <formula>0</formula>
    </cfRule>
    <cfRule type="cellIs" dxfId="112" priority="188" operator="equal">
      <formula>1</formula>
    </cfRule>
  </conditionalFormatting>
  <conditionalFormatting sqref="BS33">
    <cfRule type="cellIs" dxfId="111" priority="185" operator="equal">
      <formula>0</formula>
    </cfRule>
    <cfRule type="cellIs" dxfId="110" priority="186" operator="equal">
      <formula>1</formula>
    </cfRule>
  </conditionalFormatting>
  <conditionalFormatting sqref="BR33">
    <cfRule type="cellIs" dxfId="109" priority="181" operator="equal">
      <formula>0</formula>
    </cfRule>
    <cfRule type="cellIs" dxfId="108" priority="182" operator="equal">
      <formula>1</formula>
    </cfRule>
  </conditionalFormatting>
  <conditionalFormatting sqref="BR33">
    <cfRule type="cellIs" dxfId="107" priority="179" operator="equal">
      <formula>0</formula>
    </cfRule>
    <cfRule type="cellIs" dxfId="106" priority="180" operator="equal">
      <formula>1</formula>
    </cfRule>
  </conditionalFormatting>
  <conditionalFormatting sqref="BM32:BP32">
    <cfRule type="cellIs" dxfId="105" priority="89" operator="equal">
      <formula>0</formula>
    </cfRule>
    <cfRule type="cellIs" dxfId="104" priority="90" operator="equal">
      <formula>1</formula>
    </cfRule>
  </conditionalFormatting>
  <conditionalFormatting sqref="BX43">
    <cfRule type="cellIs" dxfId="103" priority="87" operator="equal">
      <formula>"NO HABILITADO"</formula>
    </cfRule>
    <cfRule type="cellIs" dxfId="102" priority="88" operator="equal">
      <formula>"OK"</formula>
    </cfRule>
  </conditionalFormatting>
  <conditionalFormatting sqref="CH11:CK11 CH18">
    <cfRule type="cellIs" dxfId="101" priority="77" operator="equal">
      <formula>0</formula>
    </cfRule>
    <cfRule type="cellIs" dxfId="100" priority="78" operator="equal">
      <formula>1</formula>
    </cfRule>
  </conditionalFormatting>
  <conditionalFormatting sqref="CN43">
    <cfRule type="cellIs" dxfId="99" priority="85" operator="equal">
      <formula>0</formula>
    </cfRule>
    <cfRule type="cellIs" dxfId="98" priority="86" operator="equal">
      <formula>1</formula>
    </cfRule>
  </conditionalFormatting>
  <conditionalFormatting sqref="CP43">
    <cfRule type="cellIs" dxfId="97" priority="83" operator="equal">
      <formula>0</formula>
    </cfRule>
    <cfRule type="cellIs" dxfId="96" priority="84" operator="equal">
      <formula>1</formula>
    </cfRule>
  </conditionalFormatting>
  <conditionalFormatting sqref="CL11:CM11">
    <cfRule type="cellIs" dxfId="95" priority="81" operator="equal">
      <formula>0</formula>
    </cfRule>
    <cfRule type="cellIs" dxfId="94" priority="82" operator="equal">
      <formula>1</formula>
    </cfRule>
  </conditionalFormatting>
  <conditionalFormatting sqref="CN11">
    <cfRule type="cellIs" dxfId="93" priority="79" operator="equal">
      <formula>0</formula>
    </cfRule>
    <cfRule type="cellIs" dxfId="92" priority="80" operator="equal">
      <formula>1</formula>
    </cfRule>
  </conditionalFormatting>
  <conditionalFormatting sqref="CL11:CM11">
    <cfRule type="cellIs" dxfId="91" priority="75" operator="equal">
      <formula>0</formula>
    </cfRule>
    <cfRule type="cellIs" dxfId="90" priority="76" operator="equal">
      <formula>1</formula>
    </cfRule>
  </conditionalFormatting>
  <conditionalFormatting sqref="CM11">
    <cfRule type="cellIs" dxfId="89" priority="73" operator="equal">
      <formula>0</formula>
    </cfRule>
    <cfRule type="cellIs" dxfId="88" priority="74" operator="equal">
      <formula>1</formula>
    </cfRule>
  </conditionalFormatting>
  <conditionalFormatting sqref="CI43">
    <cfRule type="cellIs" dxfId="87" priority="69" operator="equal">
      <formula>0</formula>
    </cfRule>
    <cfRule type="cellIs" dxfId="86" priority="70" operator="equal">
      <formula>1</formula>
    </cfRule>
  </conditionalFormatting>
  <conditionalFormatting sqref="CK43">
    <cfRule type="cellIs" dxfId="85" priority="71" operator="equal">
      <formula>0</formula>
    </cfRule>
    <cfRule type="cellIs" dxfId="84" priority="72" operator="equal">
      <formula>1</formula>
    </cfRule>
  </conditionalFormatting>
  <conditionalFormatting sqref="CH31:CK31">
    <cfRule type="cellIs" dxfId="83" priority="63" operator="equal">
      <formula>0</formula>
    </cfRule>
    <cfRule type="cellIs" dxfId="82" priority="64" operator="equal">
      <formula>1</formula>
    </cfRule>
  </conditionalFormatting>
  <conditionalFormatting sqref="CM31">
    <cfRule type="cellIs" dxfId="81" priority="67" operator="equal">
      <formula>0</formula>
    </cfRule>
    <cfRule type="cellIs" dxfId="80" priority="68" operator="equal">
      <formula>1</formula>
    </cfRule>
  </conditionalFormatting>
  <conditionalFormatting sqref="CN31">
    <cfRule type="cellIs" dxfId="79" priority="65" operator="equal">
      <formula>0</formula>
    </cfRule>
    <cfRule type="cellIs" dxfId="78" priority="66" operator="equal">
      <formula>1</formula>
    </cfRule>
  </conditionalFormatting>
  <conditionalFormatting sqref="CM31">
    <cfRule type="cellIs" dxfId="77" priority="61" operator="equal">
      <formula>0</formula>
    </cfRule>
    <cfRule type="cellIs" dxfId="76" priority="62" operator="equal">
      <formula>1</formula>
    </cfRule>
  </conditionalFormatting>
  <conditionalFormatting sqref="CM31">
    <cfRule type="cellIs" dxfId="75" priority="59" operator="equal">
      <formula>0</formula>
    </cfRule>
    <cfRule type="cellIs" dxfId="74" priority="60" operator="equal">
      <formula>1</formula>
    </cfRule>
  </conditionalFormatting>
  <conditionalFormatting sqref="CH12:CK17">
    <cfRule type="cellIs" dxfId="73" priority="53" operator="equal">
      <formula>0</formula>
    </cfRule>
    <cfRule type="cellIs" dxfId="72" priority="54" operator="equal">
      <formula>1</formula>
    </cfRule>
  </conditionalFormatting>
  <conditionalFormatting sqref="CL12:CM17">
    <cfRule type="cellIs" dxfId="71" priority="57" operator="equal">
      <formula>0</formula>
    </cfRule>
    <cfRule type="cellIs" dxfId="70" priority="58" operator="equal">
      <formula>1</formula>
    </cfRule>
  </conditionalFormatting>
  <conditionalFormatting sqref="CN12:CN17">
    <cfRule type="cellIs" dxfId="69" priority="55" operator="equal">
      <formula>0</formula>
    </cfRule>
    <cfRule type="cellIs" dxfId="68" priority="56" operator="equal">
      <formula>1</formula>
    </cfRule>
  </conditionalFormatting>
  <conditionalFormatting sqref="CL12:CM17">
    <cfRule type="cellIs" dxfId="67" priority="51" operator="equal">
      <formula>0</formula>
    </cfRule>
    <cfRule type="cellIs" dxfId="66" priority="52" operator="equal">
      <formula>1</formula>
    </cfRule>
  </conditionalFormatting>
  <conditionalFormatting sqref="CM12:CM17">
    <cfRule type="cellIs" dxfId="65" priority="49" operator="equal">
      <formula>0</formula>
    </cfRule>
    <cfRule type="cellIs" dxfId="64" priority="50" operator="equal">
      <formula>1</formula>
    </cfRule>
  </conditionalFormatting>
  <conditionalFormatting sqref="CH19:CK22">
    <cfRule type="cellIs" dxfId="63" priority="43" operator="equal">
      <formula>0</formula>
    </cfRule>
    <cfRule type="cellIs" dxfId="62" priority="44" operator="equal">
      <formula>1</formula>
    </cfRule>
  </conditionalFormatting>
  <conditionalFormatting sqref="CL19:CM22">
    <cfRule type="cellIs" dxfId="61" priority="47" operator="equal">
      <formula>0</formula>
    </cfRule>
    <cfRule type="cellIs" dxfId="60" priority="48" operator="equal">
      <formula>1</formula>
    </cfRule>
  </conditionalFormatting>
  <conditionalFormatting sqref="CN19:CN22">
    <cfRule type="cellIs" dxfId="59" priority="45" operator="equal">
      <formula>0</formula>
    </cfRule>
    <cfRule type="cellIs" dxfId="58" priority="46" operator="equal">
      <formula>1</formula>
    </cfRule>
  </conditionalFormatting>
  <conditionalFormatting sqref="CL19:CM22">
    <cfRule type="cellIs" dxfId="57" priority="41" operator="equal">
      <formula>0</formula>
    </cfRule>
    <cfRule type="cellIs" dxfId="56" priority="42" operator="equal">
      <formula>1</formula>
    </cfRule>
  </conditionalFormatting>
  <conditionalFormatting sqref="CM19:CM22">
    <cfRule type="cellIs" dxfId="55" priority="39" operator="equal">
      <formula>0</formula>
    </cfRule>
    <cfRule type="cellIs" dxfId="54" priority="40" operator="equal">
      <formula>1</formula>
    </cfRule>
  </conditionalFormatting>
  <conditionalFormatting sqref="CH23">
    <cfRule type="cellIs" dxfId="53" priority="37" operator="equal">
      <formula>0</formula>
    </cfRule>
    <cfRule type="cellIs" dxfId="52" priority="38" operator="equal">
      <formula>1</formula>
    </cfRule>
  </conditionalFormatting>
  <conditionalFormatting sqref="CH24:CH26">
    <cfRule type="cellIs" dxfId="51" priority="35" operator="equal">
      <formula>0</formula>
    </cfRule>
    <cfRule type="cellIs" dxfId="50" priority="36" operator="equal">
      <formula>1</formula>
    </cfRule>
  </conditionalFormatting>
  <conditionalFormatting sqref="CH30:CK30">
    <cfRule type="cellIs" dxfId="49" priority="29" operator="equal">
      <formula>0</formula>
    </cfRule>
    <cfRule type="cellIs" dxfId="48" priority="30" operator="equal">
      <formula>1</formula>
    </cfRule>
  </conditionalFormatting>
  <conditionalFormatting sqref="CL30:CM30 CL31:CL33">
    <cfRule type="cellIs" dxfId="47" priority="33" operator="equal">
      <formula>0</formula>
    </cfRule>
    <cfRule type="cellIs" dxfId="46" priority="34" operator="equal">
      <formula>1</formula>
    </cfRule>
  </conditionalFormatting>
  <conditionalFormatting sqref="CN30">
    <cfRule type="cellIs" dxfId="45" priority="31" operator="equal">
      <formula>0</formula>
    </cfRule>
    <cfRule type="cellIs" dxfId="44" priority="32" operator="equal">
      <formula>1</formula>
    </cfRule>
  </conditionalFormatting>
  <conditionalFormatting sqref="CL30:CM30 CL31:CL33">
    <cfRule type="cellIs" dxfId="43" priority="27" operator="equal">
      <formula>0</formula>
    </cfRule>
    <cfRule type="cellIs" dxfId="42" priority="28" operator="equal">
      <formula>1</formula>
    </cfRule>
  </conditionalFormatting>
  <conditionalFormatting sqref="CM30">
    <cfRule type="cellIs" dxfId="41" priority="25" operator="equal">
      <formula>0</formula>
    </cfRule>
    <cfRule type="cellIs" dxfId="40" priority="26" operator="equal">
      <formula>1</formula>
    </cfRule>
  </conditionalFormatting>
  <conditionalFormatting sqref="CH28">
    <cfRule type="cellIs" dxfId="39" priority="23" operator="equal">
      <formula>0</formula>
    </cfRule>
    <cfRule type="cellIs" dxfId="38" priority="24" operator="equal">
      <formula>1</formula>
    </cfRule>
  </conditionalFormatting>
  <conditionalFormatting sqref="CH29">
    <cfRule type="cellIs" dxfId="37" priority="21" operator="equal">
      <formula>0</formula>
    </cfRule>
    <cfRule type="cellIs" dxfId="36" priority="22" operator="equal">
      <formula>1</formula>
    </cfRule>
  </conditionalFormatting>
  <conditionalFormatting sqref="CM32">
    <cfRule type="cellIs" dxfId="35" priority="19" operator="equal">
      <formula>0</formula>
    </cfRule>
    <cfRule type="cellIs" dxfId="34" priority="20" operator="equal">
      <formula>1</formula>
    </cfRule>
  </conditionalFormatting>
  <conditionalFormatting sqref="CN32">
    <cfRule type="cellIs" dxfId="33" priority="17" operator="equal">
      <formula>0</formula>
    </cfRule>
    <cfRule type="cellIs" dxfId="32" priority="18" operator="equal">
      <formula>1</formula>
    </cfRule>
  </conditionalFormatting>
  <conditionalFormatting sqref="CM32">
    <cfRule type="cellIs" dxfId="31" priority="15" operator="equal">
      <formula>0</formula>
    </cfRule>
    <cfRule type="cellIs" dxfId="30" priority="16" operator="equal">
      <formula>1</formula>
    </cfRule>
  </conditionalFormatting>
  <conditionalFormatting sqref="CM32">
    <cfRule type="cellIs" dxfId="29" priority="13" operator="equal">
      <formula>0</formula>
    </cfRule>
    <cfRule type="cellIs" dxfId="28" priority="14" operator="equal">
      <formula>1</formula>
    </cfRule>
  </conditionalFormatting>
  <conditionalFormatting sqref="CH33:CK33">
    <cfRule type="cellIs" dxfId="27" priority="7" operator="equal">
      <formula>0</formula>
    </cfRule>
    <cfRule type="cellIs" dxfId="26" priority="8" operator="equal">
      <formula>1</formula>
    </cfRule>
  </conditionalFormatting>
  <conditionalFormatting sqref="CM33">
    <cfRule type="cellIs" dxfId="25" priority="11" operator="equal">
      <formula>0</formula>
    </cfRule>
    <cfRule type="cellIs" dxfId="24" priority="12" operator="equal">
      <formula>1</formula>
    </cfRule>
  </conditionalFormatting>
  <conditionalFormatting sqref="CN33">
    <cfRule type="cellIs" dxfId="23" priority="9" operator="equal">
      <formula>0</formula>
    </cfRule>
    <cfRule type="cellIs" dxfId="22" priority="10" operator="equal">
      <formula>1</formula>
    </cfRule>
  </conditionalFormatting>
  <conditionalFormatting sqref="CM33">
    <cfRule type="cellIs" dxfId="21" priority="5" operator="equal">
      <formula>0</formula>
    </cfRule>
    <cfRule type="cellIs" dxfId="20" priority="6" operator="equal">
      <formula>1</formula>
    </cfRule>
  </conditionalFormatting>
  <conditionalFormatting sqref="CM33">
    <cfRule type="cellIs" dxfId="19" priority="3" operator="equal">
      <formula>0</formula>
    </cfRule>
    <cfRule type="cellIs" dxfId="18" priority="4" operator="equal">
      <formula>1</formula>
    </cfRule>
  </conditionalFormatting>
  <conditionalFormatting sqref="CH32:CK32">
    <cfRule type="cellIs" dxfId="17" priority="1" operator="equal">
      <formula>0</formula>
    </cfRule>
    <cfRule type="cellIs" dxfId="16" priority="2" operator="equal">
      <formula>1</formula>
    </cfRule>
  </conditionalFormatting>
  <pageMargins left="0.7" right="0.7" top="0.75" bottom="0.75" header="0.3" footer="0.3"/>
  <pageSetup paperSize="9"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19</vt:i4>
      </vt:variant>
    </vt:vector>
  </HeadingPairs>
  <TitlesOfParts>
    <vt:vector size="32" baseType="lpstr">
      <vt:lpstr>1_ENTREGA</vt:lpstr>
      <vt:lpstr>2_APERTURA DE SOBRES</vt:lpstr>
      <vt:lpstr>6.2.1. REQUISITOS JURÍDICOS</vt:lpstr>
      <vt:lpstr>6.2.2.1. EXPERIENCIA GRAL</vt:lpstr>
      <vt:lpstr>6.2.2.2. EXPERIENCIA_ESPECIF </vt:lpstr>
      <vt:lpstr>6.2.3.2 PROFESIONALES</vt:lpstr>
      <vt:lpstr>6.2.4 CAP FINANCIERA</vt:lpstr>
      <vt:lpstr>6.2.5 REQUISITOS COMERCIALES</vt:lpstr>
      <vt:lpstr>PRESUPUESTO</vt:lpstr>
      <vt:lpstr>14.3 EXPERIENCIA_OCT</vt:lpstr>
      <vt:lpstr>Cálculo Pt2</vt:lpstr>
      <vt:lpstr>RESUMEN</vt:lpstr>
      <vt:lpstr>10. EVALUACIÓN</vt:lpstr>
      <vt:lpstr>APERTURA</vt:lpstr>
      <vt:lpstr>'1_ENTREGA'!Área_de_impresión</vt:lpstr>
      <vt:lpstr>AU</vt:lpstr>
      <vt:lpstr>'6.2.2.2. EXPERIENCIA_ESPECIF '!BANDERA</vt:lpstr>
      <vt:lpstr>BANDERA</vt:lpstr>
      <vt:lpstr>C_FINANCIERA</vt:lpstr>
      <vt:lpstr>EST_UNI</vt:lpstr>
      <vt:lpstr>ESTATUS</vt:lpstr>
      <vt:lpstr>EVALUACION</vt:lpstr>
      <vt:lpstr>'6.2.2.2. EXPERIENCIA_ESPECIF '!EXPERIENCIA</vt:lpstr>
      <vt:lpstr>EXPERIENCIA</vt:lpstr>
      <vt:lpstr>LISTA_OFERENTES</vt:lpstr>
      <vt:lpstr>OFERENTE_1</vt:lpstr>
      <vt:lpstr>OFERTA_0</vt:lpstr>
      <vt:lpstr>'10. EVALUACIÓN'!ORDEN</vt:lpstr>
      <vt:lpstr>PT_2</vt:lpstr>
      <vt:lpstr>R_COMERCIALES</vt:lpstr>
      <vt:lpstr>V_UNITARIOS</vt:lpstr>
      <vt:lpstr>VER_UNI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LUIS FERNANDO R�OS MU�OZ</cp:lastModifiedBy>
  <cp:lastPrinted>2020-08-04T01:46:37Z</cp:lastPrinted>
  <dcterms:created xsi:type="dcterms:W3CDTF">2020-08-04T01:26:52Z</dcterms:created>
  <dcterms:modified xsi:type="dcterms:W3CDTF">2021-10-26T20:26:54Z</dcterms:modified>
</cp:coreProperties>
</file>