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updateLinks="never"/>
  <mc:AlternateContent xmlns:mc="http://schemas.openxmlformats.org/markup-compatibility/2006">
    <mc:Choice Requires="x15">
      <x15ac:absPath xmlns:x15ac="http://schemas.microsoft.com/office/spreadsheetml/2010/11/ac" url="/Volumes/GoogleDrive/.shortcut-targets-by-id/1PKPUJ5BnUlpZyHn7OIph8Kc17b7qiSjm/4_GADMIN/1_REGIS/0_Invitaciones/2_MedianaC/VA_036_2021_Interventoria_Robledo/Gestion/3_Evaluacion/"/>
    </mc:Choice>
  </mc:AlternateContent>
  <xr:revisionPtr revIDLastSave="0" documentId="13_ncr:1_{09BC72E5-56B6-4A44-9483-E2AAA81A9343}" xr6:coauthVersionLast="47" xr6:coauthVersionMax="47" xr10:uidLastSave="{00000000-0000-0000-0000-000000000000}"/>
  <bookViews>
    <workbookView xWindow="0" yWindow="500" windowWidth="25440" windowHeight="15400" tabRatio="928" firstSheet="6" activeTab="12" xr2:uid="{00000000-000D-0000-FFFF-FFFF00000000}"/>
  </bookViews>
  <sheets>
    <sheet name="1_ENTREGA" sheetId="1" r:id="rId1"/>
    <sheet name="2_APERTURA DE SOBRES" sheetId="2" r:id="rId2"/>
    <sheet name="6.2.1. REQUISITOS JURÍDICOS" sheetId="3" r:id="rId3"/>
    <sheet name="6.2.2.1. EXPERIENCIA GRAL" sheetId="4" r:id="rId4"/>
    <sheet name="6.2.2.2. EXPERIENCIA_ESPECIF " sheetId="13" r:id="rId5"/>
    <sheet name="6.2.3.2 PROFESIONALES" sheetId="15" r:id="rId6"/>
    <sheet name="6.2.4 CAP FINANCIERA" sheetId="5" r:id="rId7"/>
    <sheet name="6.2.5 REQUISITOS COMERCIALES" sheetId="6" r:id="rId8"/>
    <sheet name="PRESUPUESTO" sheetId="9" r:id="rId9"/>
    <sheet name="14.3 EXPERIENCIA_OCT" sheetId="14" r:id="rId10"/>
    <sheet name="Cálculo Pt2" sheetId="12" state="hidden" r:id="rId11"/>
    <sheet name="RESUMEN" sheetId="10" r:id="rId12"/>
    <sheet name="10. EVALUACIÓN" sheetId="8" r:id="rId13"/>
  </sheets>
  <externalReferences>
    <externalReference r:id="rId14"/>
    <externalReference r:id="rId15"/>
  </externalReferences>
  <definedNames>
    <definedName name="_xlnm._FilterDatabase" localSheetId="8" hidden="1">PRESUPUESTO!$A$9:$WJQ$31</definedName>
    <definedName name="APERTURA">'2_APERTURA DE SOBRES'!$A$8:$I$21</definedName>
    <definedName name="_xlnm.Print_Area" localSheetId="0">'1_ENTREGA'!$A$1:$B$27</definedName>
    <definedName name="AU">PRESUPUESTO!$C$76:$D$89</definedName>
    <definedName name="BANDERA" localSheetId="4">'6.2.2.2. EXPERIENCIA_ESPECIF '!$AD$12:$AE$28</definedName>
    <definedName name="BANDERA">'6.2.2.1. EXPERIENCIA GRAL'!$AD$12:$AE$28</definedName>
    <definedName name="C_FINANCIERA">'6.2.4 CAP FINANCIERA'!$Q$6:$S$19</definedName>
    <definedName name="COSTO_D">[1]PRESUPUESTO!$G$116:$H$145</definedName>
    <definedName name="EST_PRE" localSheetId="4">#REF!</definedName>
    <definedName name="EST_PRE">#REF!</definedName>
    <definedName name="EST_UNI">PRESUPUESTO!$N$50:$P$66</definedName>
    <definedName name="ESTATUS">RESUMEN!$A$5:$H$18</definedName>
    <definedName name="EVALUACION">'10. EVALUACIÓN'!$B$14:$F$30</definedName>
    <definedName name="EXPERIENCIA" localSheetId="4">'6.2.2.2. EXPERIENCIA_ESPECIF '!$W$12:$Z$28</definedName>
    <definedName name="EXPERIENCIA">'6.2.2.1. EXPERIENCIA GRAL'!$W$12:$Z$28</definedName>
    <definedName name="ITEM_2.10" localSheetId="4">PRESUPUESTO!#REF!</definedName>
    <definedName name="ITEM_2.10">PRESUPUESTO!#REF!</definedName>
    <definedName name="ITEM_3.10" localSheetId="4">PRESUPUESTO!#REF!</definedName>
    <definedName name="ITEM_3.10">PRESUPUESTO!#REF!</definedName>
    <definedName name="ITEM_7.10" localSheetId="4">PRESUPUESTO!#REF!</definedName>
    <definedName name="ITEM_7.10">PRESUPUESTO!#REF!</definedName>
    <definedName name="LISTA_OFERENTES">'1_ENTREGA'!$A$8:$B$24</definedName>
    <definedName name="OET_0" localSheetId="4">#REF!</definedName>
    <definedName name="OET_0">#REF!</definedName>
    <definedName name="OFERENTE_1">PRESUPUESTO!$M$11:$AE$31</definedName>
    <definedName name="OFERENTE_10">PRESUPUESTO!#REF!</definedName>
    <definedName name="OFERENTE_11">PRESUPUESTO!#REF!</definedName>
    <definedName name="OFERENTE_12">PRESUPUESTO!#REF!</definedName>
    <definedName name="OFERENTE_13">PRESUPUESTO!#REF!</definedName>
    <definedName name="OFERENTE_14">PRESUPUESTO!#REF!</definedName>
    <definedName name="OFERENTE_15" localSheetId="4">PRESUPUESTO!#REF!</definedName>
    <definedName name="OFERENTE_15">PRESUPUESTO!#REF!</definedName>
    <definedName name="OFERENTE_16" localSheetId="4">PRESUPUESTO!#REF!</definedName>
    <definedName name="OFERENTE_16">PRESUPUESTO!#REF!</definedName>
    <definedName name="OFERENTE_17" localSheetId="4">PRESUPUESTO!#REF!</definedName>
    <definedName name="OFERENTE_17">PRESUPUESTO!#REF!</definedName>
    <definedName name="OFERENTE_18">[2]V_UNITARIOS!$KM$12:$KR$76</definedName>
    <definedName name="OFERENTE_19">[2]V_UNITARIOS!$LD$12:$LI$76</definedName>
    <definedName name="OFERENTE_2">PRESUPUESTO!#REF!</definedName>
    <definedName name="OFERENTE_3">PRESUPUESTO!#REF!</definedName>
    <definedName name="OFERENTE_4">PRESUPUESTO!#REF!</definedName>
    <definedName name="OFERENTE_5">PRESUPUESTO!#REF!</definedName>
    <definedName name="OFERENTE_6">PRESUPUESTO!#REF!</definedName>
    <definedName name="OFERENTE_7">PRESUPUESTO!#REF!</definedName>
    <definedName name="OFERENTE_8">PRESUPUESTO!#REF!</definedName>
    <definedName name="OFERENTE_9">PRESUPUESTO!#REF!</definedName>
    <definedName name="OFERTA_0">PRESUPUESTO!$B$9:$K$39</definedName>
    <definedName name="ORDEN" localSheetId="12">'10. EVALUACIÓN'!$U$14:$V$30</definedName>
    <definedName name="PT_2">'Cálculo Pt2'!$C$7:$AJ$11</definedName>
    <definedName name="R_COMERCIALES">'6.2.5 REQUISITOS COMERCIALES'!$K$4:$M$17</definedName>
    <definedName name="R_JURIDICO" localSheetId="4">'6.2.1. REQUISITOS JURÍDICOS'!#REF!</definedName>
    <definedName name="R_JURIDICO">'6.2.1. REQUISITOS JURÍDICOS'!#REF!</definedName>
    <definedName name="UNIDADES_3.10" localSheetId="4">PRESUPUESTO!#REF!</definedName>
    <definedName name="UNIDADES_3.10">PRESUPUESTO!#REF!</definedName>
    <definedName name="UNIDADES_7.10" localSheetId="4">PRESUPUESTO!#REF!</definedName>
    <definedName name="UNIDADES_7.10">PRESUPUESTO!#REF!</definedName>
    <definedName name="V_PRESUPUESTOO" localSheetId="4">#REF!</definedName>
    <definedName name="V_PRESUPUESTOO">#REF!</definedName>
    <definedName name="V_UNITARIOS">PRESUPUESTO!$C$50:$E$66</definedName>
    <definedName name="VER_PRE" localSheetId="4">#REF!</definedName>
    <definedName name="VER_PRE">#REF!</definedName>
    <definedName name="VER_UNI">PRESUPUESTO!$M$40:$AF$43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0" i="9" l="1"/>
  <c r="M8" i="5" l="1"/>
  <c r="E8" i="5"/>
  <c r="M9" i="5" l="1"/>
  <c r="CG32" i="9" l="1"/>
  <c r="CB31" i="9"/>
  <c r="CG31" i="9" s="1"/>
  <c r="CG30" i="9"/>
  <c r="CC21" i="9"/>
  <c r="CG21" i="9" s="1"/>
  <c r="CC20" i="9"/>
  <c r="CG20" i="9" s="1"/>
  <c r="CC19" i="9"/>
  <c r="CG19" i="9" s="1"/>
  <c r="CC17" i="9"/>
  <c r="CG17" i="9" s="1"/>
  <c r="CC16" i="9"/>
  <c r="CG16" i="9" s="1"/>
  <c r="CC15" i="9"/>
  <c r="CG15" i="9" s="1"/>
  <c r="CC14" i="9"/>
  <c r="CG14" i="9" s="1"/>
  <c r="CC13" i="9"/>
  <c r="CG13" i="9" s="1"/>
  <c r="CC12" i="9"/>
  <c r="CG12" i="9" s="1"/>
  <c r="CC11" i="9"/>
  <c r="CG11" i="9" s="1"/>
  <c r="CG33" i="9" l="1"/>
  <c r="CG22" i="9"/>
  <c r="CG24" i="9" s="1"/>
  <c r="CG26" i="9" s="1"/>
  <c r="CG35" i="9" l="1"/>
  <c r="CG36" i="9" s="1"/>
  <c r="CG37" i="9" s="1"/>
  <c r="CG39" i="9" s="1"/>
  <c r="CG40" i="9" s="1"/>
  <c r="CI43" i="9"/>
  <c r="CM32" i="9"/>
  <c r="CL32" i="9"/>
  <c r="CK32" i="9"/>
  <c r="CJ32" i="9"/>
  <c r="CI32" i="9"/>
  <c r="CH32" i="9"/>
  <c r="CL31" i="9"/>
  <c r="CJ31" i="9"/>
  <c r="CI31" i="9"/>
  <c r="CH31" i="9"/>
  <c r="CM31" i="9"/>
  <c r="CL30" i="9"/>
  <c r="CK30" i="9"/>
  <c r="CJ30" i="9"/>
  <c r="CI30" i="9"/>
  <c r="CH30" i="9"/>
  <c r="CO30" i="9"/>
  <c r="CP30" i="9" s="1"/>
  <c r="CK22" i="9"/>
  <c r="CJ22" i="9"/>
  <c r="CI22" i="9"/>
  <c r="CH22" i="9"/>
  <c r="CK21" i="9"/>
  <c r="CJ21" i="9"/>
  <c r="CI21" i="9"/>
  <c r="CH21" i="9"/>
  <c r="CM21" i="9"/>
  <c r="CL21" i="9"/>
  <c r="CK20" i="9"/>
  <c r="CJ20" i="9"/>
  <c r="CI20" i="9"/>
  <c r="CH20" i="9"/>
  <c r="CL20" i="9"/>
  <c r="CM19" i="9"/>
  <c r="CL19" i="9"/>
  <c r="CK19" i="9"/>
  <c r="CJ19" i="9"/>
  <c r="CI19" i="9"/>
  <c r="CH19" i="9"/>
  <c r="CL17" i="9"/>
  <c r="CK17" i="9"/>
  <c r="CJ17" i="9"/>
  <c r="CI17" i="9"/>
  <c r="CH17" i="9"/>
  <c r="CK16" i="9"/>
  <c r="CJ16" i="9"/>
  <c r="CI16" i="9"/>
  <c r="CH16" i="9"/>
  <c r="CM16" i="9"/>
  <c r="CL16" i="9"/>
  <c r="CK15" i="9"/>
  <c r="CJ15" i="9"/>
  <c r="CI15" i="9"/>
  <c r="CH15" i="9"/>
  <c r="CL15" i="9"/>
  <c r="CK14" i="9"/>
  <c r="CJ14" i="9"/>
  <c r="CI14" i="9"/>
  <c r="CH14" i="9"/>
  <c r="CL14" i="9"/>
  <c r="CM13" i="9"/>
  <c r="CL13" i="9"/>
  <c r="CK13" i="9"/>
  <c r="CJ13" i="9"/>
  <c r="CI13" i="9"/>
  <c r="CH13" i="9"/>
  <c r="CL12" i="9"/>
  <c r="CK12" i="9"/>
  <c r="CJ12" i="9"/>
  <c r="CI12" i="9"/>
  <c r="CH12" i="9"/>
  <c r="CK11" i="9"/>
  <c r="CJ11" i="9"/>
  <c r="CI11" i="9"/>
  <c r="CH11" i="9"/>
  <c r="CL11" i="9"/>
  <c r="CA7" i="9"/>
  <c r="CA2" i="9"/>
  <c r="AA32" i="9"/>
  <c r="BN32" i="9"/>
  <c r="BM32" i="9"/>
  <c r="BP32" i="9"/>
  <c r="BO32" i="9"/>
  <c r="BQ32" i="9"/>
  <c r="BQ31" i="9"/>
  <c r="BQ30" i="9"/>
  <c r="BL32" i="9"/>
  <c r="BG31" i="9"/>
  <c r="BL31" i="9" s="1"/>
  <c r="BL30" i="9"/>
  <c r="BH21" i="9"/>
  <c r="BL21" i="9" s="1"/>
  <c r="BH20" i="9"/>
  <c r="BL20" i="9" s="1"/>
  <c r="BH19" i="9"/>
  <c r="BL19" i="9" s="1"/>
  <c r="BH17" i="9"/>
  <c r="BL17" i="9" s="1"/>
  <c r="BH16" i="9"/>
  <c r="BL16" i="9" s="1"/>
  <c r="BG15" i="9"/>
  <c r="BH14" i="9"/>
  <c r="BL14" i="9" s="1"/>
  <c r="BH13" i="9"/>
  <c r="BL13" i="9" s="1"/>
  <c r="BH12" i="9"/>
  <c r="BL12" i="9" s="1"/>
  <c r="BH11" i="9"/>
  <c r="BL11" i="9" s="1"/>
  <c r="BL33" i="9" l="1"/>
  <c r="CN13" i="9"/>
  <c r="CM30" i="9"/>
  <c r="CN30" i="9" s="1"/>
  <c r="CN32" i="9"/>
  <c r="CN21" i="9"/>
  <c r="CN19" i="9"/>
  <c r="CN16" i="9"/>
  <c r="CO12" i="9"/>
  <c r="CP12" i="9" s="1"/>
  <c r="CM12" i="9"/>
  <c r="CN12" i="9" s="1"/>
  <c r="CM15" i="9"/>
  <c r="CN15" i="9" s="1"/>
  <c r="CO15" i="9"/>
  <c r="CP15" i="9" s="1"/>
  <c r="CO17" i="9"/>
  <c r="CP17" i="9" s="1"/>
  <c r="CM17" i="9"/>
  <c r="CN17" i="9" s="1"/>
  <c r="CO11" i="9"/>
  <c r="CP11" i="9" s="1"/>
  <c r="CO21" i="9"/>
  <c r="CP21" i="9" s="1"/>
  <c r="CO31" i="9"/>
  <c r="CP31" i="9" s="1"/>
  <c r="CO16" i="9"/>
  <c r="CP16" i="9" s="1"/>
  <c r="CM11" i="9"/>
  <c r="CN11" i="9" s="1"/>
  <c r="CO13" i="9"/>
  <c r="CP13" i="9" s="1"/>
  <c r="CO19" i="9"/>
  <c r="CP19" i="9" s="1"/>
  <c r="CO32" i="9"/>
  <c r="CP32" i="9" s="1"/>
  <c r="BH15" i="9"/>
  <c r="BL15" i="9" s="1"/>
  <c r="BL22" i="9" s="1"/>
  <c r="BL24" i="9" s="1"/>
  <c r="BL26" i="9" s="1"/>
  <c r="BL35" i="9" l="1"/>
  <c r="BL36" i="9" s="1"/>
  <c r="BL37" i="9" s="1"/>
  <c r="BL39" i="9" s="1"/>
  <c r="BL40" i="9" s="1"/>
  <c r="CM14" i="9"/>
  <c r="CN14" i="9" s="1"/>
  <c r="CO14" i="9"/>
  <c r="CP14" i="9" s="1"/>
  <c r="CM20" i="9"/>
  <c r="CN20" i="9" s="1"/>
  <c r="CO20" i="9"/>
  <c r="CP20" i="9" s="1"/>
  <c r="CO33" i="9"/>
  <c r="CP33" i="9" s="1"/>
  <c r="CM33" i="9"/>
  <c r="CN33" i="9" s="1"/>
  <c r="CM22" i="9" l="1"/>
  <c r="CN22" i="9" s="1"/>
  <c r="CO22" i="9"/>
  <c r="CP22" i="9" s="1"/>
  <c r="CP35" i="9" l="1"/>
  <c r="CP43" i="9" s="1"/>
  <c r="CK43" i="9"/>
  <c r="BN43" i="9" l="1"/>
  <c r="BT33" i="9"/>
  <c r="BU33" i="9" s="1"/>
  <c r="BR33" i="9"/>
  <c r="BT32" i="9"/>
  <c r="BU32" i="9" s="1"/>
  <c r="BR32" i="9"/>
  <c r="BS32" i="9" s="1"/>
  <c r="BT31" i="9"/>
  <c r="BU31" i="9" s="1"/>
  <c r="BR31" i="9"/>
  <c r="BO31" i="9"/>
  <c r="BN31" i="9"/>
  <c r="BM31" i="9"/>
  <c r="BT30" i="9"/>
  <c r="BU30" i="9" s="1"/>
  <c r="BR30" i="9"/>
  <c r="BP30" i="9"/>
  <c r="BO30" i="9"/>
  <c r="BN30" i="9"/>
  <c r="BM30" i="9"/>
  <c r="BP22" i="9"/>
  <c r="BO22" i="9"/>
  <c r="BN22" i="9"/>
  <c r="BM22" i="9"/>
  <c r="BR21" i="9"/>
  <c r="BQ21" i="9"/>
  <c r="BP21" i="9"/>
  <c r="BO21" i="9"/>
  <c r="BN21" i="9"/>
  <c r="BM21" i="9"/>
  <c r="BT21" i="9"/>
  <c r="BU21" i="9" s="1"/>
  <c r="BQ20" i="9"/>
  <c r="BP20" i="9"/>
  <c r="BO20" i="9"/>
  <c r="BN20" i="9"/>
  <c r="BM20" i="9"/>
  <c r="BR19" i="9"/>
  <c r="BQ19" i="9"/>
  <c r="BP19" i="9"/>
  <c r="BO19" i="9"/>
  <c r="BN19" i="9"/>
  <c r="BM19" i="9"/>
  <c r="BT19" i="9"/>
  <c r="BU19" i="9" s="1"/>
  <c r="BT17" i="9"/>
  <c r="BU17" i="9" s="1"/>
  <c r="BR17" i="9"/>
  <c r="BQ17" i="9"/>
  <c r="BP17" i="9"/>
  <c r="BO17" i="9"/>
  <c r="BN17" i="9"/>
  <c r="BM17" i="9"/>
  <c r="BT16" i="9"/>
  <c r="BU16" i="9" s="1"/>
  <c r="BR16" i="9"/>
  <c r="BQ16" i="9"/>
  <c r="BP16" i="9"/>
  <c r="BO16" i="9"/>
  <c r="BN16" i="9"/>
  <c r="BM16" i="9"/>
  <c r="BT15" i="9"/>
  <c r="BU15" i="9" s="1"/>
  <c r="BR15" i="9"/>
  <c r="BQ15" i="9"/>
  <c r="BP15" i="9"/>
  <c r="BO15" i="9"/>
  <c r="BN15" i="9"/>
  <c r="BM15" i="9"/>
  <c r="BT14" i="9"/>
  <c r="BU14" i="9" s="1"/>
  <c r="BR14" i="9"/>
  <c r="BQ14" i="9"/>
  <c r="BP14" i="9"/>
  <c r="BO14" i="9"/>
  <c r="BN14" i="9"/>
  <c r="BM14" i="9"/>
  <c r="BT13" i="9"/>
  <c r="BU13" i="9" s="1"/>
  <c r="BR13" i="9"/>
  <c r="BQ13" i="9"/>
  <c r="BP13" i="9"/>
  <c r="BO13" i="9"/>
  <c r="BN13" i="9"/>
  <c r="BM13" i="9"/>
  <c r="BT12" i="9"/>
  <c r="BU12" i="9" s="1"/>
  <c r="BR12" i="9"/>
  <c r="BQ12" i="9"/>
  <c r="BP12" i="9"/>
  <c r="BO12" i="9"/>
  <c r="BN12" i="9"/>
  <c r="BM12" i="9"/>
  <c r="BT11" i="9"/>
  <c r="BU11" i="9" s="1"/>
  <c r="BR11" i="9"/>
  <c r="BQ11" i="9"/>
  <c r="BP11" i="9"/>
  <c r="BO11" i="9"/>
  <c r="BN11" i="9"/>
  <c r="BM11" i="9"/>
  <c r="BF7" i="9"/>
  <c r="BF2" i="9"/>
  <c r="AS43" i="9"/>
  <c r="AV33" i="9"/>
  <c r="AU33" i="9"/>
  <c r="AT33" i="9"/>
  <c r="AS33" i="9"/>
  <c r="AR33" i="9"/>
  <c r="AW32" i="9"/>
  <c r="AV32" i="9"/>
  <c r="AU32" i="9"/>
  <c r="AT32" i="9"/>
  <c r="AS32" i="9"/>
  <c r="AR32" i="9"/>
  <c r="AV31" i="9"/>
  <c r="AU31" i="9"/>
  <c r="AT31" i="9"/>
  <c r="AS31" i="9"/>
  <c r="AR31" i="9"/>
  <c r="AY31" i="9"/>
  <c r="AZ31" i="9" s="1"/>
  <c r="AV30" i="9"/>
  <c r="AU30" i="9"/>
  <c r="AT30" i="9"/>
  <c r="AS30" i="9"/>
  <c r="AR30" i="9"/>
  <c r="AU22" i="9"/>
  <c r="AT22" i="9"/>
  <c r="AS22" i="9"/>
  <c r="AR22" i="9"/>
  <c r="AV21" i="9"/>
  <c r="AU21" i="9"/>
  <c r="AT21" i="9"/>
  <c r="AS21" i="9"/>
  <c r="AR21" i="9"/>
  <c r="AQ21" i="9"/>
  <c r="AY21" i="9" s="1"/>
  <c r="AZ21" i="9" s="1"/>
  <c r="AU20" i="9"/>
  <c r="AT20" i="9"/>
  <c r="AS20" i="9"/>
  <c r="AR20" i="9"/>
  <c r="AQ20" i="9"/>
  <c r="AW20" i="9" s="1"/>
  <c r="AV20" i="9"/>
  <c r="AU19" i="9"/>
  <c r="AT19" i="9"/>
  <c r="AS19" i="9"/>
  <c r="AR19" i="9"/>
  <c r="AV19" i="9"/>
  <c r="AV17" i="9"/>
  <c r="AU17" i="9"/>
  <c r="AT17" i="9"/>
  <c r="AS17" i="9"/>
  <c r="AR17" i="9"/>
  <c r="AV16" i="9"/>
  <c r="AU16" i="9"/>
  <c r="AT16" i="9"/>
  <c r="AS16" i="9"/>
  <c r="AR16" i="9"/>
  <c r="AY16" i="9"/>
  <c r="AZ16" i="9" s="1"/>
  <c r="AU15" i="9"/>
  <c r="AT15" i="9"/>
  <c r="AS15" i="9"/>
  <c r="AR15" i="9"/>
  <c r="AW15" i="9"/>
  <c r="AV15" i="9"/>
  <c r="AU14" i="9"/>
  <c r="AT14" i="9"/>
  <c r="AS14" i="9"/>
  <c r="AR14" i="9"/>
  <c r="AV14" i="9"/>
  <c r="AV13" i="9"/>
  <c r="AU13" i="9"/>
  <c r="AT13" i="9"/>
  <c r="AS13" i="9"/>
  <c r="AR13" i="9"/>
  <c r="AV12" i="9"/>
  <c r="AU12" i="9"/>
  <c r="AT12" i="9"/>
  <c r="AS12" i="9"/>
  <c r="AR12" i="9"/>
  <c r="AY12" i="9"/>
  <c r="AZ12" i="9" s="1"/>
  <c r="AU11" i="9"/>
  <c r="AT11" i="9"/>
  <c r="AS11" i="9"/>
  <c r="AR11" i="9"/>
  <c r="AY11" i="9"/>
  <c r="AV11" i="9"/>
  <c r="AK7" i="9"/>
  <c r="AK2" i="9"/>
  <c r="BS16" i="9" l="1"/>
  <c r="BS15" i="9"/>
  <c r="BS30" i="9"/>
  <c r="BS33" i="9"/>
  <c r="BS19" i="9"/>
  <c r="BS21" i="9"/>
  <c r="BS17" i="9"/>
  <c r="BS11" i="9"/>
  <c r="BS12" i="9"/>
  <c r="BS14" i="9"/>
  <c r="BS13" i="9"/>
  <c r="BT22" i="9"/>
  <c r="BU22" i="9" s="1"/>
  <c r="BR22" i="9"/>
  <c r="BS22" i="9" s="1"/>
  <c r="BR20" i="9"/>
  <c r="BS20" i="9" s="1"/>
  <c r="BT20" i="9"/>
  <c r="BU20" i="9" s="1"/>
  <c r="AX32" i="9"/>
  <c r="AW13" i="9"/>
  <c r="AX13" i="9" s="1"/>
  <c r="AY13" i="9"/>
  <c r="AZ13" i="9" s="1"/>
  <c r="AW17" i="9"/>
  <c r="AY17" i="9"/>
  <c r="AZ17" i="9" s="1"/>
  <c r="AY33" i="9"/>
  <c r="AZ33" i="9" s="1"/>
  <c r="AW33" i="9"/>
  <c r="AX33" i="9" s="1"/>
  <c r="AX17" i="9"/>
  <c r="AX15" i="9"/>
  <c r="AX20" i="9"/>
  <c r="AZ11" i="9"/>
  <c r="AW12" i="9"/>
  <c r="AX12" i="9" s="1"/>
  <c r="AW16" i="9"/>
  <c r="AX16" i="9" s="1"/>
  <c r="AQ19" i="9"/>
  <c r="AW21" i="9"/>
  <c r="AX21" i="9" s="1"/>
  <c r="AW31" i="9"/>
  <c r="AX31" i="9" s="1"/>
  <c r="AY32" i="9"/>
  <c r="AZ32" i="9" s="1"/>
  <c r="AY15" i="9"/>
  <c r="AZ15" i="9" s="1"/>
  <c r="AY20" i="9"/>
  <c r="AZ20" i="9" s="1"/>
  <c r="AY30" i="9"/>
  <c r="AZ30" i="9" s="1"/>
  <c r="AW11" i="9"/>
  <c r="AX11" i="9" s="1"/>
  <c r="AW30" i="9"/>
  <c r="AX30" i="9" s="1"/>
  <c r="X43" i="9"/>
  <c r="Z32" i="9"/>
  <c r="Y32" i="9"/>
  <c r="X32" i="9"/>
  <c r="W32" i="9"/>
  <c r="AA30" i="9"/>
  <c r="Z30" i="9"/>
  <c r="Y30" i="9"/>
  <c r="X30" i="9"/>
  <c r="W30" i="9"/>
  <c r="Z22" i="9"/>
  <c r="Y22" i="9"/>
  <c r="X22" i="9"/>
  <c r="W22" i="9"/>
  <c r="Z21" i="9"/>
  <c r="Y21" i="9"/>
  <c r="X21" i="9"/>
  <c r="W21" i="9"/>
  <c r="Z20" i="9"/>
  <c r="Y20" i="9"/>
  <c r="X20" i="9"/>
  <c r="W20" i="9"/>
  <c r="Z19" i="9"/>
  <c r="Y19" i="9"/>
  <c r="X19" i="9"/>
  <c r="W19" i="9"/>
  <c r="Z17" i="9"/>
  <c r="Y17" i="9"/>
  <c r="X17" i="9"/>
  <c r="W17" i="9"/>
  <c r="Z16" i="9"/>
  <c r="Y16" i="9"/>
  <c r="X16" i="9"/>
  <c r="W16" i="9"/>
  <c r="Z15" i="9"/>
  <c r="Y15" i="9"/>
  <c r="X15" i="9"/>
  <c r="W15" i="9"/>
  <c r="Z14" i="9"/>
  <c r="Y14" i="9"/>
  <c r="X14" i="9"/>
  <c r="W14" i="9"/>
  <c r="Z13" i="9"/>
  <c r="Y13" i="9"/>
  <c r="X13" i="9"/>
  <c r="W13" i="9"/>
  <c r="Z12" i="9"/>
  <c r="Y12" i="9"/>
  <c r="X12" i="9"/>
  <c r="W12" i="9"/>
  <c r="Z11" i="9"/>
  <c r="Y11" i="9"/>
  <c r="V32" i="9"/>
  <c r="AD32" i="9" s="1"/>
  <c r="AE32" i="9" s="1"/>
  <c r="Q31" i="9"/>
  <c r="V31" i="9" s="1"/>
  <c r="AD30" i="9"/>
  <c r="AE30" i="9" s="1"/>
  <c r="R21" i="9"/>
  <c r="AA21" i="9" s="1"/>
  <c r="R20" i="9"/>
  <c r="V20" i="9" s="1"/>
  <c r="AB20" i="9" s="1"/>
  <c r="R19" i="9"/>
  <c r="AA19" i="9" s="1"/>
  <c r="R17" i="9"/>
  <c r="V17" i="9" s="1"/>
  <c r="AB17" i="9" s="1"/>
  <c r="R16" i="9"/>
  <c r="AA16" i="9" s="1"/>
  <c r="R15" i="9"/>
  <c r="V15" i="9" s="1"/>
  <c r="AD15" i="9" s="1"/>
  <c r="AE15" i="9" s="1"/>
  <c r="R14" i="9"/>
  <c r="AA14" i="9" s="1"/>
  <c r="R13" i="9"/>
  <c r="V13" i="9" s="1"/>
  <c r="AD13" i="9" s="1"/>
  <c r="AE13" i="9" s="1"/>
  <c r="R12" i="9"/>
  <c r="V12" i="9" s="1"/>
  <c r="R11" i="9"/>
  <c r="V11" i="9" s="1"/>
  <c r="V16" i="9" l="1"/>
  <c r="AD16" i="9" s="1"/>
  <c r="AE16" i="9" s="1"/>
  <c r="AA13" i="9"/>
  <c r="AB32" i="9"/>
  <c r="AC32" i="9" s="1"/>
  <c r="AB13" i="9"/>
  <c r="AB30" i="9"/>
  <c r="AC30" i="9" s="1"/>
  <c r="AA12" i="9"/>
  <c r="AB15" i="9"/>
  <c r="BU35" i="9"/>
  <c r="BU43" i="9" s="1"/>
  <c r="BP43" i="9"/>
  <c r="AW19" i="9"/>
  <c r="AX19" i="9" s="1"/>
  <c r="AY19" i="9"/>
  <c r="AZ19" i="9" s="1"/>
  <c r="AQ22" i="9"/>
  <c r="AW14" i="9"/>
  <c r="AX14" i="9" s="1"/>
  <c r="AY14" i="9"/>
  <c r="AZ14" i="9" s="1"/>
  <c r="AB12" i="9"/>
  <c r="AC12" i="9" s="1"/>
  <c r="AD12" i="9"/>
  <c r="AE12" i="9" s="1"/>
  <c r="AD17" i="9"/>
  <c r="AE17" i="9" s="1"/>
  <c r="V14" i="9"/>
  <c r="V21" i="9"/>
  <c r="AA17" i="9"/>
  <c r="AC17" i="9" s="1"/>
  <c r="AD20" i="9"/>
  <c r="AE20" i="9" s="1"/>
  <c r="V19" i="9"/>
  <c r="AA15" i="9"/>
  <c r="AC15" i="9" s="1"/>
  <c r="AB16" i="9"/>
  <c r="AC16" i="9" s="1"/>
  <c r="AA20" i="9"/>
  <c r="AC20" i="9" s="1"/>
  <c r="V33" i="9"/>
  <c r="AC13" i="9" l="1"/>
  <c r="AB33" i="9"/>
  <c r="AC33" i="9" s="1"/>
  <c r="AD33" i="9"/>
  <c r="AE33" i="9" s="1"/>
  <c r="AQ24" i="9"/>
  <c r="AW22" i="9"/>
  <c r="AX22" i="9" s="1"/>
  <c r="AX43" i="9" s="1"/>
  <c r="AY22" i="9"/>
  <c r="AZ22" i="9" s="1"/>
  <c r="AD14" i="9"/>
  <c r="AE14" i="9" s="1"/>
  <c r="AB14" i="9"/>
  <c r="AC14" i="9" s="1"/>
  <c r="AD19" i="9"/>
  <c r="AE19" i="9" s="1"/>
  <c r="AB19" i="9"/>
  <c r="AC19" i="9" s="1"/>
  <c r="V22" i="9"/>
  <c r="AD21" i="9"/>
  <c r="AE21" i="9" s="1"/>
  <c r="AB21" i="9"/>
  <c r="AC21" i="9" s="1"/>
  <c r="AQ26" i="9" l="1"/>
  <c r="AZ35" i="9" s="1"/>
  <c r="AZ43" i="9" s="1"/>
  <c r="AU43" i="9"/>
  <c r="V24" i="9"/>
  <c r="AD22" i="9"/>
  <c r="AE22" i="9" s="1"/>
  <c r="AB22" i="9"/>
  <c r="AC22" i="9" s="1"/>
  <c r="V26" i="9" l="1"/>
  <c r="V35" i="9" s="1"/>
  <c r="V36" i="9" s="1"/>
  <c r="V37" i="9" s="1"/>
  <c r="V39" i="9" s="1"/>
  <c r="V40" i="9" s="1"/>
  <c r="Z43" i="9"/>
  <c r="AH43" i="9"/>
  <c r="AA11" i="9"/>
  <c r="W11" i="9"/>
  <c r="K32" i="9"/>
  <c r="F31" i="9"/>
  <c r="K30" i="9"/>
  <c r="G21" i="9"/>
  <c r="K21" i="9" s="1"/>
  <c r="G20" i="9"/>
  <c r="K20" i="9" s="1"/>
  <c r="G19" i="9"/>
  <c r="K19" i="9" s="1"/>
  <c r="G17" i="9"/>
  <c r="K17" i="9" s="1"/>
  <c r="G16" i="9"/>
  <c r="K16" i="9" s="1"/>
  <c r="G15" i="9"/>
  <c r="K15" i="9" s="1"/>
  <c r="G14" i="9"/>
  <c r="K14" i="9" s="1"/>
  <c r="G13" i="9"/>
  <c r="K13" i="9" s="1"/>
  <c r="G12" i="9"/>
  <c r="K12" i="9" s="1"/>
  <c r="G11" i="9"/>
  <c r="K11" i="9" s="1"/>
  <c r="K31" i="9" l="1"/>
  <c r="K33" i="9" s="1"/>
  <c r="CK31" i="9"/>
  <c r="CN31" i="9" s="1"/>
  <c r="CN43" i="9" s="1"/>
  <c r="BX43" i="9" s="1"/>
  <c r="BP31" i="9"/>
  <c r="BS31" i="9" s="1"/>
  <c r="BS43" i="9" s="1"/>
  <c r="BC43" i="9" s="1"/>
  <c r="K22" i="9"/>
  <c r="K24" i="9" s="1"/>
  <c r="K26" i="9" s="1"/>
  <c r="K35" i="9" l="1"/>
  <c r="K36" i="9" s="1"/>
  <c r="K37" i="9" s="1"/>
  <c r="K39" i="9" s="1"/>
  <c r="K40" i="9" s="1"/>
  <c r="X11" i="9"/>
  <c r="P7" i="9" l="1"/>
  <c r="N12" i="8"/>
  <c r="F11" i="14" l="1"/>
  <c r="F10" i="14"/>
  <c r="C32" i="13"/>
  <c r="C54" i="13" s="1"/>
  <c r="C76" i="13" s="1"/>
  <c r="C32" i="4"/>
  <c r="C54" i="4" s="1"/>
  <c r="C76" i="4" s="1"/>
  <c r="S314" i="13"/>
  <c r="K313" i="13"/>
  <c r="M312" i="13"/>
  <c r="K312" i="13"/>
  <c r="M311" i="13"/>
  <c r="U311" i="13" s="1"/>
  <c r="K311" i="13"/>
  <c r="S311" i="13" s="1"/>
  <c r="K310" i="13"/>
  <c r="M309" i="13"/>
  <c r="K309" i="13"/>
  <c r="M308" i="13"/>
  <c r="K308" i="13"/>
  <c r="K307" i="13"/>
  <c r="M306" i="13"/>
  <c r="K306" i="13"/>
  <c r="M305" i="13"/>
  <c r="K305" i="13"/>
  <c r="K304" i="13"/>
  <c r="M303" i="13"/>
  <c r="K303" i="13"/>
  <c r="M302" i="13"/>
  <c r="K302" i="13"/>
  <c r="K301" i="13"/>
  <c r="M300" i="13"/>
  <c r="K300" i="13"/>
  <c r="M299" i="13"/>
  <c r="K299" i="13"/>
  <c r="U297" i="13"/>
  <c r="T297" i="13"/>
  <c r="S296" i="13"/>
  <c r="F296" i="13"/>
  <c r="S292" i="13"/>
  <c r="K291" i="13"/>
  <c r="M290" i="13"/>
  <c r="K290" i="13"/>
  <c r="M289" i="13"/>
  <c r="K289" i="13"/>
  <c r="K288" i="13"/>
  <c r="M287" i="13"/>
  <c r="K287" i="13"/>
  <c r="M286" i="13"/>
  <c r="K286" i="13"/>
  <c r="K285" i="13"/>
  <c r="M284" i="13"/>
  <c r="K284" i="13"/>
  <c r="M283" i="13"/>
  <c r="K283" i="13"/>
  <c r="K282" i="13"/>
  <c r="M281" i="13"/>
  <c r="K281" i="13"/>
  <c r="M280" i="13"/>
  <c r="K280" i="13"/>
  <c r="K279" i="13"/>
  <c r="M278" i="13"/>
  <c r="K278" i="13"/>
  <c r="M277" i="13"/>
  <c r="K277" i="13"/>
  <c r="U275" i="13"/>
  <c r="T275" i="13"/>
  <c r="S274" i="13"/>
  <c r="F274" i="13"/>
  <c r="K269" i="13"/>
  <c r="M268" i="13"/>
  <c r="K268" i="13"/>
  <c r="M267" i="13"/>
  <c r="K267" i="13"/>
  <c r="K266" i="13"/>
  <c r="M265" i="13"/>
  <c r="K265" i="13"/>
  <c r="M264" i="13"/>
  <c r="K264" i="13"/>
  <c r="K263" i="13"/>
  <c r="M262" i="13"/>
  <c r="K262" i="13"/>
  <c r="M261" i="13"/>
  <c r="K261" i="13"/>
  <c r="K260" i="13"/>
  <c r="M259" i="13"/>
  <c r="K259" i="13"/>
  <c r="M258" i="13"/>
  <c r="K258" i="13"/>
  <c r="K257" i="13"/>
  <c r="M256" i="13"/>
  <c r="K256" i="13"/>
  <c r="M255" i="13"/>
  <c r="K255" i="13"/>
  <c r="U253" i="13"/>
  <c r="T253" i="13"/>
  <c r="S252" i="13"/>
  <c r="F252" i="13"/>
  <c r="S248" i="13"/>
  <c r="K247" i="13"/>
  <c r="M246" i="13"/>
  <c r="K246" i="13"/>
  <c r="M245" i="13"/>
  <c r="K245" i="13"/>
  <c r="K244" i="13"/>
  <c r="M243" i="13"/>
  <c r="K243" i="13"/>
  <c r="M242" i="13"/>
  <c r="K242" i="13"/>
  <c r="K241" i="13"/>
  <c r="M240" i="13"/>
  <c r="K240" i="13"/>
  <c r="M239" i="13"/>
  <c r="K239" i="13"/>
  <c r="K238" i="13"/>
  <c r="M237" i="13"/>
  <c r="K237" i="13"/>
  <c r="M236" i="13"/>
  <c r="K236" i="13"/>
  <c r="K235" i="13"/>
  <c r="M234" i="13"/>
  <c r="K234" i="13"/>
  <c r="M233" i="13"/>
  <c r="K233" i="13"/>
  <c r="U231" i="13"/>
  <c r="T231" i="13"/>
  <c r="S230" i="13"/>
  <c r="F230" i="13"/>
  <c r="S226" i="13"/>
  <c r="K225" i="13"/>
  <c r="M224" i="13"/>
  <c r="K224" i="13"/>
  <c r="M223" i="13"/>
  <c r="K223" i="13"/>
  <c r="K222" i="13"/>
  <c r="M221" i="13"/>
  <c r="K221" i="13"/>
  <c r="M220" i="13"/>
  <c r="K220" i="13"/>
  <c r="K219" i="13"/>
  <c r="M218" i="13"/>
  <c r="K218" i="13"/>
  <c r="M217" i="13"/>
  <c r="K217" i="13"/>
  <c r="K216" i="13"/>
  <c r="M215" i="13"/>
  <c r="K215" i="13"/>
  <c r="M214" i="13"/>
  <c r="K214" i="13"/>
  <c r="K213" i="13"/>
  <c r="M212" i="13"/>
  <c r="K212" i="13"/>
  <c r="M211" i="13"/>
  <c r="K211" i="13"/>
  <c r="U209" i="13"/>
  <c r="T209" i="13"/>
  <c r="S208" i="13"/>
  <c r="F208" i="13"/>
  <c r="K203" i="13"/>
  <c r="M202" i="13"/>
  <c r="K202" i="13"/>
  <c r="M201" i="13"/>
  <c r="K201" i="13"/>
  <c r="K200" i="13"/>
  <c r="M199" i="13"/>
  <c r="K199" i="13"/>
  <c r="M198" i="13"/>
  <c r="K198" i="13"/>
  <c r="K197" i="13"/>
  <c r="M196" i="13"/>
  <c r="K196" i="13"/>
  <c r="M195" i="13"/>
  <c r="K195" i="13"/>
  <c r="K194" i="13"/>
  <c r="M193" i="13"/>
  <c r="K193" i="13"/>
  <c r="M192" i="13"/>
  <c r="K192" i="13"/>
  <c r="K191" i="13"/>
  <c r="M190" i="13"/>
  <c r="K190" i="13"/>
  <c r="M189" i="13"/>
  <c r="K189" i="13"/>
  <c r="U187" i="13"/>
  <c r="T187" i="13"/>
  <c r="S186" i="13"/>
  <c r="F186" i="13"/>
  <c r="S182" i="13"/>
  <c r="K181" i="13"/>
  <c r="M180" i="13"/>
  <c r="K180" i="13"/>
  <c r="M179" i="13"/>
  <c r="K179" i="13"/>
  <c r="K178" i="13"/>
  <c r="M177" i="13"/>
  <c r="K177" i="13"/>
  <c r="M176" i="13"/>
  <c r="K176" i="13"/>
  <c r="K175" i="13"/>
  <c r="M174" i="13"/>
  <c r="K174" i="13"/>
  <c r="M173" i="13"/>
  <c r="K173" i="13"/>
  <c r="K172" i="13"/>
  <c r="M171" i="13"/>
  <c r="K171" i="13"/>
  <c r="M170" i="13"/>
  <c r="K170" i="13"/>
  <c r="K169" i="13"/>
  <c r="M168" i="13"/>
  <c r="K168" i="13"/>
  <c r="M167" i="13"/>
  <c r="K167" i="13"/>
  <c r="U165" i="13"/>
  <c r="T165" i="13"/>
  <c r="S164" i="13"/>
  <c r="F164" i="13"/>
  <c r="S160" i="13"/>
  <c r="K159" i="13"/>
  <c r="M158" i="13"/>
  <c r="K158" i="13"/>
  <c r="M157" i="13"/>
  <c r="K157" i="13"/>
  <c r="K156" i="13"/>
  <c r="M155" i="13"/>
  <c r="K155" i="13"/>
  <c r="M154" i="13"/>
  <c r="K154" i="13"/>
  <c r="K153" i="13"/>
  <c r="M152" i="13"/>
  <c r="K152" i="13"/>
  <c r="M151" i="13"/>
  <c r="K151" i="13"/>
  <c r="K150" i="13"/>
  <c r="M149" i="13"/>
  <c r="K149" i="13"/>
  <c r="M148" i="13"/>
  <c r="K148" i="13"/>
  <c r="K147" i="13"/>
  <c r="M146" i="13"/>
  <c r="K146" i="13"/>
  <c r="M145" i="13"/>
  <c r="K145" i="13"/>
  <c r="U143" i="13"/>
  <c r="T143" i="13"/>
  <c r="S142" i="13"/>
  <c r="F142" i="13"/>
  <c r="S138" i="13"/>
  <c r="K137" i="13"/>
  <c r="M136" i="13"/>
  <c r="K136" i="13"/>
  <c r="M135" i="13"/>
  <c r="K135" i="13"/>
  <c r="K134" i="13"/>
  <c r="M133" i="13"/>
  <c r="K133" i="13"/>
  <c r="M132" i="13"/>
  <c r="K132" i="13"/>
  <c r="K131" i="13"/>
  <c r="M130" i="13"/>
  <c r="K130" i="13"/>
  <c r="M129" i="13"/>
  <c r="K129" i="13"/>
  <c r="K128" i="13"/>
  <c r="M127" i="13"/>
  <c r="K127" i="13"/>
  <c r="M126" i="13"/>
  <c r="K126" i="13"/>
  <c r="K125" i="13"/>
  <c r="M124" i="13"/>
  <c r="K124" i="13"/>
  <c r="M123" i="13"/>
  <c r="K123" i="13"/>
  <c r="U121" i="13"/>
  <c r="T121" i="13"/>
  <c r="S120" i="13"/>
  <c r="F120" i="13"/>
  <c r="S116" i="13"/>
  <c r="K115" i="13"/>
  <c r="M114" i="13"/>
  <c r="K114" i="13"/>
  <c r="M113" i="13"/>
  <c r="K113" i="13"/>
  <c r="K112" i="13"/>
  <c r="M111" i="13"/>
  <c r="K111" i="13"/>
  <c r="M110" i="13"/>
  <c r="K110" i="13"/>
  <c r="K109" i="13"/>
  <c r="M108" i="13"/>
  <c r="K108" i="13"/>
  <c r="M107" i="13"/>
  <c r="K107" i="13"/>
  <c r="K106" i="13"/>
  <c r="M105" i="13"/>
  <c r="K105" i="13"/>
  <c r="M104" i="13"/>
  <c r="K104" i="13"/>
  <c r="K103" i="13"/>
  <c r="M102" i="13"/>
  <c r="K102" i="13"/>
  <c r="M101" i="13"/>
  <c r="K101" i="13"/>
  <c r="U99" i="13"/>
  <c r="T99" i="13"/>
  <c r="S98" i="13"/>
  <c r="F98" i="13"/>
  <c r="K93" i="13"/>
  <c r="M92" i="13"/>
  <c r="K92" i="13"/>
  <c r="M91" i="13"/>
  <c r="K91" i="13"/>
  <c r="K90" i="13"/>
  <c r="M89" i="13"/>
  <c r="K89" i="13"/>
  <c r="M88" i="13"/>
  <c r="K88" i="13"/>
  <c r="K87" i="13"/>
  <c r="M86" i="13"/>
  <c r="K86" i="13"/>
  <c r="M85" i="13"/>
  <c r="K85" i="13"/>
  <c r="K84" i="13"/>
  <c r="M83" i="13"/>
  <c r="K83" i="13"/>
  <c r="M82" i="13"/>
  <c r="K82" i="13"/>
  <c r="K81" i="13"/>
  <c r="M80" i="13"/>
  <c r="K80" i="13"/>
  <c r="M79" i="13"/>
  <c r="K79" i="13"/>
  <c r="U77" i="13"/>
  <c r="T77" i="13"/>
  <c r="S76" i="13"/>
  <c r="F76" i="13"/>
  <c r="K71" i="13"/>
  <c r="M70" i="13"/>
  <c r="K70" i="13"/>
  <c r="M69" i="13"/>
  <c r="K69" i="13"/>
  <c r="K68" i="13"/>
  <c r="M67" i="13"/>
  <c r="K67" i="13"/>
  <c r="M66" i="13"/>
  <c r="K66" i="13"/>
  <c r="K65" i="13"/>
  <c r="M64" i="13"/>
  <c r="K64" i="13"/>
  <c r="M63" i="13"/>
  <c r="K63" i="13"/>
  <c r="K62" i="13"/>
  <c r="M61" i="13"/>
  <c r="K61" i="13"/>
  <c r="M60" i="13"/>
  <c r="K60" i="13"/>
  <c r="K59" i="13"/>
  <c r="M58" i="13"/>
  <c r="K58" i="13"/>
  <c r="M57" i="13"/>
  <c r="K57" i="13"/>
  <c r="U55" i="13"/>
  <c r="T55" i="13"/>
  <c r="S54" i="13"/>
  <c r="F54" i="13"/>
  <c r="S50" i="13"/>
  <c r="K49" i="13"/>
  <c r="M48" i="13"/>
  <c r="K48" i="13"/>
  <c r="M47" i="13"/>
  <c r="K47" i="13"/>
  <c r="K46" i="13"/>
  <c r="M45" i="13"/>
  <c r="K45" i="13"/>
  <c r="M44" i="13"/>
  <c r="K44" i="13"/>
  <c r="K43" i="13"/>
  <c r="M42" i="13"/>
  <c r="K42" i="13"/>
  <c r="M41" i="13"/>
  <c r="K41" i="13"/>
  <c r="K40" i="13"/>
  <c r="M39" i="13"/>
  <c r="K39" i="13"/>
  <c r="M38" i="13"/>
  <c r="K38" i="13"/>
  <c r="K37" i="13"/>
  <c r="M36" i="13"/>
  <c r="K36" i="13"/>
  <c r="M35" i="13"/>
  <c r="K35" i="13"/>
  <c r="U33" i="13"/>
  <c r="T33" i="13"/>
  <c r="S32" i="13"/>
  <c r="F32" i="13"/>
  <c r="X28" i="13"/>
  <c r="AD28" i="13" s="1"/>
  <c r="S28" i="13"/>
  <c r="X27" i="13"/>
  <c r="AD27" i="13" s="1"/>
  <c r="K27" i="13"/>
  <c r="X26" i="13"/>
  <c r="AD26" i="13" s="1"/>
  <c r="K26" i="13"/>
  <c r="X25" i="13"/>
  <c r="AD25" i="13" s="1"/>
  <c r="U25" i="13"/>
  <c r="K25" i="13"/>
  <c r="X24" i="13"/>
  <c r="AD24" i="13" s="1"/>
  <c r="K24" i="13"/>
  <c r="X23" i="13"/>
  <c r="AD23" i="13" s="1"/>
  <c r="K23" i="13"/>
  <c r="X22" i="13"/>
  <c r="AD22" i="13" s="1"/>
  <c r="U22" i="13"/>
  <c r="K22" i="13"/>
  <c r="X21" i="13"/>
  <c r="AD21" i="13" s="1"/>
  <c r="X20" i="13"/>
  <c r="AD20" i="13" s="1"/>
  <c r="X19" i="13"/>
  <c r="AD19" i="13" s="1"/>
  <c r="U19" i="13"/>
  <c r="S19" i="13"/>
  <c r="X18" i="13"/>
  <c r="AD18" i="13" s="1"/>
  <c r="X17" i="13"/>
  <c r="AD17" i="13" s="1"/>
  <c r="X16" i="13"/>
  <c r="AD16" i="13" s="1"/>
  <c r="U16" i="13"/>
  <c r="S16" i="13"/>
  <c r="X15" i="13"/>
  <c r="AD15" i="13" s="1"/>
  <c r="X14" i="13"/>
  <c r="AD14" i="13" s="1"/>
  <c r="AH13" i="13"/>
  <c r="AH14" i="13" s="1"/>
  <c r="X13" i="13"/>
  <c r="AD13" i="13" s="1"/>
  <c r="U13" i="13"/>
  <c r="S13" i="13"/>
  <c r="X12" i="13"/>
  <c r="AD12" i="13" s="1"/>
  <c r="S10" i="13"/>
  <c r="F10" i="13"/>
  <c r="P6" i="13"/>
  <c r="S315" i="13" s="1"/>
  <c r="S13" i="4"/>
  <c r="K145" i="4"/>
  <c r="M145" i="4"/>
  <c r="K146" i="4"/>
  <c r="M146" i="4"/>
  <c r="K147" i="4"/>
  <c r="K148" i="4"/>
  <c r="M148" i="4"/>
  <c r="K149" i="4"/>
  <c r="M149" i="4"/>
  <c r="K150" i="4"/>
  <c r="K151" i="4"/>
  <c r="M151" i="4"/>
  <c r="K152" i="4"/>
  <c r="M152" i="4"/>
  <c r="K153" i="4"/>
  <c r="K154" i="4"/>
  <c r="M154" i="4"/>
  <c r="K155" i="4"/>
  <c r="M155" i="4"/>
  <c r="K156" i="4"/>
  <c r="K157" i="4"/>
  <c r="M157" i="4"/>
  <c r="K158" i="4"/>
  <c r="M158" i="4"/>
  <c r="K159" i="4"/>
  <c r="U302" i="13" l="1"/>
  <c r="U195" i="13"/>
  <c r="S198" i="13"/>
  <c r="U214" i="13"/>
  <c r="S217" i="13"/>
  <c r="U242" i="13"/>
  <c r="S305" i="13"/>
  <c r="U85" i="13"/>
  <c r="U101" i="13"/>
  <c r="U154" i="13"/>
  <c r="U192" i="13"/>
  <c r="S299" i="13"/>
  <c r="U305" i="13"/>
  <c r="S308" i="13"/>
  <c r="U60" i="13"/>
  <c r="S104" i="13"/>
  <c r="S242" i="13"/>
  <c r="U245" i="13"/>
  <c r="U299" i="13"/>
  <c r="U132" i="13"/>
  <c r="U148" i="13"/>
  <c r="S154" i="13"/>
  <c r="U157" i="13"/>
  <c r="U267" i="13"/>
  <c r="S66" i="13"/>
  <c r="U123" i="13"/>
  <c r="S220" i="13"/>
  <c r="U223" i="13"/>
  <c r="U277" i="13"/>
  <c r="U286" i="13"/>
  <c r="S289" i="13"/>
  <c r="U35" i="13"/>
  <c r="U47" i="13"/>
  <c r="U63" i="13"/>
  <c r="S161" i="13"/>
  <c r="T160" i="13" s="1"/>
  <c r="S170" i="13"/>
  <c r="S192" i="13"/>
  <c r="U198" i="13"/>
  <c r="U167" i="13"/>
  <c r="U179" i="13"/>
  <c r="S189" i="13"/>
  <c r="S117" i="13"/>
  <c r="T116" i="13" s="1"/>
  <c r="S29" i="13"/>
  <c r="T28" i="13" s="1"/>
  <c r="U135" i="13"/>
  <c r="S261" i="13"/>
  <c r="S25" i="13"/>
  <c r="U41" i="13"/>
  <c r="S47" i="13"/>
  <c r="U66" i="13"/>
  <c r="U79" i="13"/>
  <c r="S85" i="13"/>
  <c r="U104" i="13"/>
  <c r="S113" i="13"/>
  <c r="S151" i="13"/>
  <c r="S183" i="13"/>
  <c r="T182" i="13" s="1"/>
  <c r="U201" i="13"/>
  <c r="U211" i="13"/>
  <c r="U217" i="13"/>
  <c r="U233" i="13"/>
  <c r="S249" i="13"/>
  <c r="S258" i="13"/>
  <c r="U280" i="13"/>
  <c r="S22" i="13"/>
  <c r="S35" i="13"/>
  <c r="U44" i="13"/>
  <c r="U82" i="13"/>
  <c r="U129" i="13"/>
  <c r="S135" i="13"/>
  <c r="U151" i="13"/>
  <c r="U173" i="13"/>
  <c r="S201" i="13"/>
  <c r="U220" i="13"/>
  <c r="S223" i="13"/>
  <c r="U236" i="13"/>
  <c r="U255" i="13"/>
  <c r="U261" i="13"/>
  <c r="U289" i="13"/>
  <c r="U308" i="13"/>
  <c r="S280" i="13"/>
  <c r="U69" i="13"/>
  <c r="U88" i="13"/>
  <c r="U107" i="13"/>
  <c r="S123" i="13"/>
  <c r="S157" i="13"/>
  <c r="U170" i="13"/>
  <c r="S173" i="13"/>
  <c r="U189" i="13"/>
  <c r="S211" i="13"/>
  <c r="U239" i="13"/>
  <c r="S239" i="13"/>
  <c r="S245" i="13"/>
  <c r="U258" i="13"/>
  <c r="U283" i="13"/>
  <c r="S302" i="13"/>
  <c r="S44" i="13"/>
  <c r="S63" i="13"/>
  <c r="S82" i="13"/>
  <c r="U91" i="13"/>
  <c r="S101" i="13"/>
  <c r="U110" i="13"/>
  <c r="U126" i="13"/>
  <c r="S132" i="13"/>
  <c r="U145" i="13"/>
  <c r="U176" i="13"/>
  <c r="S195" i="13"/>
  <c r="S214" i="13"/>
  <c r="U264" i="13"/>
  <c r="S277" i="13"/>
  <c r="S286" i="13"/>
  <c r="U38" i="13"/>
  <c r="U57" i="13"/>
  <c r="U113" i="13"/>
  <c r="T314" i="13"/>
  <c r="B314" i="13"/>
  <c r="B160" i="13"/>
  <c r="B248" i="13"/>
  <c r="T248" i="13"/>
  <c r="S293" i="13"/>
  <c r="S41" i="13"/>
  <c r="S60" i="13"/>
  <c r="S79" i="13"/>
  <c r="S91" i="13"/>
  <c r="S110" i="13"/>
  <c r="S129" i="13"/>
  <c r="S148" i="13"/>
  <c r="S167" i="13"/>
  <c r="S179" i="13"/>
  <c r="S236" i="13"/>
  <c r="S255" i="13"/>
  <c r="S267" i="13"/>
  <c r="AH15" i="13"/>
  <c r="S38" i="13"/>
  <c r="S57" i="13"/>
  <c r="S69" i="13"/>
  <c r="S88" i="13"/>
  <c r="S107" i="13"/>
  <c r="S126" i="13"/>
  <c r="S145" i="13"/>
  <c r="S176" i="13"/>
  <c r="S233" i="13"/>
  <c r="S264" i="13"/>
  <c r="S283" i="13"/>
  <c r="S51" i="13"/>
  <c r="S139" i="13"/>
  <c r="S227" i="13"/>
  <c r="P26" i="8"/>
  <c r="AE12" i="13"/>
  <c r="AE14" i="13"/>
  <c r="S94" i="13" l="1"/>
  <c r="S95" i="13" s="1"/>
  <c r="B94" i="13" s="1"/>
  <c r="S72" i="13"/>
  <c r="S73" i="13" s="1"/>
  <c r="B72" i="13" s="1"/>
  <c r="B182" i="13"/>
  <c r="S204" i="13"/>
  <c r="S205" i="13" s="1"/>
  <c r="B204" i="13" s="1"/>
  <c r="B28" i="13"/>
  <c r="B116" i="13"/>
  <c r="T204" i="13"/>
  <c r="Y12" i="13"/>
  <c r="Z12" i="13" s="1"/>
  <c r="Y14" i="13"/>
  <c r="Z14" i="13" s="1"/>
  <c r="T292" i="13"/>
  <c r="B292" i="13"/>
  <c r="T226" i="13"/>
  <c r="B226" i="13"/>
  <c r="S270" i="13"/>
  <c r="S271" i="13" s="1"/>
  <c r="T138" i="13"/>
  <c r="B138" i="13"/>
  <c r="T50" i="13"/>
  <c r="B50" i="13"/>
  <c r="AH16" i="13"/>
  <c r="AM93" i="12"/>
  <c r="AM94" i="12"/>
  <c r="AM95" i="12"/>
  <c r="AM96" i="12"/>
  <c r="AM97" i="12"/>
  <c r="AM98" i="12"/>
  <c r="AM99" i="12"/>
  <c r="AM100" i="12"/>
  <c r="AL93" i="12"/>
  <c r="AN93" i="12" s="1"/>
  <c r="AL94" i="12"/>
  <c r="AL95" i="12"/>
  <c r="AL96" i="12"/>
  <c r="AO96" i="12" s="1"/>
  <c r="AL97" i="12"/>
  <c r="AL98" i="12"/>
  <c r="AL99" i="12"/>
  <c r="AO99" i="12" s="1"/>
  <c r="AL100" i="12"/>
  <c r="P15" i="8"/>
  <c r="P16" i="8"/>
  <c r="P17" i="8"/>
  <c r="P18" i="8"/>
  <c r="P19" i="8"/>
  <c r="P20" i="8"/>
  <c r="P21" i="8"/>
  <c r="P22" i="8"/>
  <c r="P23" i="8"/>
  <c r="P24" i="8"/>
  <c r="P25" i="8"/>
  <c r="P27" i="8"/>
  <c r="P14" i="8"/>
  <c r="AE13" i="13"/>
  <c r="AE15" i="13"/>
  <c r="AN94" i="12" l="1"/>
  <c r="AN95" i="12"/>
  <c r="AN96" i="12"/>
  <c r="AO98" i="12"/>
  <c r="AN98" i="12"/>
  <c r="Y13" i="13"/>
  <c r="Z13" i="13" s="1"/>
  <c r="Y15" i="13"/>
  <c r="Z15" i="13" s="1"/>
  <c r="B270" i="13"/>
  <c r="T270" i="13"/>
  <c r="AH17" i="13"/>
  <c r="AN100" i="12"/>
  <c r="AN99" i="12"/>
  <c r="AO95" i="12"/>
  <c r="AO97" i="12"/>
  <c r="AO93" i="12"/>
  <c r="AO94" i="12"/>
  <c r="AO100" i="12"/>
  <c r="AN97" i="12"/>
  <c r="AE16" i="13"/>
  <c r="Y26" i="13" l="1"/>
  <c r="Z26" i="13" s="1"/>
  <c r="Y25" i="13"/>
  <c r="Z25" i="13" s="1"/>
  <c r="Y18" i="13"/>
  <c r="Z18" i="13" s="1"/>
  <c r="Y24" i="13"/>
  <c r="Z24" i="13" s="1"/>
  <c r="Y27" i="13"/>
  <c r="Z27" i="13" s="1"/>
  <c r="Y20" i="13"/>
  <c r="Z20" i="13" s="1"/>
  <c r="Y16" i="13"/>
  <c r="Z16" i="13" s="1"/>
  <c r="Y19" i="13"/>
  <c r="Z19" i="13" s="1"/>
  <c r="Y23" i="13"/>
  <c r="Z23" i="13" s="1"/>
  <c r="Y22" i="13"/>
  <c r="Z22" i="13" s="1"/>
  <c r="Y28" i="13"/>
  <c r="Z28" i="13" s="1"/>
  <c r="Y17" i="13"/>
  <c r="Z17" i="13" s="1"/>
  <c r="Y21" i="13"/>
  <c r="Z21" i="13" s="1"/>
  <c r="AH18" i="13"/>
  <c r="U13" i="4"/>
  <c r="AE17" i="13"/>
  <c r="AH19" i="13" l="1"/>
  <c r="I31" i="8"/>
  <c r="AE18" i="13"/>
  <c r="AH20" i="13" l="1"/>
  <c r="AE19" i="13"/>
  <c r="AH21" i="13" l="1"/>
  <c r="AE20" i="13"/>
  <c r="AH22" i="13" l="1"/>
  <c r="AE21" i="13"/>
  <c r="AH23" i="13" l="1"/>
  <c r="AE22" i="13"/>
  <c r="AH24" i="13" l="1"/>
  <c r="AE23" i="13"/>
  <c r="AH25" i="13" l="1"/>
  <c r="AE24" i="13"/>
  <c r="AH26" i="13" l="1"/>
  <c r="AE25" i="13"/>
  <c r="AH27" i="13" l="1"/>
  <c r="AE26" i="13"/>
  <c r="AH28" i="13" l="1"/>
  <c r="AE27" i="13"/>
  <c r="AE28" i="13"/>
  <c r="E13" i="5" l="1"/>
  <c r="K12" i="6" l="1"/>
  <c r="L12" i="6" s="1"/>
  <c r="M17" i="6"/>
  <c r="M16" i="6"/>
  <c r="M15" i="6"/>
  <c r="M14" i="6"/>
  <c r="M13" i="6"/>
  <c r="M12" i="6"/>
  <c r="M11" i="6"/>
  <c r="L11" i="6"/>
  <c r="K13" i="6" l="1"/>
  <c r="L13" i="6" l="1"/>
  <c r="K14" i="6"/>
  <c r="K15" i="6" l="1"/>
  <c r="L14" i="6"/>
  <c r="K27" i="4"/>
  <c r="K26" i="4"/>
  <c r="K25" i="4"/>
  <c r="K24" i="4"/>
  <c r="K23" i="4"/>
  <c r="K22" i="4"/>
  <c r="S22" i="4" s="1"/>
  <c r="K21" i="4"/>
  <c r="K20" i="4"/>
  <c r="K19" i="4"/>
  <c r="K18" i="4"/>
  <c r="K17" i="4"/>
  <c r="K16" i="4"/>
  <c r="U297" i="4"/>
  <c r="T297" i="4"/>
  <c r="U275" i="4"/>
  <c r="T275" i="4"/>
  <c r="U253" i="4"/>
  <c r="T253" i="4"/>
  <c r="U231" i="4"/>
  <c r="T231" i="4"/>
  <c r="U209" i="4"/>
  <c r="T209" i="4"/>
  <c r="U187" i="4"/>
  <c r="T187" i="4"/>
  <c r="U165" i="4"/>
  <c r="T165" i="4"/>
  <c r="U143" i="4"/>
  <c r="T143" i="4"/>
  <c r="U121" i="4"/>
  <c r="T121" i="4"/>
  <c r="U99" i="4"/>
  <c r="T99" i="4"/>
  <c r="S25" i="4" l="1"/>
  <c r="S19" i="4"/>
  <c r="S16" i="4"/>
  <c r="K16" i="6"/>
  <c r="F17" i="10" s="1"/>
  <c r="L15" i="6"/>
  <c r="B18" i="10"/>
  <c r="B17" i="10"/>
  <c r="F16" i="10"/>
  <c r="B16" i="10"/>
  <c r="F15" i="10"/>
  <c r="B15" i="10"/>
  <c r="A17" i="6"/>
  <c r="B17" i="6" s="1"/>
  <c r="A16" i="6"/>
  <c r="B16" i="6" s="1"/>
  <c r="A15" i="6"/>
  <c r="B15" i="6" s="1"/>
  <c r="A14" i="6"/>
  <c r="B14" i="6" s="1"/>
  <c r="R19" i="5"/>
  <c r="R18" i="5"/>
  <c r="R17" i="5"/>
  <c r="R16" i="5"/>
  <c r="I19" i="5"/>
  <c r="E19" i="5"/>
  <c r="A19" i="5"/>
  <c r="B19" i="5" s="1"/>
  <c r="I18" i="5"/>
  <c r="E18" i="5"/>
  <c r="A18" i="5"/>
  <c r="B18" i="5" s="1"/>
  <c r="I17" i="5"/>
  <c r="E17" i="5"/>
  <c r="A17" i="5"/>
  <c r="B17" i="5" s="1"/>
  <c r="I16" i="5"/>
  <c r="E16" i="5"/>
  <c r="A16" i="5"/>
  <c r="B16" i="5" s="1"/>
  <c r="K313" i="4"/>
  <c r="M312" i="4"/>
  <c r="K312" i="4"/>
  <c r="M311" i="4"/>
  <c r="U311" i="4" s="1"/>
  <c r="K311" i="4"/>
  <c r="K310" i="4"/>
  <c r="M309" i="4"/>
  <c r="K309" i="4"/>
  <c r="M308" i="4"/>
  <c r="K308" i="4"/>
  <c r="K307" i="4"/>
  <c r="M306" i="4"/>
  <c r="K306" i="4"/>
  <c r="M305" i="4"/>
  <c r="K305" i="4"/>
  <c r="K304" i="4"/>
  <c r="M303" i="4"/>
  <c r="K303" i="4"/>
  <c r="M302" i="4"/>
  <c r="K302" i="4"/>
  <c r="S302" i="4" s="1"/>
  <c r="K301" i="4"/>
  <c r="M300" i="4"/>
  <c r="K300" i="4"/>
  <c r="M299" i="4"/>
  <c r="U299" i="4" s="1"/>
  <c r="K299" i="4"/>
  <c r="S296" i="4"/>
  <c r="F296" i="4"/>
  <c r="K291" i="4"/>
  <c r="M290" i="4"/>
  <c r="K290" i="4"/>
  <c r="M289" i="4"/>
  <c r="K289" i="4"/>
  <c r="K288" i="4"/>
  <c r="M287" i="4"/>
  <c r="K287" i="4"/>
  <c r="M286" i="4"/>
  <c r="K286" i="4"/>
  <c r="K285" i="4"/>
  <c r="M284" i="4"/>
  <c r="K284" i="4"/>
  <c r="M283" i="4"/>
  <c r="K283" i="4"/>
  <c r="K282" i="4"/>
  <c r="M281" i="4"/>
  <c r="K281" i="4"/>
  <c r="M280" i="4"/>
  <c r="K280" i="4"/>
  <c r="K279" i="4"/>
  <c r="M278" i="4"/>
  <c r="K278" i="4"/>
  <c r="M277" i="4"/>
  <c r="K277" i="4"/>
  <c r="S274" i="4"/>
  <c r="F274" i="4"/>
  <c r="K269" i="4"/>
  <c r="M268" i="4"/>
  <c r="K268" i="4"/>
  <c r="M267" i="4"/>
  <c r="K267" i="4"/>
  <c r="K266" i="4"/>
  <c r="M265" i="4"/>
  <c r="K265" i="4"/>
  <c r="M264" i="4"/>
  <c r="K264" i="4"/>
  <c r="K263" i="4"/>
  <c r="M262" i="4"/>
  <c r="K262" i="4"/>
  <c r="M261" i="4"/>
  <c r="K261" i="4"/>
  <c r="K260" i="4"/>
  <c r="M259" i="4"/>
  <c r="K259" i="4"/>
  <c r="M258" i="4"/>
  <c r="K258" i="4"/>
  <c r="K257" i="4"/>
  <c r="M256" i="4"/>
  <c r="K256" i="4"/>
  <c r="M255" i="4"/>
  <c r="K255" i="4"/>
  <c r="S252" i="4"/>
  <c r="F252" i="4"/>
  <c r="K247" i="4"/>
  <c r="M246" i="4"/>
  <c r="K246" i="4"/>
  <c r="M245" i="4"/>
  <c r="K245" i="4"/>
  <c r="K244" i="4"/>
  <c r="M243" i="4"/>
  <c r="K243" i="4"/>
  <c r="M242" i="4"/>
  <c r="K242" i="4"/>
  <c r="K241" i="4"/>
  <c r="M240" i="4"/>
  <c r="K240" i="4"/>
  <c r="M239" i="4"/>
  <c r="K239" i="4"/>
  <c r="K238" i="4"/>
  <c r="M237" i="4"/>
  <c r="K237" i="4"/>
  <c r="M236" i="4"/>
  <c r="K236" i="4"/>
  <c r="K235" i="4"/>
  <c r="M234" i="4"/>
  <c r="K234" i="4"/>
  <c r="M233" i="4"/>
  <c r="K233" i="4"/>
  <c r="S230" i="4"/>
  <c r="F230" i="4"/>
  <c r="A17" i="2"/>
  <c r="C17" i="2" s="1"/>
  <c r="A18" i="2"/>
  <c r="C18" i="2" s="1"/>
  <c r="A19" i="2"/>
  <c r="C19" i="2" s="1"/>
  <c r="A20" i="2"/>
  <c r="C20" i="2" s="1"/>
  <c r="A21" i="2"/>
  <c r="C21" i="2" s="1"/>
  <c r="P4" i="3"/>
  <c r="O4" i="3"/>
  <c r="N4" i="3"/>
  <c r="M4" i="3"/>
  <c r="U280" i="4" l="1"/>
  <c r="U258" i="4"/>
  <c r="U236" i="4"/>
  <c r="U255" i="4"/>
  <c r="U267" i="4"/>
  <c r="U277" i="4"/>
  <c r="U286" i="4"/>
  <c r="S289" i="4"/>
  <c r="U233" i="4"/>
  <c r="S233" i="4"/>
  <c r="U239" i="4"/>
  <c r="U261" i="4"/>
  <c r="U283" i="4"/>
  <c r="S242" i="4"/>
  <c r="U264" i="4"/>
  <c r="U308" i="4"/>
  <c r="U242" i="4"/>
  <c r="S236" i="4"/>
  <c r="U245" i="4"/>
  <c r="U289" i="4"/>
  <c r="S283" i="4"/>
  <c r="U302" i="4"/>
  <c r="S305" i="4"/>
  <c r="S264" i="4"/>
  <c r="U305" i="4"/>
  <c r="S308" i="4"/>
  <c r="L16" i="6"/>
  <c r="K17" i="6"/>
  <c r="S245" i="4"/>
  <c r="S258" i="4"/>
  <c r="S286" i="4"/>
  <c r="S299" i="4"/>
  <c r="S277" i="4"/>
  <c r="S311" i="4"/>
  <c r="S239" i="4"/>
  <c r="S267" i="4"/>
  <c r="S255" i="4"/>
  <c r="S261" i="4"/>
  <c r="S280" i="4"/>
  <c r="F18" i="5"/>
  <c r="F17" i="5"/>
  <c r="F16" i="5"/>
  <c r="F19" i="5"/>
  <c r="R15" i="5"/>
  <c r="R14" i="5"/>
  <c r="R13" i="5"/>
  <c r="A11" i="6"/>
  <c r="B11" i="6" s="1"/>
  <c r="A12" i="6"/>
  <c r="B12" i="6" s="1"/>
  <c r="A13" i="6"/>
  <c r="B13" i="6" s="1"/>
  <c r="S314" i="4" l="1"/>
  <c r="S270" i="4"/>
  <c r="S248" i="4"/>
  <c r="S292" i="4"/>
  <c r="L17" i="6"/>
  <c r="F18" i="10"/>
  <c r="AD31" i="9"/>
  <c r="AE31" i="9" s="1"/>
  <c r="AB31" i="9"/>
  <c r="AA31" i="9"/>
  <c r="Z31" i="9"/>
  <c r="Y31" i="9"/>
  <c r="X31" i="9"/>
  <c r="W31" i="9"/>
  <c r="AC31" i="9" l="1"/>
  <c r="M48" i="4"/>
  <c r="M47" i="4"/>
  <c r="M45" i="4"/>
  <c r="M44" i="4"/>
  <c r="M42" i="4"/>
  <c r="M41" i="4"/>
  <c r="M39" i="4"/>
  <c r="M38" i="4"/>
  <c r="M36" i="4"/>
  <c r="M35" i="4"/>
  <c r="K225" i="4"/>
  <c r="M224" i="4"/>
  <c r="K224" i="4"/>
  <c r="M223" i="4"/>
  <c r="U223" i="4" s="1"/>
  <c r="K223" i="4"/>
  <c r="K222" i="4"/>
  <c r="M221" i="4"/>
  <c r="K221" i="4"/>
  <c r="M220" i="4"/>
  <c r="K220" i="4"/>
  <c r="K219" i="4"/>
  <c r="M218" i="4"/>
  <c r="K218" i="4"/>
  <c r="M217" i="4"/>
  <c r="K217" i="4"/>
  <c r="K216" i="4"/>
  <c r="M215" i="4"/>
  <c r="K215" i="4"/>
  <c r="M214" i="4"/>
  <c r="K214" i="4"/>
  <c r="K213" i="4"/>
  <c r="M212" i="4"/>
  <c r="K212" i="4"/>
  <c r="M211" i="4"/>
  <c r="K211" i="4"/>
  <c r="U211" i="4" s="1"/>
  <c r="S208" i="4"/>
  <c r="F208" i="4"/>
  <c r="K191" i="4"/>
  <c r="K190" i="4"/>
  <c r="K189" i="4"/>
  <c r="K169" i="4"/>
  <c r="K168" i="4"/>
  <c r="K167" i="4"/>
  <c r="U220" i="4" l="1"/>
  <c r="U167" i="4"/>
  <c r="S223" i="4"/>
  <c r="S189" i="4"/>
  <c r="U189" i="4"/>
  <c r="S217" i="4"/>
  <c r="U214" i="4"/>
  <c r="U217" i="4"/>
  <c r="S211" i="4"/>
  <c r="S220" i="4"/>
  <c r="S214" i="4"/>
  <c r="L4" i="3"/>
  <c r="K4" i="3"/>
  <c r="J4" i="3"/>
  <c r="S226" i="4" l="1"/>
  <c r="F14" i="10"/>
  <c r="B14" i="10"/>
  <c r="F13" i="10"/>
  <c r="B13" i="10"/>
  <c r="F12" i="10"/>
  <c r="B12" i="10"/>
  <c r="I15" i="5"/>
  <c r="E15" i="5"/>
  <c r="A15" i="5"/>
  <c r="B15" i="5" s="1"/>
  <c r="I14" i="5"/>
  <c r="E14" i="5"/>
  <c r="A14" i="5"/>
  <c r="B14" i="5" s="1"/>
  <c r="I13" i="5"/>
  <c r="A13" i="5"/>
  <c r="B13" i="5" s="1"/>
  <c r="K125" i="4"/>
  <c r="K124" i="4"/>
  <c r="K123" i="4"/>
  <c r="K103" i="4"/>
  <c r="K102" i="4"/>
  <c r="K101" i="4"/>
  <c r="K81" i="4"/>
  <c r="K80" i="4"/>
  <c r="K79" i="4"/>
  <c r="K59" i="4"/>
  <c r="K58" i="4"/>
  <c r="K57" i="4"/>
  <c r="K37" i="4"/>
  <c r="K36" i="4"/>
  <c r="K35" i="4"/>
  <c r="A16" i="2"/>
  <c r="C16" i="2" s="1"/>
  <c r="A15" i="2"/>
  <c r="C15" i="2" s="1"/>
  <c r="A14" i="2"/>
  <c r="C14" i="2" s="1"/>
  <c r="S79" i="4" l="1"/>
  <c r="U57" i="4"/>
  <c r="S57" i="4"/>
  <c r="U35" i="4"/>
  <c r="S35" i="4"/>
  <c r="U101" i="4"/>
  <c r="U79" i="4"/>
  <c r="U145" i="4"/>
  <c r="U123" i="4"/>
  <c r="F15" i="5"/>
  <c r="F14" i="5"/>
  <c r="F13" i="5"/>
  <c r="F76" i="9" l="1"/>
  <c r="E76" i="9" s="1"/>
  <c r="F77" i="9" l="1"/>
  <c r="E77" i="9" s="1"/>
  <c r="D76" i="9"/>
  <c r="F78" i="9" l="1"/>
  <c r="E78" i="9" s="1"/>
  <c r="D77" i="9"/>
  <c r="F79" i="9" l="1"/>
  <c r="E79" i="9" s="1"/>
  <c r="D78" i="9"/>
  <c r="F80" i="9" l="1"/>
  <c r="E80" i="9" s="1"/>
  <c r="J4" i="5"/>
  <c r="M202" i="4"/>
  <c r="M201" i="4"/>
  <c r="M199" i="4"/>
  <c r="M198" i="4"/>
  <c r="M196" i="4"/>
  <c r="M195" i="4"/>
  <c r="M193" i="4"/>
  <c r="M192" i="4"/>
  <c r="M190" i="4"/>
  <c r="M189" i="4"/>
  <c r="M180" i="4"/>
  <c r="M179" i="4"/>
  <c r="M177" i="4"/>
  <c r="M176" i="4"/>
  <c r="M174" i="4"/>
  <c r="M173" i="4"/>
  <c r="M171" i="4"/>
  <c r="M170" i="4"/>
  <c r="M168" i="4"/>
  <c r="M167" i="4"/>
  <c r="M136" i="4"/>
  <c r="M135" i="4"/>
  <c r="M133" i="4"/>
  <c r="M132" i="4"/>
  <c r="M130" i="4"/>
  <c r="M129" i="4"/>
  <c r="M127" i="4"/>
  <c r="M126" i="4"/>
  <c r="M124" i="4"/>
  <c r="M123" i="4"/>
  <c r="M114" i="4"/>
  <c r="M113" i="4"/>
  <c r="M111" i="4"/>
  <c r="M110" i="4"/>
  <c r="M108" i="4"/>
  <c r="M107" i="4"/>
  <c r="M105" i="4"/>
  <c r="M104" i="4"/>
  <c r="M102" i="4"/>
  <c r="M101" i="4"/>
  <c r="M92" i="4"/>
  <c r="M91" i="4"/>
  <c r="M89" i="4"/>
  <c r="M88" i="4"/>
  <c r="M86" i="4"/>
  <c r="M85" i="4"/>
  <c r="M83" i="4"/>
  <c r="M82" i="4"/>
  <c r="M80" i="4"/>
  <c r="M79" i="4"/>
  <c r="M70" i="4"/>
  <c r="M69" i="4"/>
  <c r="M67" i="4"/>
  <c r="M66" i="4"/>
  <c r="M64" i="4"/>
  <c r="M63" i="4"/>
  <c r="M61" i="4"/>
  <c r="M60" i="4"/>
  <c r="M58" i="4"/>
  <c r="M57" i="4"/>
  <c r="U77" i="4"/>
  <c r="U55" i="4"/>
  <c r="U33" i="4"/>
  <c r="K203" i="4"/>
  <c r="K202" i="4"/>
  <c r="K201" i="4"/>
  <c r="K200" i="4"/>
  <c r="K199" i="4"/>
  <c r="K198" i="4"/>
  <c r="K197" i="4"/>
  <c r="K196" i="4"/>
  <c r="K195" i="4"/>
  <c r="K194" i="4"/>
  <c r="K193" i="4"/>
  <c r="K192" i="4"/>
  <c r="K181" i="4"/>
  <c r="K180" i="4"/>
  <c r="K179" i="4"/>
  <c r="K178" i="4"/>
  <c r="K177" i="4"/>
  <c r="K176" i="4"/>
  <c r="K175" i="4"/>
  <c r="K174" i="4"/>
  <c r="K173" i="4"/>
  <c r="K172" i="4"/>
  <c r="K171" i="4"/>
  <c r="K170" i="4"/>
  <c r="K137" i="4"/>
  <c r="K136" i="4"/>
  <c r="K135" i="4"/>
  <c r="K134" i="4"/>
  <c r="K133" i="4"/>
  <c r="K132" i="4"/>
  <c r="K131" i="4"/>
  <c r="K130" i="4"/>
  <c r="K129" i="4"/>
  <c r="K128" i="4"/>
  <c r="K127" i="4"/>
  <c r="K126" i="4"/>
  <c r="K115" i="4"/>
  <c r="K114" i="4"/>
  <c r="K113" i="4"/>
  <c r="K112" i="4"/>
  <c r="K111" i="4"/>
  <c r="K110" i="4"/>
  <c r="K109" i="4"/>
  <c r="K108" i="4"/>
  <c r="K107" i="4"/>
  <c r="K106" i="4"/>
  <c r="K105" i="4"/>
  <c r="K104" i="4"/>
  <c r="K93" i="4"/>
  <c r="K92" i="4"/>
  <c r="K91" i="4"/>
  <c r="S91" i="4" s="1"/>
  <c r="K90" i="4"/>
  <c r="K89" i="4"/>
  <c r="K88" i="4"/>
  <c r="K87" i="4"/>
  <c r="K86" i="4"/>
  <c r="K85" i="4"/>
  <c r="K84" i="4"/>
  <c r="K83" i="4"/>
  <c r="K82" i="4"/>
  <c r="K71" i="4"/>
  <c r="K70" i="4"/>
  <c r="K69" i="4"/>
  <c r="S69" i="4" s="1"/>
  <c r="K68" i="4"/>
  <c r="K67" i="4"/>
  <c r="K66" i="4"/>
  <c r="K65" i="4"/>
  <c r="K64" i="4"/>
  <c r="K63" i="4"/>
  <c r="K62" i="4"/>
  <c r="K61" i="4"/>
  <c r="K60" i="4"/>
  <c r="K49" i="4"/>
  <c r="K48" i="4"/>
  <c r="K47" i="4"/>
  <c r="S47" i="4" s="1"/>
  <c r="K46" i="4"/>
  <c r="K45" i="4"/>
  <c r="K44" i="4"/>
  <c r="K43" i="4"/>
  <c r="K42" i="4"/>
  <c r="K41" i="4"/>
  <c r="K40" i="4"/>
  <c r="K39" i="4"/>
  <c r="K38" i="4"/>
  <c r="T77" i="4"/>
  <c r="T55" i="4"/>
  <c r="T33" i="4"/>
  <c r="B2" i="2"/>
  <c r="B3" i="2"/>
  <c r="D79" i="9"/>
  <c r="S38" i="4" l="1"/>
  <c r="S44" i="4"/>
  <c r="S66" i="4"/>
  <c r="S88" i="4"/>
  <c r="S41" i="4"/>
  <c r="S63" i="4"/>
  <c r="S85" i="4"/>
  <c r="S60" i="4"/>
  <c r="S82" i="4"/>
  <c r="U44" i="4"/>
  <c r="U66" i="4"/>
  <c r="U47" i="4"/>
  <c r="U69" i="4"/>
  <c r="U113" i="4"/>
  <c r="U88" i="4"/>
  <c r="U110" i="4"/>
  <c r="U38" i="4"/>
  <c r="U60" i="4"/>
  <c r="U82" i="4"/>
  <c r="U104" i="4"/>
  <c r="U91" i="4"/>
  <c r="U135" i="4"/>
  <c r="U179" i="4"/>
  <c r="U154" i="4"/>
  <c r="U41" i="4"/>
  <c r="U63" i="4"/>
  <c r="U85" i="4"/>
  <c r="U107" i="4"/>
  <c r="U132" i="4"/>
  <c r="U176" i="4"/>
  <c r="U173" i="4"/>
  <c r="U126" i="4"/>
  <c r="U148" i="4"/>
  <c r="U170" i="4"/>
  <c r="U129" i="4"/>
  <c r="U192" i="4"/>
  <c r="U198" i="4"/>
  <c r="U151" i="4"/>
  <c r="U157" i="4"/>
  <c r="U195" i="4"/>
  <c r="U201" i="4"/>
  <c r="J17" i="5"/>
  <c r="S17" i="5" s="1"/>
  <c r="E16" i="10" s="1"/>
  <c r="J19" i="5"/>
  <c r="S19" i="5" s="1"/>
  <c r="E18" i="10" s="1"/>
  <c r="J18" i="5"/>
  <c r="S18" i="5" s="1"/>
  <c r="E17" i="10" s="1"/>
  <c r="J16" i="5"/>
  <c r="S16" i="5" s="1"/>
  <c r="E15" i="10" s="1"/>
  <c r="F81" i="9"/>
  <c r="E81" i="9" s="1"/>
  <c r="J15" i="5"/>
  <c r="S15" i="5" s="1"/>
  <c r="E14" i="10" s="1"/>
  <c r="J13" i="5"/>
  <c r="S13" i="5" s="1"/>
  <c r="E12" i="10" s="1"/>
  <c r="J14" i="5"/>
  <c r="S14" i="5" s="1"/>
  <c r="E13" i="10" s="1"/>
  <c r="I7" i="5"/>
  <c r="I8" i="5"/>
  <c r="I9" i="5"/>
  <c r="I10" i="5"/>
  <c r="I11" i="5"/>
  <c r="I12" i="5"/>
  <c r="E7" i="5"/>
  <c r="E9" i="5"/>
  <c r="E10" i="5"/>
  <c r="E11" i="5"/>
  <c r="E12" i="5"/>
  <c r="D80" i="9"/>
  <c r="F82" i="9" l="1"/>
  <c r="E82" i="9" s="1"/>
  <c r="M4" i="6"/>
  <c r="F5" i="10" s="1"/>
  <c r="B2" i="8"/>
  <c r="B3" i="8"/>
  <c r="B4" i="8"/>
  <c r="B6" i="10"/>
  <c r="B7" i="10"/>
  <c r="B8" i="10"/>
  <c r="B9" i="10"/>
  <c r="B10" i="10"/>
  <c r="B11" i="10"/>
  <c r="B5" i="10"/>
  <c r="O51" i="9"/>
  <c r="O52" i="9"/>
  <c r="O53" i="9"/>
  <c r="O54" i="9"/>
  <c r="O55" i="9"/>
  <c r="O56" i="9"/>
  <c r="O57" i="9"/>
  <c r="O58" i="9"/>
  <c r="O59" i="9"/>
  <c r="O60" i="9"/>
  <c r="O61" i="9"/>
  <c r="O62" i="9"/>
  <c r="O63" i="9"/>
  <c r="O64" i="9"/>
  <c r="O65" i="9"/>
  <c r="O66" i="9"/>
  <c r="O50" i="9"/>
  <c r="D81" i="9"/>
  <c r="F83" i="9" l="1"/>
  <c r="E83" i="9" s="1"/>
  <c r="G50" i="9"/>
  <c r="F50" i="9" s="1"/>
  <c r="D50" i="9"/>
  <c r="D51" i="9"/>
  <c r="D52" i="9"/>
  <c r="D53" i="9"/>
  <c r="D54" i="9"/>
  <c r="D55" i="9"/>
  <c r="D56" i="9"/>
  <c r="D57" i="9"/>
  <c r="D58" i="9"/>
  <c r="D59" i="9"/>
  <c r="D60" i="9"/>
  <c r="D61" i="9"/>
  <c r="D62" i="9"/>
  <c r="D63" i="9"/>
  <c r="D64" i="9"/>
  <c r="D65" i="9"/>
  <c r="D66" i="9"/>
  <c r="D82" i="9"/>
  <c r="F84" i="9" l="1"/>
  <c r="E84" i="9" s="1"/>
  <c r="G51" i="9"/>
  <c r="F51" i="9" s="1"/>
  <c r="D83" i="9"/>
  <c r="G52" i="9" l="1"/>
  <c r="F52" i="9" s="1"/>
  <c r="F85" i="9"/>
  <c r="D84" i="9"/>
  <c r="E52" i="9"/>
  <c r="E85" i="9" l="1"/>
  <c r="F86" i="9"/>
  <c r="G53" i="9"/>
  <c r="F53" i="9" s="1"/>
  <c r="P2" i="9"/>
  <c r="E51" i="9"/>
  <c r="E53" i="9"/>
  <c r="D85" i="9"/>
  <c r="G54" i="9" l="1"/>
  <c r="F54" i="9" s="1"/>
  <c r="F87" i="9"/>
  <c r="E86" i="9"/>
  <c r="P52" i="9"/>
  <c r="P56" i="9"/>
  <c r="G11" i="10" s="1"/>
  <c r="P60" i="9"/>
  <c r="G15" i="10" s="1"/>
  <c r="P64" i="9"/>
  <c r="P55" i="9"/>
  <c r="G10" i="10" s="1"/>
  <c r="P63" i="9"/>
  <c r="G18" i="10" s="1"/>
  <c r="P53" i="9"/>
  <c r="P57" i="9"/>
  <c r="G12" i="10" s="1"/>
  <c r="P61" i="9"/>
  <c r="G16" i="10" s="1"/>
  <c r="P65" i="9"/>
  <c r="P54" i="9"/>
  <c r="G9" i="10" s="1"/>
  <c r="P58" i="9"/>
  <c r="G13" i="10" s="1"/>
  <c r="P62" i="9"/>
  <c r="G17" i="10" s="1"/>
  <c r="P66" i="9"/>
  <c r="P59" i="9"/>
  <c r="G14" i="10" s="1"/>
  <c r="P51" i="9"/>
  <c r="D86" i="9"/>
  <c r="E54" i="9"/>
  <c r="G55" i="9" l="1"/>
  <c r="F55" i="9" s="1"/>
  <c r="F88" i="9"/>
  <c r="E87" i="9"/>
  <c r="AD11" i="9"/>
  <c r="AE11" i="9" s="1"/>
  <c r="AE35" i="9" s="1"/>
  <c r="AE43" i="9" s="1"/>
  <c r="AB11" i="9"/>
  <c r="AC11" i="9" s="1"/>
  <c r="AC43" i="9" s="1"/>
  <c r="E50" i="9"/>
  <c r="E55" i="9"/>
  <c r="D87" i="9"/>
  <c r="M43" i="9" l="1"/>
  <c r="G56" i="9"/>
  <c r="F56" i="9" s="1"/>
  <c r="E88" i="9"/>
  <c r="F89" i="9"/>
  <c r="E89" i="9" s="1"/>
  <c r="G57" i="9"/>
  <c r="F57" i="9" s="1"/>
  <c r="E56" i="9"/>
  <c r="D88" i="9"/>
  <c r="D89" i="9"/>
  <c r="G58" i="9" l="1"/>
  <c r="F58" i="9" s="1"/>
  <c r="P50" i="9"/>
  <c r="Q7" i="8"/>
  <c r="B30" i="8"/>
  <c r="F30" i="8" s="1"/>
  <c r="B29" i="8"/>
  <c r="B28" i="8"/>
  <c r="F28" i="8" s="1"/>
  <c r="B27" i="8"/>
  <c r="B26" i="8"/>
  <c r="B25" i="8"/>
  <c r="B24" i="8"/>
  <c r="B23" i="8"/>
  <c r="B22" i="8"/>
  <c r="B21" i="8"/>
  <c r="B20" i="8"/>
  <c r="C20" i="8" s="1"/>
  <c r="B19" i="8"/>
  <c r="C19" i="8" s="1"/>
  <c r="B18" i="8"/>
  <c r="C18" i="8" s="1"/>
  <c r="B17" i="8"/>
  <c r="B16" i="8"/>
  <c r="C16" i="8" s="1"/>
  <c r="B15" i="8"/>
  <c r="B14" i="8"/>
  <c r="H8" i="8"/>
  <c r="E57" i="9"/>
  <c r="J28" i="8" l="1"/>
  <c r="L28" i="8"/>
  <c r="J30" i="8"/>
  <c r="L30" i="8"/>
  <c r="H28" i="8"/>
  <c r="H30" i="8"/>
  <c r="F29" i="8"/>
  <c r="C24" i="8"/>
  <c r="C22" i="8"/>
  <c r="C26" i="8"/>
  <c r="C30" i="8"/>
  <c r="C28" i="8"/>
  <c r="C23" i="8"/>
  <c r="C27" i="8"/>
  <c r="G59" i="9"/>
  <c r="F59" i="9" s="1"/>
  <c r="I8" i="8"/>
  <c r="K4" i="12" s="1"/>
  <c r="C15" i="8"/>
  <c r="C14" i="8"/>
  <c r="C17" i="8"/>
  <c r="C21" i="8"/>
  <c r="C25" i="8"/>
  <c r="C29" i="8"/>
  <c r="E58" i="9"/>
  <c r="L29" i="8" l="1"/>
  <c r="J29" i="8"/>
  <c r="H29" i="8"/>
  <c r="G60" i="9"/>
  <c r="F60" i="9" s="1"/>
  <c r="M10" i="6"/>
  <c r="F11" i="10" s="1"/>
  <c r="L10" i="6"/>
  <c r="A10" i="6"/>
  <c r="B10" i="6" s="1"/>
  <c r="M9" i="6"/>
  <c r="F10" i="10" s="1"/>
  <c r="L9" i="6"/>
  <c r="A9" i="6"/>
  <c r="B9" i="6" s="1"/>
  <c r="M8" i="6"/>
  <c r="F9" i="10" s="1"/>
  <c r="L8" i="6"/>
  <c r="A8" i="6"/>
  <c r="B8" i="6" s="1"/>
  <c r="M7" i="6"/>
  <c r="L7" i="6"/>
  <c r="A7" i="6"/>
  <c r="B7" i="6" s="1"/>
  <c r="M6" i="6"/>
  <c r="L6" i="6"/>
  <c r="A6" i="6"/>
  <c r="B6" i="6" s="1"/>
  <c r="M5" i="6"/>
  <c r="F6" i="10" s="1"/>
  <c r="L5" i="6"/>
  <c r="A5" i="6"/>
  <c r="B5" i="6" s="1"/>
  <c r="L4" i="6"/>
  <c r="A4" i="6"/>
  <c r="B4" i="6" s="1"/>
  <c r="R12" i="5"/>
  <c r="A12" i="5"/>
  <c r="B12" i="5" s="1"/>
  <c r="J12" i="5" s="1"/>
  <c r="R11" i="5"/>
  <c r="A11" i="5"/>
  <c r="B11" i="5" s="1"/>
  <c r="J11" i="5" s="1"/>
  <c r="R10" i="5"/>
  <c r="A10" i="5"/>
  <c r="B10" i="5" s="1"/>
  <c r="J10" i="5" s="1"/>
  <c r="R9" i="5"/>
  <c r="A9" i="5"/>
  <c r="B9" i="5" s="1"/>
  <c r="J9" i="5" s="1"/>
  <c r="R8" i="5"/>
  <c r="A8" i="5"/>
  <c r="B8" i="5" s="1"/>
  <c r="J8" i="5" s="1"/>
  <c r="R7" i="5"/>
  <c r="A7" i="5"/>
  <c r="B7" i="5" s="1"/>
  <c r="J7" i="5" s="1"/>
  <c r="R6" i="5"/>
  <c r="I6" i="5"/>
  <c r="E6" i="5"/>
  <c r="A6" i="5"/>
  <c r="B6" i="5" s="1"/>
  <c r="S201" i="4"/>
  <c r="S198" i="4"/>
  <c r="S195" i="4"/>
  <c r="S192" i="4"/>
  <c r="S186" i="4"/>
  <c r="F186" i="4"/>
  <c r="S179" i="4"/>
  <c r="S176" i="4"/>
  <c r="S173" i="4"/>
  <c r="S170" i="4"/>
  <c r="S167" i="4"/>
  <c r="S164" i="4"/>
  <c r="F164" i="4"/>
  <c r="S157" i="4"/>
  <c r="S154" i="4"/>
  <c r="S151" i="4"/>
  <c r="S148" i="4"/>
  <c r="S145" i="4"/>
  <c r="S142" i="4"/>
  <c r="F142" i="4"/>
  <c r="S135" i="4"/>
  <c r="S132" i="4"/>
  <c r="S129" i="4"/>
  <c r="S126" i="4"/>
  <c r="S123" i="4"/>
  <c r="S120" i="4"/>
  <c r="F120" i="4"/>
  <c r="S113" i="4"/>
  <c r="S110" i="4"/>
  <c r="S107" i="4"/>
  <c r="S104" i="4"/>
  <c r="S101" i="4"/>
  <c r="S98" i="4"/>
  <c r="F98" i="4"/>
  <c r="S76" i="4"/>
  <c r="F76" i="4"/>
  <c r="S54" i="4"/>
  <c r="F54" i="4"/>
  <c r="S32" i="4"/>
  <c r="F32" i="4"/>
  <c r="X28" i="4"/>
  <c r="X27" i="4"/>
  <c r="AD27" i="4" s="1"/>
  <c r="X26" i="4"/>
  <c r="AD26" i="4" s="1"/>
  <c r="X25" i="4"/>
  <c r="AD25" i="4" s="1"/>
  <c r="U25" i="4"/>
  <c r="X24" i="4"/>
  <c r="AD24" i="4" s="1"/>
  <c r="X23" i="4"/>
  <c r="AD23" i="4" s="1"/>
  <c r="X22" i="4"/>
  <c r="AD22" i="4" s="1"/>
  <c r="U22" i="4"/>
  <c r="X21" i="4"/>
  <c r="AD21" i="4" s="1"/>
  <c r="X20" i="4"/>
  <c r="AD20" i="4" s="1"/>
  <c r="X19" i="4"/>
  <c r="AD19" i="4" s="1"/>
  <c r="U19" i="4"/>
  <c r="X18" i="4"/>
  <c r="AD18" i="4" s="1"/>
  <c r="X17" i="4"/>
  <c r="AD17" i="4" s="1"/>
  <c r="X16" i="4"/>
  <c r="AD16" i="4" s="1"/>
  <c r="U16" i="4"/>
  <c r="X15" i="4"/>
  <c r="AD15" i="4" s="1"/>
  <c r="X14" i="4"/>
  <c r="AD14" i="4" s="1"/>
  <c r="AH13" i="4"/>
  <c r="AH14" i="4" s="1"/>
  <c r="X13" i="4"/>
  <c r="AD13" i="4" s="1"/>
  <c r="X12" i="4"/>
  <c r="AD12" i="4" s="1"/>
  <c r="S10" i="4"/>
  <c r="F10" i="4"/>
  <c r="P6" i="4"/>
  <c r="I4" i="3"/>
  <c r="H4" i="3"/>
  <c r="G4" i="3"/>
  <c r="F4" i="3"/>
  <c r="E4" i="3"/>
  <c r="D4" i="3"/>
  <c r="C4" i="3"/>
  <c r="A13" i="2"/>
  <c r="C13" i="2" s="1"/>
  <c r="A12" i="2"/>
  <c r="C12" i="2" s="1"/>
  <c r="A11" i="2"/>
  <c r="C11" i="2" s="1"/>
  <c r="A10" i="2"/>
  <c r="C10" i="2" s="1"/>
  <c r="A9" i="2"/>
  <c r="C9" i="2" s="1"/>
  <c r="A8" i="2"/>
  <c r="E59" i="9"/>
  <c r="S227" i="4" l="1"/>
  <c r="T226" i="4" s="1"/>
  <c r="S315" i="4"/>
  <c r="S293" i="4"/>
  <c r="S271" i="4"/>
  <c r="S249" i="4"/>
  <c r="J6" i="5"/>
  <c r="O5" i="3"/>
  <c r="M5" i="3"/>
  <c r="P5" i="3"/>
  <c r="N5" i="3"/>
  <c r="L5" i="3"/>
  <c r="J5" i="3"/>
  <c r="K5" i="3"/>
  <c r="F5" i="3"/>
  <c r="C8" i="2"/>
  <c r="I5" i="3"/>
  <c r="E5" i="3"/>
  <c r="H5" i="3"/>
  <c r="C5" i="3"/>
  <c r="D5" i="3"/>
  <c r="G5" i="3"/>
  <c r="G61" i="9"/>
  <c r="F61" i="9" s="1"/>
  <c r="S204" i="4"/>
  <c r="S205" i="4" s="1"/>
  <c r="S182" i="4"/>
  <c r="S183" i="4" s="1"/>
  <c r="S160" i="4"/>
  <c r="S161" i="4" s="1"/>
  <c r="B160" i="4" s="1"/>
  <c r="S138" i="4"/>
  <c r="S139" i="4" s="1"/>
  <c r="T138" i="4" s="1"/>
  <c r="S116" i="4"/>
  <c r="S117" i="4" s="1"/>
  <c r="T116" i="4" s="1"/>
  <c r="S72" i="4"/>
  <c r="S73" i="4" s="1"/>
  <c r="B72" i="4" s="1"/>
  <c r="S28" i="4"/>
  <c r="S29" i="4" s="1"/>
  <c r="B28" i="4" s="1"/>
  <c r="S50" i="4"/>
  <c r="S51" i="4" s="1"/>
  <c r="B50" i="4" s="1"/>
  <c r="F7" i="5"/>
  <c r="N7" i="5" s="1"/>
  <c r="F9" i="5"/>
  <c r="N9" i="5" s="1"/>
  <c r="F11" i="5"/>
  <c r="F6" i="5"/>
  <c r="N6" i="5" s="1"/>
  <c r="F8" i="5"/>
  <c r="N8" i="5" s="1"/>
  <c r="F10" i="5"/>
  <c r="F12" i="5"/>
  <c r="S94" i="4"/>
  <c r="S95" i="4" s="1"/>
  <c r="B94" i="4" s="1"/>
  <c r="AD28" i="4"/>
  <c r="AH15" i="4"/>
  <c r="E60" i="9"/>
  <c r="S6" i="5" l="1"/>
  <c r="B226" i="4"/>
  <c r="T270" i="4"/>
  <c r="B270" i="4"/>
  <c r="T292" i="4"/>
  <c r="B292" i="4"/>
  <c r="T314" i="4"/>
  <c r="B314" i="4"/>
  <c r="T248" i="4"/>
  <c r="B248" i="4"/>
  <c r="B204" i="4"/>
  <c r="T204" i="4"/>
  <c r="B182" i="4"/>
  <c r="T182" i="4"/>
  <c r="T160" i="4"/>
  <c r="G62" i="9"/>
  <c r="F62" i="9" s="1"/>
  <c r="B138" i="4"/>
  <c r="B116" i="4"/>
  <c r="T72" i="4"/>
  <c r="T50" i="4"/>
  <c r="T28" i="4"/>
  <c r="S12" i="5"/>
  <c r="E11" i="10" s="1"/>
  <c r="S9" i="5"/>
  <c r="E8" i="10" s="1"/>
  <c r="S8" i="5"/>
  <c r="E7" i="10" s="1"/>
  <c r="S10" i="5"/>
  <c r="E9" i="10" s="1"/>
  <c r="S11" i="5"/>
  <c r="E10" i="10" s="1"/>
  <c r="S7" i="5"/>
  <c r="T94" i="4"/>
  <c r="AH16" i="4"/>
  <c r="AE13" i="4"/>
  <c r="AE14" i="4"/>
  <c r="AE12" i="4"/>
  <c r="E61" i="9"/>
  <c r="AE15" i="4"/>
  <c r="G63" i="9" l="1"/>
  <c r="F63" i="9" s="1"/>
  <c r="Y14" i="4"/>
  <c r="Z14" i="4" s="1"/>
  <c r="D7" i="10" s="1"/>
  <c r="Y13" i="4"/>
  <c r="Z13" i="4" s="1"/>
  <c r="Y12" i="4"/>
  <c r="Y15" i="4"/>
  <c r="Z15" i="4" s="1"/>
  <c r="D8" i="10" s="1"/>
  <c r="AH17" i="4"/>
  <c r="E62" i="9"/>
  <c r="AE16" i="4"/>
  <c r="F15" i="8" l="1"/>
  <c r="H8" i="10"/>
  <c r="F17" i="8" s="1"/>
  <c r="Z12" i="4"/>
  <c r="G64" i="9"/>
  <c r="F64" i="9" s="1"/>
  <c r="H7" i="10"/>
  <c r="F16" i="8" s="1"/>
  <c r="Y16" i="4"/>
  <c r="Z16" i="4" s="1"/>
  <c r="D9" i="10" s="1"/>
  <c r="AH18" i="4"/>
  <c r="E63" i="9"/>
  <c r="AE17" i="4"/>
  <c r="H16" i="8" l="1"/>
  <c r="G17" i="8"/>
  <c r="H17" i="8"/>
  <c r="F14" i="8"/>
  <c r="H9" i="10"/>
  <c r="F18" i="8" s="1"/>
  <c r="G16" i="8"/>
  <c r="G8" i="12"/>
  <c r="G65" i="9"/>
  <c r="F65" i="9" s="1"/>
  <c r="I8" i="12"/>
  <c r="E8" i="12"/>
  <c r="Y17" i="4"/>
  <c r="Z17" i="4" s="1"/>
  <c r="D10" i="10" s="1"/>
  <c r="AH19" i="4"/>
  <c r="E64" i="9"/>
  <c r="AE18" i="4"/>
  <c r="C8" i="12" l="1"/>
  <c r="C110" i="12" s="1"/>
  <c r="I106" i="12"/>
  <c r="I110" i="12"/>
  <c r="I114" i="12"/>
  <c r="I118" i="12"/>
  <c r="I122" i="12"/>
  <c r="I126" i="12"/>
  <c r="I130" i="12"/>
  <c r="I134" i="12"/>
  <c r="I138" i="12"/>
  <c r="I108" i="12"/>
  <c r="I113" i="12"/>
  <c r="I119" i="12"/>
  <c r="I124" i="12"/>
  <c r="I129" i="12"/>
  <c r="I135" i="12"/>
  <c r="I140" i="12"/>
  <c r="I109" i="12"/>
  <c r="I115" i="12"/>
  <c r="I120" i="12"/>
  <c r="I125" i="12"/>
  <c r="I131" i="12"/>
  <c r="I136" i="12"/>
  <c r="I111" i="12"/>
  <c r="I121" i="12"/>
  <c r="I132" i="12"/>
  <c r="I112" i="12"/>
  <c r="I123" i="12"/>
  <c r="I133" i="12"/>
  <c r="I105" i="12"/>
  <c r="I116" i="12"/>
  <c r="I127" i="12"/>
  <c r="I137" i="12"/>
  <c r="I128" i="12"/>
  <c r="I107" i="12"/>
  <c r="I139" i="12"/>
  <c r="I117" i="12"/>
  <c r="G18" i="8"/>
  <c r="H18" i="8"/>
  <c r="H10" i="10"/>
  <c r="F19" i="8" s="1"/>
  <c r="G91" i="12"/>
  <c r="H91" i="12" s="1"/>
  <c r="G87" i="12"/>
  <c r="H87" i="12" s="1"/>
  <c r="G89" i="12"/>
  <c r="H89" i="12" s="1"/>
  <c r="G85" i="12"/>
  <c r="H85" i="12" s="1"/>
  <c r="G92" i="12"/>
  <c r="H92" i="12" s="1"/>
  <c r="G88" i="12"/>
  <c r="H88" i="12" s="1"/>
  <c r="G84" i="12"/>
  <c r="H84" i="12" s="1"/>
  <c r="G86" i="12"/>
  <c r="H86" i="12" s="1"/>
  <c r="G83" i="12"/>
  <c r="H83" i="12" s="1"/>
  <c r="G90" i="12"/>
  <c r="H90" i="12" s="1"/>
  <c r="E89" i="12"/>
  <c r="F89" i="12" s="1"/>
  <c r="E85" i="12"/>
  <c r="F85" i="12" s="1"/>
  <c r="E91" i="12"/>
  <c r="F91" i="12" s="1"/>
  <c r="E87" i="12"/>
  <c r="F87" i="12" s="1"/>
  <c r="E83" i="12"/>
  <c r="F83" i="12" s="1"/>
  <c r="E90" i="12"/>
  <c r="F90" i="12" s="1"/>
  <c r="E86" i="12"/>
  <c r="F86" i="12" s="1"/>
  <c r="E88" i="12"/>
  <c r="F88" i="12" s="1"/>
  <c r="E92" i="12"/>
  <c r="F92" i="12" s="1"/>
  <c r="E84" i="12"/>
  <c r="F84" i="12" s="1"/>
  <c r="I89" i="12"/>
  <c r="J89" i="12" s="1"/>
  <c r="I85" i="12"/>
  <c r="J85" i="12" s="1"/>
  <c r="I91" i="12"/>
  <c r="J91" i="12" s="1"/>
  <c r="I87" i="12"/>
  <c r="J87" i="12" s="1"/>
  <c r="I83" i="12"/>
  <c r="J83" i="12" s="1"/>
  <c r="I90" i="12"/>
  <c r="J90" i="12" s="1"/>
  <c r="I86" i="12"/>
  <c r="J86" i="12" s="1"/>
  <c r="I88" i="12"/>
  <c r="J88" i="12" s="1"/>
  <c r="I84" i="12"/>
  <c r="J84" i="12" s="1"/>
  <c r="I92" i="12"/>
  <c r="J92" i="12" s="1"/>
  <c r="E140" i="12"/>
  <c r="E136" i="12"/>
  <c r="E139" i="12"/>
  <c r="E138" i="12"/>
  <c r="E137" i="12"/>
  <c r="G138" i="12"/>
  <c r="G137" i="12"/>
  <c r="G140" i="12"/>
  <c r="G136" i="12"/>
  <c r="G139" i="12"/>
  <c r="E69" i="12"/>
  <c r="F69" i="12" s="1"/>
  <c r="E72" i="12"/>
  <c r="E75" i="12"/>
  <c r="F75" i="12" s="1"/>
  <c r="E71" i="12"/>
  <c r="E74" i="12"/>
  <c r="F74" i="12" s="1"/>
  <c r="E70" i="12"/>
  <c r="F70" i="12" s="1"/>
  <c r="E73" i="12"/>
  <c r="F73" i="12" s="1"/>
  <c r="E76" i="12"/>
  <c r="F76" i="12" s="1"/>
  <c r="G29" i="12"/>
  <c r="G75" i="12"/>
  <c r="H75" i="12" s="1"/>
  <c r="G74" i="12"/>
  <c r="H74" i="12" s="1"/>
  <c r="G73" i="12"/>
  <c r="H73" i="12" s="1"/>
  <c r="G69" i="12"/>
  <c r="H69" i="12" s="1"/>
  <c r="G76" i="12"/>
  <c r="H76" i="12" s="1"/>
  <c r="G72" i="12"/>
  <c r="H72" i="12" s="1"/>
  <c r="G71" i="12"/>
  <c r="H71" i="12" s="1"/>
  <c r="G70" i="12"/>
  <c r="H70" i="12" s="1"/>
  <c r="I75" i="12"/>
  <c r="J75" i="12" s="1"/>
  <c r="I71" i="12"/>
  <c r="J71" i="12" s="1"/>
  <c r="I74" i="12"/>
  <c r="J74" i="12" s="1"/>
  <c r="I70" i="12"/>
  <c r="J70" i="12" s="1"/>
  <c r="I73" i="12"/>
  <c r="J73" i="12" s="1"/>
  <c r="I69" i="12"/>
  <c r="J69" i="12" s="1"/>
  <c r="I76" i="12"/>
  <c r="J76" i="12" s="1"/>
  <c r="I72" i="12"/>
  <c r="J72" i="12" s="1"/>
  <c r="E14" i="12"/>
  <c r="E17" i="12"/>
  <c r="E21" i="12"/>
  <c r="E25" i="12"/>
  <c r="E29" i="12"/>
  <c r="E33" i="12"/>
  <c r="E37" i="12"/>
  <c r="E41" i="12"/>
  <c r="E45" i="12"/>
  <c r="E49" i="12"/>
  <c r="E53" i="12"/>
  <c r="E57" i="12"/>
  <c r="E61" i="12"/>
  <c r="E65" i="12"/>
  <c r="E77" i="12"/>
  <c r="E81" i="12"/>
  <c r="E18" i="12"/>
  <c r="E22" i="12"/>
  <c r="E26" i="12"/>
  <c r="E30" i="12"/>
  <c r="E34" i="12"/>
  <c r="E38" i="12"/>
  <c r="E42" i="12"/>
  <c r="E46" i="12"/>
  <c r="E50" i="12"/>
  <c r="E54" i="12"/>
  <c r="E58" i="12"/>
  <c r="E62" i="12"/>
  <c r="E66" i="12"/>
  <c r="E78" i="12"/>
  <c r="E82" i="12"/>
  <c r="E15" i="12"/>
  <c r="E19" i="12"/>
  <c r="E23" i="12"/>
  <c r="E27" i="12"/>
  <c r="E31" i="12"/>
  <c r="E35" i="12"/>
  <c r="E39" i="12"/>
  <c r="E43" i="12"/>
  <c r="E47" i="12"/>
  <c r="E51" i="12"/>
  <c r="E55" i="12"/>
  <c r="E59" i="12"/>
  <c r="E63" i="12"/>
  <c r="E67" i="12"/>
  <c r="E79" i="12"/>
  <c r="E16" i="12"/>
  <c r="E20" i="12"/>
  <c r="E24" i="12"/>
  <c r="E28" i="12"/>
  <c r="E32" i="12"/>
  <c r="E36" i="12"/>
  <c r="E40" i="12"/>
  <c r="E44" i="12"/>
  <c r="E48" i="12"/>
  <c r="E52" i="12"/>
  <c r="E56" i="12"/>
  <c r="E60" i="12"/>
  <c r="E64" i="12"/>
  <c r="E68" i="12"/>
  <c r="E80" i="12"/>
  <c r="E101" i="12"/>
  <c r="G34" i="12"/>
  <c r="G82" i="12"/>
  <c r="G51" i="12"/>
  <c r="G52" i="12"/>
  <c r="G30" i="12"/>
  <c r="G101" i="12"/>
  <c r="G54" i="12"/>
  <c r="G31" i="12"/>
  <c r="G57" i="12"/>
  <c r="G55" i="12"/>
  <c r="G32" i="12"/>
  <c r="G80" i="12"/>
  <c r="G41" i="12"/>
  <c r="G25" i="12"/>
  <c r="G81" i="12"/>
  <c r="E105" i="12"/>
  <c r="E109" i="12"/>
  <c r="E113" i="12"/>
  <c r="E117" i="12"/>
  <c r="E121" i="12"/>
  <c r="E125" i="12"/>
  <c r="E129" i="12"/>
  <c r="E133" i="12"/>
  <c r="E106" i="12"/>
  <c r="E110" i="12"/>
  <c r="E114" i="12"/>
  <c r="E118" i="12"/>
  <c r="E122" i="12"/>
  <c r="E126" i="12"/>
  <c r="E130" i="12"/>
  <c r="E134" i="12"/>
  <c r="E111" i="12"/>
  <c r="E119" i="12"/>
  <c r="E127" i="12"/>
  <c r="E135" i="12"/>
  <c r="E115" i="12"/>
  <c r="E131" i="12"/>
  <c r="E112" i="12"/>
  <c r="E120" i="12"/>
  <c r="E128" i="12"/>
  <c r="E104" i="12"/>
  <c r="E107" i="12"/>
  <c r="E123" i="12"/>
  <c r="E108" i="12"/>
  <c r="E116" i="12"/>
  <c r="E124" i="12"/>
  <c r="E132" i="12"/>
  <c r="G79" i="12"/>
  <c r="G50" i="12"/>
  <c r="G28" i="12"/>
  <c r="G78" i="12"/>
  <c r="G48" i="12"/>
  <c r="G27" i="12"/>
  <c r="G68" i="12"/>
  <c r="G47" i="12"/>
  <c r="G26" i="12"/>
  <c r="G67" i="12"/>
  <c r="G46" i="12"/>
  <c r="G24" i="12"/>
  <c r="G77" i="12"/>
  <c r="G53" i="12"/>
  <c r="G37" i="12"/>
  <c r="G21" i="12"/>
  <c r="G66" i="12"/>
  <c r="G44" i="12"/>
  <c r="G23" i="12"/>
  <c r="G64" i="12"/>
  <c r="G43" i="12"/>
  <c r="G22" i="12"/>
  <c r="G63" i="12"/>
  <c r="G42" i="12"/>
  <c r="G20" i="12"/>
  <c r="G62" i="12"/>
  <c r="G40" i="12"/>
  <c r="G19" i="12"/>
  <c r="G65" i="12"/>
  <c r="G49" i="12"/>
  <c r="G33" i="12"/>
  <c r="G17" i="12"/>
  <c r="I104" i="12"/>
  <c r="G60" i="12"/>
  <c r="G39" i="12"/>
  <c r="G18" i="12"/>
  <c r="G59" i="12"/>
  <c r="G38" i="12"/>
  <c r="G16" i="12"/>
  <c r="G58" i="12"/>
  <c r="G36" i="12"/>
  <c r="G15" i="12"/>
  <c r="G56" i="12"/>
  <c r="G35" i="12"/>
  <c r="G14" i="12"/>
  <c r="G61" i="12"/>
  <c r="G45" i="12"/>
  <c r="G105" i="12"/>
  <c r="G109" i="12"/>
  <c r="G113" i="12"/>
  <c r="G117" i="12"/>
  <c r="G121" i="12"/>
  <c r="G125" i="12"/>
  <c r="G129" i="12"/>
  <c r="G133" i="12"/>
  <c r="G106" i="12"/>
  <c r="G110" i="12"/>
  <c r="G114" i="12"/>
  <c r="G118" i="12"/>
  <c r="G122" i="12"/>
  <c r="G126" i="12"/>
  <c r="G130" i="12"/>
  <c r="G134" i="12"/>
  <c r="G111" i="12"/>
  <c r="G119" i="12"/>
  <c r="G127" i="12"/>
  <c r="G135" i="12"/>
  <c r="G115" i="12"/>
  <c r="G131" i="12"/>
  <c r="G112" i="12"/>
  <c r="G120" i="12"/>
  <c r="G128" i="12"/>
  <c r="G104" i="12"/>
  <c r="G107" i="12"/>
  <c r="G123" i="12"/>
  <c r="G108" i="12"/>
  <c r="G116" i="12"/>
  <c r="G124" i="12"/>
  <c r="G132" i="12"/>
  <c r="I16" i="12"/>
  <c r="I20" i="12"/>
  <c r="I24" i="12"/>
  <c r="I28" i="12"/>
  <c r="I32" i="12"/>
  <c r="I36" i="12"/>
  <c r="I40" i="12"/>
  <c r="I44" i="12"/>
  <c r="I48" i="12"/>
  <c r="I52" i="12"/>
  <c r="I56" i="12"/>
  <c r="I60" i="12"/>
  <c r="I64" i="12"/>
  <c r="I68" i="12"/>
  <c r="I80" i="12"/>
  <c r="I101" i="12"/>
  <c r="I18" i="12"/>
  <c r="I23" i="12"/>
  <c r="I29" i="12"/>
  <c r="I34" i="12"/>
  <c r="I39" i="12"/>
  <c r="I45" i="12"/>
  <c r="I50" i="12"/>
  <c r="I55" i="12"/>
  <c r="I61" i="12"/>
  <c r="I66" i="12"/>
  <c r="I79" i="12"/>
  <c r="I14" i="12"/>
  <c r="I19" i="12"/>
  <c r="I25" i="12"/>
  <c r="I30" i="12"/>
  <c r="I35" i="12"/>
  <c r="I41" i="12"/>
  <c r="I46" i="12"/>
  <c r="I51" i="12"/>
  <c r="I57" i="12"/>
  <c r="I62" i="12"/>
  <c r="I67" i="12"/>
  <c r="I81" i="12"/>
  <c r="I15" i="12"/>
  <c r="I21" i="12"/>
  <c r="I26" i="12"/>
  <c r="I31" i="12"/>
  <c r="I37" i="12"/>
  <c r="I42" i="12"/>
  <c r="I47" i="12"/>
  <c r="I53" i="12"/>
  <c r="I58" i="12"/>
  <c r="I63" i="12"/>
  <c r="I77" i="12"/>
  <c r="I82" i="12"/>
  <c r="I17" i="12"/>
  <c r="I22" i="12"/>
  <c r="I27" i="12"/>
  <c r="I33" i="12"/>
  <c r="I38" i="12"/>
  <c r="I43" i="12"/>
  <c r="I49" i="12"/>
  <c r="I54" i="12"/>
  <c r="I59" i="12"/>
  <c r="I65" i="12"/>
  <c r="I78" i="12"/>
  <c r="G66" i="9"/>
  <c r="F66" i="9" s="1"/>
  <c r="K8" i="12"/>
  <c r="Y18" i="4"/>
  <c r="Z18" i="4" s="1"/>
  <c r="D11" i="10" s="1"/>
  <c r="AH20" i="4"/>
  <c r="AE19" i="4"/>
  <c r="E65" i="9"/>
  <c r="E66" i="9"/>
  <c r="C119" i="12" l="1"/>
  <c r="C135" i="12"/>
  <c r="C122" i="12"/>
  <c r="C83" i="12"/>
  <c r="C113" i="12"/>
  <c r="C72" i="12"/>
  <c r="C138" i="12"/>
  <c r="C71" i="12"/>
  <c r="C70" i="12"/>
  <c r="C85" i="12"/>
  <c r="C132" i="12"/>
  <c r="C136" i="12"/>
  <c r="C131" i="12"/>
  <c r="C130" i="12"/>
  <c r="C118" i="12"/>
  <c r="C73" i="12"/>
  <c r="C92" i="12"/>
  <c r="C84" i="12"/>
  <c r="C123" i="12"/>
  <c r="C128" i="12"/>
  <c r="C116" i="12"/>
  <c r="C120" i="12"/>
  <c r="C114" i="12"/>
  <c r="C90" i="12"/>
  <c r="C76" i="12"/>
  <c r="C89" i="12"/>
  <c r="C124" i="12"/>
  <c r="C137" i="12"/>
  <c r="C139" i="12"/>
  <c r="C111" i="12"/>
  <c r="C115" i="12"/>
  <c r="C87" i="12"/>
  <c r="C91" i="12"/>
  <c r="C74" i="12"/>
  <c r="C140" i="12"/>
  <c r="C129" i="12"/>
  <c r="C117" i="12"/>
  <c r="C121" i="12"/>
  <c r="C134" i="12"/>
  <c r="C109" i="12"/>
  <c r="C106" i="12"/>
  <c r="C88" i="12"/>
  <c r="C86" i="12"/>
  <c r="C75" i="12"/>
  <c r="C69" i="12"/>
  <c r="C133" i="12"/>
  <c r="C112" i="12"/>
  <c r="C108" i="12"/>
  <c r="C107" i="12"/>
  <c r="C127" i="12"/>
  <c r="C105" i="12"/>
  <c r="C125" i="12"/>
  <c r="C126" i="12"/>
  <c r="D91" i="12"/>
  <c r="D90" i="12"/>
  <c r="D70" i="12"/>
  <c r="D76" i="12"/>
  <c r="D74" i="12"/>
  <c r="D85" i="12"/>
  <c r="D89" i="12"/>
  <c r="D88" i="12"/>
  <c r="D86" i="12"/>
  <c r="D75" i="12"/>
  <c r="D69" i="12"/>
  <c r="D73" i="12"/>
  <c r="D87" i="12"/>
  <c r="D92" i="12"/>
  <c r="D83" i="12"/>
  <c r="D84" i="12"/>
  <c r="G19" i="8"/>
  <c r="H19" i="8"/>
  <c r="K91" i="12"/>
  <c r="L91" i="12" s="1"/>
  <c r="K87" i="12"/>
  <c r="K89" i="12"/>
  <c r="K85" i="12"/>
  <c r="L85" i="12" s="1"/>
  <c r="K92" i="12"/>
  <c r="K88" i="12"/>
  <c r="L88" i="12" s="1"/>
  <c r="K84" i="12"/>
  <c r="L84" i="12" s="1"/>
  <c r="K90" i="12"/>
  <c r="K83" i="12"/>
  <c r="K86" i="12"/>
  <c r="L86" i="12" s="1"/>
  <c r="K138" i="12"/>
  <c r="K137" i="12"/>
  <c r="K140" i="12"/>
  <c r="K136" i="12"/>
  <c r="K139" i="12"/>
  <c r="K75" i="12"/>
  <c r="L75" i="12" s="1"/>
  <c r="K70" i="12"/>
  <c r="L70" i="12" s="1"/>
  <c r="K73" i="12"/>
  <c r="L73" i="12" s="1"/>
  <c r="K69" i="12"/>
  <c r="K76" i="12"/>
  <c r="L76" i="12" s="1"/>
  <c r="K72" i="12"/>
  <c r="L72" i="12" s="1"/>
  <c r="K71" i="12"/>
  <c r="L71" i="12" s="1"/>
  <c r="K74" i="12"/>
  <c r="L74" i="12" s="1"/>
  <c r="H11" i="10"/>
  <c r="F20" i="8" s="1"/>
  <c r="K105" i="12"/>
  <c r="K109" i="12"/>
  <c r="K113" i="12"/>
  <c r="K117" i="12"/>
  <c r="K121" i="12"/>
  <c r="K125" i="12"/>
  <c r="K129" i="12"/>
  <c r="K133" i="12"/>
  <c r="K106" i="12"/>
  <c r="K110" i="12"/>
  <c r="K114" i="12"/>
  <c r="K118" i="12"/>
  <c r="K122" i="12"/>
  <c r="K126" i="12"/>
  <c r="K130" i="12"/>
  <c r="K134" i="12"/>
  <c r="K107" i="12"/>
  <c r="K111" i="12"/>
  <c r="K115" i="12"/>
  <c r="K119" i="12"/>
  <c r="K123" i="12"/>
  <c r="K127" i="12"/>
  <c r="K131" i="12"/>
  <c r="K135" i="12"/>
  <c r="K112" i="12"/>
  <c r="K128" i="12"/>
  <c r="K120" i="12"/>
  <c r="K116" i="12"/>
  <c r="K132" i="12"/>
  <c r="K108" i="12"/>
  <c r="K124" i="12"/>
  <c r="K104" i="12"/>
  <c r="K15" i="12"/>
  <c r="K19" i="12"/>
  <c r="K23" i="12"/>
  <c r="K27" i="12"/>
  <c r="K31" i="12"/>
  <c r="K35" i="12"/>
  <c r="K39" i="12"/>
  <c r="K43" i="12"/>
  <c r="K47" i="12"/>
  <c r="K51" i="12"/>
  <c r="K55" i="12"/>
  <c r="K59" i="12"/>
  <c r="K63" i="12"/>
  <c r="K67" i="12"/>
  <c r="K79" i="12"/>
  <c r="K17" i="12"/>
  <c r="K22" i="12"/>
  <c r="K28" i="12"/>
  <c r="K33" i="12"/>
  <c r="K38" i="12"/>
  <c r="K44" i="12"/>
  <c r="K49" i="12"/>
  <c r="K54" i="12"/>
  <c r="K60" i="12"/>
  <c r="K65" i="12"/>
  <c r="K78" i="12"/>
  <c r="K101" i="12"/>
  <c r="K18" i="12"/>
  <c r="K24" i="12"/>
  <c r="K29" i="12"/>
  <c r="K34" i="12"/>
  <c r="K40" i="12"/>
  <c r="K45" i="12"/>
  <c r="K50" i="12"/>
  <c r="K56" i="12"/>
  <c r="K61" i="12"/>
  <c r="K66" i="12"/>
  <c r="K80" i="12"/>
  <c r="K14" i="12"/>
  <c r="K20" i="12"/>
  <c r="K25" i="12"/>
  <c r="K30" i="12"/>
  <c r="K36" i="12"/>
  <c r="K41" i="12"/>
  <c r="K46" i="12"/>
  <c r="K52" i="12"/>
  <c r="K57" i="12"/>
  <c r="K62" i="12"/>
  <c r="K68" i="12"/>
  <c r="K81" i="12"/>
  <c r="K16" i="12"/>
  <c r="K21" i="12"/>
  <c r="K26" i="12"/>
  <c r="K32" i="12"/>
  <c r="K37" i="12"/>
  <c r="K42" i="12"/>
  <c r="K48" i="12"/>
  <c r="K53" i="12"/>
  <c r="K58" i="12"/>
  <c r="K64" i="12"/>
  <c r="K77" i="12"/>
  <c r="K82" i="12"/>
  <c r="M8" i="12"/>
  <c r="Y19" i="4"/>
  <c r="Z19" i="4" s="1"/>
  <c r="D12" i="10" s="1"/>
  <c r="AH21" i="4"/>
  <c r="AE20" i="4"/>
  <c r="M17" i="12" l="1"/>
  <c r="M21" i="12"/>
  <c r="M25" i="12"/>
  <c r="M29" i="12"/>
  <c r="M33" i="12"/>
  <c r="M37" i="12"/>
  <c r="M41" i="12"/>
  <c r="M45" i="12"/>
  <c r="M49" i="12"/>
  <c r="M53" i="12"/>
  <c r="M57" i="12"/>
  <c r="M61" i="12"/>
  <c r="M65" i="12"/>
  <c r="M69" i="12"/>
  <c r="M73" i="12"/>
  <c r="M77" i="12"/>
  <c r="M81" i="12"/>
  <c r="M85" i="12"/>
  <c r="M89" i="12"/>
  <c r="M18" i="12"/>
  <c r="M22" i="12"/>
  <c r="M26" i="12"/>
  <c r="M30" i="12"/>
  <c r="M34" i="12"/>
  <c r="M38" i="12"/>
  <c r="M42" i="12"/>
  <c r="M46" i="12"/>
  <c r="M50" i="12"/>
  <c r="M54" i="12"/>
  <c r="M58" i="12"/>
  <c r="M62" i="12"/>
  <c r="M66" i="12"/>
  <c r="M70" i="12"/>
  <c r="M74" i="12"/>
  <c r="M78" i="12"/>
  <c r="M82" i="12"/>
  <c r="M86" i="12"/>
  <c r="M90" i="12"/>
  <c r="M15" i="12"/>
  <c r="M23" i="12"/>
  <c r="M31" i="12"/>
  <c r="M39" i="12"/>
  <c r="M47" i="12"/>
  <c r="M55" i="12"/>
  <c r="M63" i="12"/>
  <c r="M71" i="12"/>
  <c r="M79" i="12"/>
  <c r="M87" i="12"/>
  <c r="M27" i="12"/>
  <c r="M43" i="12"/>
  <c r="M59" i="12"/>
  <c r="M75" i="12"/>
  <c r="M91" i="12"/>
  <c r="M60" i="12"/>
  <c r="M16" i="12"/>
  <c r="M24" i="12"/>
  <c r="M32" i="12"/>
  <c r="M40" i="12"/>
  <c r="M48" i="12"/>
  <c r="M56" i="12"/>
  <c r="M64" i="12"/>
  <c r="M72" i="12"/>
  <c r="M80" i="12"/>
  <c r="M88" i="12"/>
  <c r="M19" i="12"/>
  <c r="M35" i="12"/>
  <c r="M51" i="12"/>
  <c r="M67" i="12"/>
  <c r="M83" i="12"/>
  <c r="M20" i="12"/>
  <c r="M28" i="12"/>
  <c r="M36" i="12"/>
  <c r="M44" i="12"/>
  <c r="M52" i="12"/>
  <c r="M68" i="12"/>
  <c r="M76" i="12"/>
  <c r="M84" i="12"/>
  <c r="M92" i="12"/>
  <c r="G20" i="8"/>
  <c r="H20" i="8"/>
  <c r="L89" i="12"/>
  <c r="L90" i="12"/>
  <c r="L87" i="12"/>
  <c r="N89" i="12"/>
  <c r="N85" i="12"/>
  <c r="N87" i="12"/>
  <c r="N83" i="12"/>
  <c r="N90" i="12"/>
  <c r="N86" i="12"/>
  <c r="N92" i="12"/>
  <c r="N88" i="12"/>
  <c r="L83" i="12"/>
  <c r="L92" i="12"/>
  <c r="L69" i="12"/>
  <c r="M140" i="12"/>
  <c r="M136" i="12"/>
  <c r="M139" i="12"/>
  <c r="M138" i="12"/>
  <c r="M137" i="12"/>
  <c r="N72" i="12"/>
  <c r="N71" i="12"/>
  <c r="N74" i="12"/>
  <c r="N70" i="12"/>
  <c r="N73" i="12"/>
  <c r="N69" i="12"/>
  <c r="N76" i="12"/>
  <c r="H12" i="10"/>
  <c r="F21" i="8" s="1"/>
  <c r="M105" i="12"/>
  <c r="M109" i="12"/>
  <c r="M113" i="12"/>
  <c r="M117" i="12"/>
  <c r="M121" i="12"/>
  <c r="M125" i="12"/>
  <c r="M129" i="12"/>
  <c r="M133" i="12"/>
  <c r="M106" i="12"/>
  <c r="M110" i="12"/>
  <c r="M114" i="12"/>
  <c r="M118" i="12"/>
  <c r="M122" i="12"/>
  <c r="M126" i="12"/>
  <c r="M130" i="12"/>
  <c r="M134" i="12"/>
  <c r="M107" i="12"/>
  <c r="M111" i="12"/>
  <c r="M115" i="12"/>
  <c r="M119" i="12"/>
  <c r="M123" i="12"/>
  <c r="M127" i="12"/>
  <c r="M131" i="12"/>
  <c r="M135" i="12"/>
  <c r="M112" i="12"/>
  <c r="M128" i="12"/>
  <c r="M120" i="12"/>
  <c r="M116" i="12"/>
  <c r="M132" i="12"/>
  <c r="M104" i="12"/>
  <c r="M108" i="12"/>
  <c r="M124" i="12"/>
  <c r="C104" i="12"/>
  <c r="C17" i="12"/>
  <c r="C21" i="12"/>
  <c r="C25" i="12"/>
  <c r="C29" i="12"/>
  <c r="C33" i="12"/>
  <c r="C37" i="12"/>
  <c r="C41" i="12"/>
  <c r="C45" i="12"/>
  <c r="C49" i="12"/>
  <c r="C53" i="12"/>
  <c r="C57" i="12"/>
  <c r="C61" i="12"/>
  <c r="C65" i="12"/>
  <c r="C77" i="12"/>
  <c r="C81" i="12"/>
  <c r="C14" i="12"/>
  <c r="C18" i="12"/>
  <c r="C22" i="12"/>
  <c r="C26" i="12"/>
  <c r="C30" i="12"/>
  <c r="C34" i="12"/>
  <c r="C38" i="12"/>
  <c r="C42" i="12"/>
  <c r="C46" i="12"/>
  <c r="C50" i="12"/>
  <c r="C54" i="12"/>
  <c r="C58" i="12"/>
  <c r="C62" i="12"/>
  <c r="C66" i="12"/>
  <c r="C78" i="12"/>
  <c r="C82" i="12"/>
  <c r="C15" i="12"/>
  <c r="C19" i="12"/>
  <c r="C23" i="12"/>
  <c r="C27" i="12"/>
  <c r="C31" i="12"/>
  <c r="C35" i="12"/>
  <c r="C39" i="12"/>
  <c r="C43" i="12"/>
  <c r="C47" i="12"/>
  <c r="C51" i="12"/>
  <c r="C55" i="12"/>
  <c r="C59" i="12"/>
  <c r="C63" i="12"/>
  <c r="C67" i="12"/>
  <c r="C79" i="12"/>
  <c r="C16" i="12"/>
  <c r="C20" i="12"/>
  <c r="C24" i="12"/>
  <c r="C28" i="12"/>
  <c r="C32" i="12"/>
  <c r="C36" i="12"/>
  <c r="C40" i="12"/>
  <c r="C44" i="12"/>
  <c r="C48" i="12"/>
  <c r="C52" i="12"/>
  <c r="C56" i="12"/>
  <c r="C60" i="12"/>
  <c r="C64" i="12"/>
  <c r="C68" i="12"/>
  <c r="C80" i="12"/>
  <c r="C101" i="12"/>
  <c r="M101" i="12"/>
  <c r="M14" i="12"/>
  <c r="O8" i="12"/>
  <c r="Y20" i="4"/>
  <c r="Z20" i="4" s="1"/>
  <c r="D13" i="10" s="1"/>
  <c r="AH22" i="4"/>
  <c r="AE21" i="4"/>
  <c r="H21" i="8" l="1"/>
  <c r="Q8" i="12"/>
  <c r="G21" i="8"/>
  <c r="O91" i="12"/>
  <c r="O87" i="12"/>
  <c r="P87" i="12" s="1"/>
  <c r="O89" i="12"/>
  <c r="O85" i="12"/>
  <c r="O92" i="12"/>
  <c r="P92" i="12" s="1"/>
  <c r="O88" i="12"/>
  <c r="O84" i="12"/>
  <c r="O90" i="12"/>
  <c r="P90" i="12" s="1"/>
  <c r="O86" i="12"/>
  <c r="O83" i="12"/>
  <c r="N91" i="12"/>
  <c r="N84" i="12"/>
  <c r="N75" i="12"/>
  <c r="O138" i="12"/>
  <c r="O137" i="12"/>
  <c r="O140" i="12"/>
  <c r="O136" i="12"/>
  <c r="O139" i="12"/>
  <c r="O75" i="12"/>
  <c r="O73" i="12"/>
  <c r="P73" i="12" s="1"/>
  <c r="O69" i="12"/>
  <c r="P69" i="12" s="1"/>
  <c r="O76" i="12"/>
  <c r="P76" i="12" s="1"/>
  <c r="O72" i="12"/>
  <c r="O71" i="12"/>
  <c r="P71" i="12" s="1"/>
  <c r="O74" i="12"/>
  <c r="P74" i="12" s="1"/>
  <c r="O70" i="12"/>
  <c r="P70" i="12" s="1"/>
  <c r="R101" i="12"/>
  <c r="H13" i="10"/>
  <c r="F22" i="8" s="1"/>
  <c r="O105" i="12"/>
  <c r="O109" i="12"/>
  <c r="O113" i="12"/>
  <c r="O117" i="12"/>
  <c r="O121" i="12"/>
  <c r="O125" i="12"/>
  <c r="O129" i="12"/>
  <c r="O133" i="12"/>
  <c r="O106" i="12"/>
  <c r="O110" i="12"/>
  <c r="O114" i="12"/>
  <c r="O118" i="12"/>
  <c r="O122" i="12"/>
  <c r="O126" i="12"/>
  <c r="O130" i="12"/>
  <c r="O134" i="12"/>
  <c r="O107" i="12"/>
  <c r="O111" i="12"/>
  <c r="O115" i="12"/>
  <c r="O119" i="12"/>
  <c r="O123" i="12"/>
  <c r="O127" i="12"/>
  <c r="O131" i="12"/>
  <c r="O135" i="12"/>
  <c r="O108" i="12"/>
  <c r="O112" i="12"/>
  <c r="O128" i="12"/>
  <c r="O116" i="12"/>
  <c r="O132" i="12"/>
  <c r="O120" i="12"/>
  <c r="O124" i="12"/>
  <c r="O104" i="12"/>
  <c r="O17" i="12"/>
  <c r="O21" i="12"/>
  <c r="O25" i="12"/>
  <c r="O29" i="12"/>
  <c r="O33" i="12"/>
  <c r="O37" i="12"/>
  <c r="O41" i="12"/>
  <c r="O45" i="12"/>
  <c r="O49" i="12"/>
  <c r="O53" i="12"/>
  <c r="O57" i="12"/>
  <c r="O61" i="12"/>
  <c r="O65" i="12"/>
  <c r="O77" i="12"/>
  <c r="O81" i="12"/>
  <c r="O14" i="12"/>
  <c r="O15" i="12"/>
  <c r="O20" i="12"/>
  <c r="O26" i="12"/>
  <c r="O31" i="12"/>
  <c r="O36" i="12"/>
  <c r="O42" i="12"/>
  <c r="O47" i="12"/>
  <c r="O52" i="12"/>
  <c r="O58" i="12"/>
  <c r="O63" i="12"/>
  <c r="O68" i="12"/>
  <c r="O82" i="12"/>
  <c r="O16" i="12"/>
  <c r="O22" i="12"/>
  <c r="O27" i="12"/>
  <c r="O32" i="12"/>
  <c r="O38" i="12"/>
  <c r="O43" i="12"/>
  <c r="O48" i="12"/>
  <c r="O54" i="12"/>
  <c r="O59" i="12"/>
  <c r="O64" i="12"/>
  <c r="O78" i="12"/>
  <c r="O18" i="12"/>
  <c r="O23" i="12"/>
  <c r="O28" i="12"/>
  <c r="O34" i="12"/>
  <c r="O39" i="12"/>
  <c r="O44" i="12"/>
  <c r="O50" i="12"/>
  <c r="O55" i="12"/>
  <c r="O60" i="12"/>
  <c r="O66" i="12"/>
  <c r="O79" i="12"/>
  <c r="O101" i="12"/>
  <c r="O19" i="12"/>
  <c r="O24" i="12"/>
  <c r="O30" i="12"/>
  <c r="O35" i="12"/>
  <c r="O40" i="12"/>
  <c r="O46" i="12"/>
  <c r="O51" i="12"/>
  <c r="O56" i="12"/>
  <c r="O62" i="12"/>
  <c r="O67" i="12"/>
  <c r="O80" i="12"/>
  <c r="Y21" i="4"/>
  <c r="Z21" i="4" s="1"/>
  <c r="D14" i="10" s="1"/>
  <c r="AH23" i="4"/>
  <c r="AE22" i="4"/>
  <c r="P75" i="12" l="1"/>
  <c r="P88" i="12"/>
  <c r="P91" i="12"/>
  <c r="P85" i="12"/>
  <c r="P84" i="12"/>
  <c r="P89" i="12"/>
  <c r="H22" i="8"/>
  <c r="R92" i="12"/>
  <c r="Q107" i="12"/>
  <c r="Q111" i="12"/>
  <c r="Q115" i="12"/>
  <c r="Q119" i="12"/>
  <c r="Q123" i="12"/>
  <c r="Q127" i="12"/>
  <c r="Q131" i="12"/>
  <c r="Q135" i="12"/>
  <c r="Q139" i="12"/>
  <c r="Q108" i="12"/>
  <c r="Q113" i="12"/>
  <c r="Q118" i="12"/>
  <c r="Q124" i="12"/>
  <c r="Q129" i="12"/>
  <c r="Q134" i="12"/>
  <c r="Q140" i="12"/>
  <c r="Q109" i="12"/>
  <c r="Q114" i="12"/>
  <c r="Q120" i="12"/>
  <c r="Q125" i="12"/>
  <c r="Q130" i="12"/>
  <c r="Q136" i="12"/>
  <c r="Q104" i="12"/>
  <c r="Q105" i="12"/>
  <c r="Q116" i="12"/>
  <c r="Q126" i="12"/>
  <c r="Q137" i="12"/>
  <c r="Q16" i="12"/>
  <c r="Q20" i="12"/>
  <c r="Q24" i="12"/>
  <c r="Q28" i="12"/>
  <c r="Q32" i="12"/>
  <c r="Q36" i="12"/>
  <c r="Q40" i="12"/>
  <c r="Q44" i="12"/>
  <c r="Q48" i="12"/>
  <c r="Q52" i="12"/>
  <c r="Q56" i="12"/>
  <c r="Q60" i="12"/>
  <c r="Q64" i="12"/>
  <c r="Q68" i="12"/>
  <c r="Q72" i="12"/>
  <c r="Q76" i="12"/>
  <c r="Q80" i="12"/>
  <c r="Q84" i="12"/>
  <c r="Q88" i="12"/>
  <c r="Q92" i="12"/>
  <c r="Q106" i="12"/>
  <c r="Q117" i="12"/>
  <c r="Q128" i="12"/>
  <c r="Q138" i="12"/>
  <c r="Q17" i="12"/>
  <c r="Q21" i="12"/>
  <c r="Q25" i="12"/>
  <c r="Q29" i="12"/>
  <c r="Q33" i="12"/>
  <c r="Q37" i="12"/>
  <c r="Q41" i="12"/>
  <c r="Q45" i="12"/>
  <c r="Q49" i="12"/>
  <c r="Q53" i="12"/>
  <c r="Q57" i="12"/>
  <c r="Q61" i="12"/>
  <c r="Q65" i="12"/>
  <c r="Q69" i="12"/>
  <c r="Q73" i="12"/>
  <c r="Q77" i="12"/>
  <c r="Q81" i="12"/>
  <c r="Q85" i="12"/>
  <c r="Q89" i="12"/>
  <c r="Q14" i="12"/>
  <c r="Q110" i="12"/>
  <c r="Q121" i="12"/>
  <c r="Q132" i="12"/>
  <c r="Q122" i="12"/>
  <c r="Q22" i="12"/>
  <c r="Q30" i="12"/>
  <c r="Q38" i="12"/>
  <c r="Q46" i="12"/>
  <c r="Q54" i="12"/>
  <c r="Q62" i="12"/>
  <c r="Q70" i="12"/>
  <c r="Q78" i="12"/>
  <c r="Q86" i="12"/>
  <c r="Q18" i="12"/>
  <c r="Q34" i="12"/>
  <c r="Q50" i="12"/>
  <c r="Q66" i="12"/>
  <c r="Q90" i="12"/>
  <c r="Q133" i="12"/>
  <c r="Q15" i="12"/>
  <c r="Q23" i="12"/>
  <c r="Q31" i="12"/>
  <c r="Q39" i="12"/>
  <c r="Q47" i="12"/>
  <c r="Q55" i="12"/>
  <c r="Q63" i="12"/>
  <c r="Q71" i="12"/>
  <c r="Q79" i="12"/>
  <c r="Q87" i="12"/>
  <c r="Q26" i="12"/>
  <c r="Q42" i="12"/>
  <c r="Q58" i="12"/>
  <c r="Q74" i="12"/>
  <c r="Q82" i="12"/>
  <c r="Q112" i="12"/>
  <c r="Q19" i="12"/>
  <c r="Q27" i="12"/>
  <c r="Q35" i="12"/>
  <c r="Q43" i="12"/>
  <c r="Q51" i="12"/>
  <c r="Q59" i="12"/>
  <c r="Q67" i="12"/>
  <c r="Q75" i="12"/>
  <c r="Q83" i="12"/>
  <c r="Q91" i="12"/>
  <c r="R67" i="12"/>
  <c r="R59" i="12"/>
  <c r="R42" i="12"/>
  <c r="R61" i="12"/>
  <c r="R71" i="12"/>
  <c r="R73" i="12"/>
  <c r="R76" i="12"/>
  <c r="R44" i="12"/>
  <c r="R79" i="12"/>
  <c r="R63" i="12"/>
  <c r="R80" i="12"/>
  <c r="R65" i="12"/>
  <c r="R75" i="12"/>
  <c r="R48" i="12"/>
  <c r="R54" i="12"/>
  <c r="R51" i="12"/>
  <c r="R49" i="12"/>
  <c r="R74" i="12"/>
  <c r="R91" i="12"/>
  <c r="R83" i="12"/>
  <c r="Q101" i="12"/>
  <c r="R43" i="12"/>
  <c r="R58" i="12"/>
  <c r="R46" i="12"/>
  <c r="R45" i="12"/>
  <c r="R85" i="12"/>
  <c r="R84" i="12"/>
  <c r="R89" i="12"/>
  <c r="G22" i="8"/>
  <c r="R66" i="12"/>
  <c r="R60" i="12"/>
  <c r="R82" i="12"/>
  <c r="R52" i="12"/>
  <c r="R62" i="12"/>
  <c r="R81" i="12"/>
  <c r="R57" i="12"/>
  <c r="R41" i="12"/>
  <c r="R70" i="12"/>
  <c r="R87" i="12"/>
  <c r="R88" i="12"/>
  <c r="R90" i="12"/>
  <c r="S8" i="12"/>
  <c r="R78" i="12"/>
  <c r="R55" i="12"/>
  <c r="R64" i="12"/>
  <c r="R50" i="12"/>
  <c r="R68" i="12"/>
  <c r="R47" i="12"/>
  <c r="R56" i="12"/>
  <c r="R77" i="12"/>
  <c r="R53" i="12"/>
  <c r="R69" i="12"/>
  <c r="R72" i="12"/>
  <c r="R86" i="12"/>
  <c r="P83" i="12"/>
  <c r="P86" i="12"/>
  <c r="P72" i="12"/>
  <c r="H14" i="10"/>
  <c r="F23" i="8" s="1"/>
  <c r="N42" i="12"/>
  <c r="J42" i="12"/>
  <c r="N62" i="12"/>
  <c r="J62" i="12"/>
  <c r="N58" i="12"/>
  <c r="J58" i="12"/>
  <c r="N46" i="12"/>
  <c r="J46" i="12"/>
  <c r="N51" i="12"/>
  <c r="J51" i="12"/>
  <c r="D51" i="12"/>
  <c r="H51" i="12"/>
  <c r="F51" i="12"/>
  <c r="L51" i="12"/>
  <c r="D46" i="12"/>
  <c r="F46" i="12"/>
  <c r="H46" i="12"/>
  <c r="L46" i="12"/>
  <c r="D42" i="12"/>
  <c r="F42" i="12"/>
  <c r="H42" i="12"/>
  <c r="L42" i="12"/>
  <c r="H62" i="12"/>
  <c r="L62" i="12"/>
  <c r="D58" i="12"/>
  <c r="H58" i="12"/>
  <c r="F58" i="12"/>
  <c r="L58" i="12"/>
  <c r="P46" i="12"/>
  <c r="P42" i="12"/>
  <c r="P58" i="12"/>
  <c r="P62" i="12"/>
  <c r="P51" i="12"/>
  <c r="Y22" i="4"/>
  <c r="Z22" i="4" s="1"/>
  <c r="D15" i="10" s="1"/>
  <c r="AH24" i="4"/>
  <c r="AE23" i="4"/>
  <c r="H23" i="8" l="1"/>
  <c r="T90" i="12"/>
  <c r="S108" i="12"/>
  <c r="S112" i="12"/>
  <c r="S116" i="12"/>
  <c r="S120" i="12"/>
  <c r="S124" i="12"/>
  <c r="S128" i="12"/>
  <c r="S132" i="12"/>
  <c r="S136" i="12"/>
  <c r="S140" i="12"/>
  <c r="S107" i="12"/>
  <c r="S113" i="12"/>
  <c r="S118" i="12"/>
  <c r="S123" i="12"/>
  <c r="S129" i="12"/>
  <c r="S134" i="12"/>
  <c r="S139" i="12"/>
  <c r="S109" i="12"/>
  <c r="S114" i="12"/>
  <c r="S119" i="12"/>
  <c r="S125" i="12"/>
  <c r="S130" i="12"/>
  <c r="S135" i="12"/>
  <c r="S104" i="12"/>
  <c r="S110" i="12"/>
  <c r="S121" i="12"/>
  <c r="S131" i="12"/>
  <c r="S15" i="12"/>
  <c r="S19" i="12"/>
  <c r="S23" i="12"/>
  <c r="S27" i="12"/>
  <c r="S31" i="12"/>
  <c r="S35" i="12"/>
  <c r="S39" i="12"/>
  <c r="S43" i="12"/>
  <c r="S47" i="12"/>
  <c r="S51" i="12"/>
  <c r="S55" i="12"/>
  <c r="S59" i="12"/>
  <c r="S63" i="12"/>
  <c r="S67" i="12"/>
  <c r="S71" i="12"/>
  <c r="S75" i="12"/>
  <c r="S79" i="12"/>
  <c r="S83" i="12"/>
  <c r="S87" i="12"/>
  <c r="S91" i="12"/>
  <c r="S111" i="12"/>
  <c r="S122" i="12"/>
  <c r="S133" i="12"/>
  <c r="S16" i="12"/>
  <c r="S20" i="12"/>
  <c r="S24" i="12"/>
  <c r="S28" i="12"/>
  <c r="S32" i="12"/>
  <c r="S36" i="12"/>
  <c r="S40" i="12"/>
  <c r="S44" i="12"/>
  <c r="S48" i="12"/>
  <c r="S52" i="12"/>
  <c r="S56" i="12"/>
  <c r="S60" i="12"/>
  <c r="S64" i="12"/>
  <c r="S68" i="12"/>
  <c r="S72" i="12"/>
  <c r="S76" i="12"/>
  <c r="S80" i="12"/>
  <c r="S84" i="12"/>
  <c r="S88" i="12"/>
  <c r="S92" i="12"/>
  <c r="S105" i="12"/>
  <c r="S115" i="12"/>
  <c r="S126" i="12"/>
  <c r="S137" i="12"/>
  <c r="S117" i="12"/>
  <c r="S21" i="12"/>
  <c r="S29" i="12"/>
  <c r="S37" i="12"/>
  <c r="S45" i="12"/>
  <c r="S53" i="12"/>
  <c r="S61" i="12"/>
  <c r="S69" i="12"/>
  <c r="S77" i="12"/>
  <c r="S85" i="12"/>
  <c r="S14" i="12"/>
  <c r="S138" i="12"/>
  <c r="S17" i="12"/>
  <c r="S25" i="12"/>
  <c r="S41" i="12"/>
  <c r="S49" i="12"/>
  <c r="S65" i="12"/>
  <c r="S81" i="12"/>
  <c r="S127" i="12"/>
  <c r="S22" i="12"/>
  <c r="S30" i="12"/>
  <c r="S38" i="12"/>
  <c r="S46" i="12"/>
  <c r="S54" i="12"/>
  <c r="S62" i="12"/>
  <c r="S70" i="12"/>
  <c r="S78" i="12"/>
  <c r="S86" i="12"/>
  <c r="S33" i="12"/>
  <c r="S57" i="12"/>
  <c r="S73" i="12"/>
  <c r="S89" i="12"/>
  <c r="S106" i="12"/>
  <c r="S18" i="12"/>
  <c r="S26" i="12"/>
  <c r="S34" i="12"/>
  <c r="S42" i="12"/>
  <c r="S50" i="12"/>
  <c r="S58" i="12"/>
  <c r="S66" i="12"/>
  <c r="S74" i="12"/>
  <c r="S82" i="12"/>
  <c r="S90" i="12"/>
  <c r="T91" i="12"/>
  <c r="T79" i="12"/>
  <c r="T58" i="12"/>
  <c r="T86" i="12"/>
  <c r="T48" i="12"/>
  <c r="T41" i="12"/>
  <c r="T42" i="12"/>
  <c r="T49" i="12"/>
  <c r="T73" i="12"/>
  <c r="T54" i="12"/>
  <c r="T50" i="12"/>
  <c r="T72" i="12"/>
  <c r="U8" i="12"/>
  <c r="T77" i="12"/>
  <c r="T82" i="12"/>
  <c r="T57" i="12"/>
  <c r="T64" i="12"/>
  <c r="T89" i="12"/>
  <c r="T47" i="12"/>
  <c r="T45" i="12"/>
  <c r="T44" i="12"/>
  <c r="T84" i="12"/>
  <c r="S101" i="12"/>
  <c r="T71" i="12"/>
  <c r="T92" i="12"/>
  <c r="T43" i="12"/>
  <c r="T63" i="12"/>
  <c r="T59" i="12"/>
  <c r="T66" i="12"/>
  <c r="T60" i="12"/>
  <c r="T70" i="12"/>
  <c r="T87" i="12"/>
  <c r="G23" i="8"/>
  <c r="T65" i="12"/>
  <c r="T53" i="12"/>
  <c r="T78" i="12"/>
  <c r="T81" i="12"/>
  <c r="T51" i="12"/>
  <c r="T61" i="12"/>
  <c r="T80" i="12"/>
  <c r="T56" i="12"/>
  <c r="T75" i="12"/>
  <c r="T74" i="12"/>
  <c r="T88" i="12"/>
  <c r="T85" i="12"/>
  <c r="T67" i="12"/>
  <c r="T46" i="12"/>
  <c r="T55" i="12"/>
  <c r="T68" i="12"/>
  <c r="T52" i="12"/>
  <c r="T69" i="12"/>
  <c r="T76" i="12"/>
  <c r="T83" i="12"/>
  <c r="H15" i="10"/>
  <c r="F24" i="8" s="1"/>
  <c r="N56" i="12"/>
  <c r="J56" i="12"/>
  <c r="N60" i="12"/>
  <c r="J60" i="12"/>
  <c r="N61" i="12"/>
  <c r="J61" i="12"/>
  <c r="N47" i="12"/>
  <c r="J47" i="12"/>
  <c r="N64" i="12"/>
  <c r="J64" i="12"/>
  <c r="N45" i="12"/>
  <c r="J45" i="12"/>
  <c r="N54" i="12"/>
  <c r="J54" i="12"/>
  <c r="N65" i="12"/>
  <c r="J65" i="12"/>
  <c r="N68" i="12"/>
  <c r="J68" i="12"/>
  <c r="N43" i="12"/>
  <c r="J43" i="12"/>
  <c r="P44" i="12"/>
  <c r="N44" i="12"/>
  <c r="P55" i="12"/>
  <c r="N55" i="12"/>
  <c r="P50" i="12"/>
  <c r="N50" i="12"/>
  <c r="P49" i="12"/>
  <c r="N49" i="12"/>
  <c r="P57" i="12"/>
  <c r="N57" i="12"/>
  <c r="P52" i="12"/>
  <c r="N52" i="12"/>
  <c r="P53" i="12"/>
  <c r="N53" i="12"/>
  <c r="P59" i="12"/>
  <c r="N59" i="12"/>
  <c r="P67" i="12"/>
  <c r="N67" i="12"/>
  <c r="P48" i="12"/>
  <c r="N48" i="12"/>
  <c r="P63" i="12"/>
  <c r="N63" i="12"/>
  <c r="P41" i="12"/>
  <c r="N41" i="12"/>
  <c r="P66" i="12"/>
  <c r="N66" i="12"/>
  <c r="D65" i="12"/>
  <c r="F65" i="12"/>
  <c r="H65" i="12"/>
  <c r="L65" i="12"/>
  <c r="D68" i="12"/>
  <c r="H68" i="12"/>
  <c r="F68" i="12"/>
  <c r="L68" i="12"/>
  <c r="H63" i="12"/>
  <c r="L63" i="12"/>
  <c r="D43" i="12"/>
  <c r="F43" i="12"/>
  <c r="H43" i="12"/>
  <c r="L43" i="12"/>
  <c r="D44" i="12"/>
  <c r="H44" i="12"/>
  <c r="F44" i="12"/>
  <c r="L44" i="12"/>
  <c r="P65" i="12"/>
  <c r="P43" i="12"/>
  <c r="D47" i="12"/>
  <c r="H47" i="12"/>
  <c r="F47" i="12"/>
  <c r="L47" i="12"/>
  <c r="D66" i="12"/>
  <c r="H66" i="12"/>
  <c r="F66" i="12"/>
  <c r="L66" i="12"/>
  <c r="D48" i="12"/>
  <c r="F48" i="12"/>
  <c r="H48" i="12"/>
  <c r="L48" i="12"/>
  <c r="H64" i="12"/>
  <c r="L64" i="12"/>
  <c r="D60" i="12"/>
  <c r="H60" i="12"/>
  <c r="F60" i="12"/>
  <c r="L60" i="12"/>
  <c r="H45" i="12"/>
  <c r="L45" i="12"/>
  <c r="H55" i="12"/>
  <c r="L55" i="12"/>
  <c r="P64" i="12"/>
  <c r="P47" i="12"/>
  <c r="P45" i="12"/>
  <c r="H41" i="12"/>
  <c r="L41" i="12"/>
  <c r="D50" i="12"/>
  <c r="H50" i="12"/>
  <c r="F50" i="12"/>
  <c r="L50" i="12"/>
  <c r="D49" i="12"/>
  <c r="H49" i="12"/>
  <c r="F49" i="12"/>
  <c r="L49" i="12"/>
  <c r="D54" i="12"/>
  <c r="H54" i="12"/>
  <c r="F54" i="12"/>
  <c r="L54" i="12"/>
  <c r="H61" i="12"/>
  <c r="L61" i="12"/>
  <c r="D56" i="12"/>
  <c r="F56" i="12"/>
  <c r="H56" i="12"/>
  <c r="L56" i="12"/>
  <c r="D57" i="12"/>
  <c r="F57" i="12"/>
  <c r="H57" i="12"/>
  <c r="L57" i="12"/>
  <c r="D52" i="12"/>
  <c r="F52" i="12"/>
  <c r="H52" i="12"/>
  <c r="L52" i="12"/>
  <c r="D53" i="12"/>
  <c r="H53" i="12"/>
  <c r="F53" i="12"/>
  <c r="L53" i="12"/>
  <c r="D59" i="12"/>
  <c r="H59" i="12"/>
  <c r="F59" i="12"/>
  <c r="L59" i="12"/>
  <c r="D67" i="12"/>
  <c r="H67" i="12"/>
  <c r="F67" i="12"/>
  <c r="L67" i="12"/>
  <c r="P60" i="12"/>
  <c r="P68" i="12"/>
  <c r="P61" i="12"/>
  <c r="P54" i="12"/>
  <c r="P56" i="12"/>
  <c r="Y23" i="4"/>
  <c r="Z23" i="4" s="1"/>
  <c r="D16" i="10" s="1"/>
  <c r="AH25" i="4"/>
  <c r="AE24" i="4"/>
  <c r="T101" i="12" l="1"/>
  <c r="U105" i="12"/>
  <c r="U109" i="12"/>
  <c r="U113" i="12"/>
  <c r="U117" i="12"/>
  <c r="U121" i="12"/>
  <c r="U125" i="12"/>
  <c r="U129" i="12"/>
  <c r="U133" i="12"/>
  <c r="U137" i="12"/>
  <c r="U104" i="12"/>
  <c r="U107" i="12"/>
  <c r="U112" i="12"/>
  <c r="U118" i="12"/>
  <c r="U123" i="12"/>
  <c r="U128" i="12"/>
  <c r="U134" i="12"/>
  <c r="U139" i="12"/>
  <c r="U108" i="12"/>
  <c r="U114" i="12"/>
  <c r="U119" i="12"/>
  <c r="U124" i="12"/>
  <c r="U130" i="12"/>
  <c r="U135" i="12"/>
  <c r="U140" i="12"/>
  <c r="U115" i="12"/>
  <c r="U126" i="12"/>
  <c r="U136" i="12"/>
  <c r="U18" i="12"/>
  <c r="U22" i="12"/>
  <c r="U26" i="12"/>
  <c r="U30" i="12"/>
  <c r="U34" i="12"/>
  <c r="U38" i="12"/>
  <c r="U42" i="12"/>
  <c r="U46" i="12"/>
  <c r="U50" i="12"/>
  <c r="U54" i="12"/>
  <c r="U58" i="12"/>
  <c r="U62" i="12"/>
  <c r="U66" i="12"/>
  <c r="U70" i="12"/>
  <c r="U74" i="12"/>
  <c r="U78" i="12"/>
  <c r="U82" i="12"/>
  <c r="U86" i="12"/>
  <c r="AL86" i="12" s="1"/>
  <c r="U90" i="12"/>
  <c r="AL90" i="12" s="1"/>
  <c r="U106" i="12"/>
  <c r="U116" i="12"/>
  <c r="U127" i="12"/>
  <c r="U138" i="12"/>
  <c r="U15" i="12"/>
  <c r="U19" i="12"/>
  <c r="U23" i="12"/>
  <c r="U27" i="12"/>
  <c r="U31" i="12"/>
  <c r="U35" i="12"/>
  <c r="U39" i="12"/>
  <c r="U43" i="12"/>
  <c r="U47" i="12"/>
  <c r="U51" i="12"/>
  <c r="U55" i="12"/>
  <c r="U59" i="12"/>
  <c r="U63" i="12"/>
  <c r="U67" i="12"/>
  <c r="U71" i="12"/>
  <c r="U75" i="12"/>
  <c r="U79" i="12"/>
  <c r="U83" i="12"/>
  <c r="U87" i="12"/>
  <c r="AM87" i="12" s="1"/>
  <c r="U91" i="12"/>
  <c r="AL91" i="12" s="1"/>
  <c r="U110" i="12"/>
  <c r="U120" i="12"/>
  <c r="U131" i="12"/>
  <c r="U111" i="12"/>
  <c r="U20" i="12"/>
  <c r="U28" i="12"/>
  <c r="U36" i="12"/>
  <c r="U44" i="12"/>
  <c r="U52" i="12"/>
  <c r="U60" i="12"/>
  <c r="U68" i="12"/>
  <c r="U76" i="12"/>
  <c r="U84" i="12"/>
  <c r="AL84" i="12" s="1"/>
  <c r="U92" i="12"/>
  <c r="AM92" i="12" s="1"/>
  <c r="U132" i="12"/>
  <c r="U16" i="12"/>
  <c r="U24" i="12"/>
  <c r="U32" i="12"/>
  <c r="U40" i="12"/>
  <c r="U56" i="12"/>
  <c r="U64" i="12"/>
  <c r="U72" i="12"/>
  <c r="U80" i="12"/>
  <c r="U122" i="12"/>
  <c r="U21" i="12"/>
  <c r="U29" i="12"/>
  <c r="U37" i="12"/>
  <c r="U45" i="12"/>
  <c r="U53" i="12"/>
  <c r="U61" i="12"/>
  <c r="U69" i="12"/>
  <c r="U77" i="12"/>
  <c r="U85" i="12"/>
  <c r="U14" i="12"/>
  <c r="U48" i="12"/>
  <c r="U88" i="12"/>
  <c r="AL88" i="12" s="1"/>
  <c r="U17" i="12"/>
  <c r="U25" i="12"/>
  <c r="U33" i="12"/>
  <c r="U41" i="12"/>
  <c r="U49" i="12"/>
  <c r="U57" i="12"/>
  <c r="U65" i="12"/>
  <c r="U73" i="12"/>
  <c r="U81" i="12"/>
  <c r="U89" i="12"/>
  <c r="H24" i="8"/>
  <c r="T62" i="12"/>
  <c r="V74" i="12"/>
  <c r="V66" i="12"/>
  <c r="V57" i="12"/>
  <c r="V78" i="12"/>
  <c r="B90" i="12"/>
  <c r="V50" i="12"/>
  <c r="V54" i="12"/>
  <c r="V43" i="12"/>
  <c r="V69" i="12"/>
  <c r="V89" i="12"/>
  <c r="V58" i="12"/>
  <c r="V42" i="12"/>
  <c r="V49" i="12"/>
  <c r="V79" i="12"/>
  <c r="V73" i="12"/>
  <c r="V91" i="12"/>
  <c r="V53" i="12"/>
  <c r="V62" i="12"/>
  <c r="V80" i="12"/>
  <c r="U101" i="12"/>
  <c r="V59" i="12"/>
  <c r="V72" i="12"/>
  <c r="V85" i="12"/>
  <c r="B92" i="12"/>
  <c r="V77" i="12"/>
  <c r="V81" i="12"/>
  <c r="V52" i="12"/>
  <c r="V61" i="12"/>
  <c r="V65" i="12"/>
  <c r="V44" i="12"/>
  <c r="V67" i="12"/>
  <c r="V51" i="12"/>
  <c r="V75" i="12"/>
  <c r="V76" i="12"/>
  <c r="B84" i="12"/>
  <c r="V83" i="12"/>
  <c r="V82" i="12"/>
  <c r="V48" i="12"/>
  <c r="V68" i="12"/>
  <c r="V46" i="12"/>
  <c r="V56" i="12"/>
  <c r="V60" i="12"/>
  <c r="V47" i="12"/>
  <c r="V70" i="12"/>
  <c r="V71" i="12"/>
  <c r="B86" i="12"/>
  <c r="V88" i="12"/>
  <c r="W8" i="12"/>
  <c r="G24" i="8"/>
  <c r="H16" i="10"/>
  <c r="F25" i="8" s="1"/>
  <c r="V87" i="12"/>
  <c r="B87" i="12"/>
  <c r="Y24" i="4"/>
  <c r="Z24" i="4" s="1"/>
  <c r="D17" i="10" s="1"/>
  <c r="AH26" i="4"/>
  <c r="AE25" i="4"/>
  <c r="AL87" i="12" l="1"/>
  <c r="AO87" i="12" s="1"/>
  <c r="AM86" i="12"/>
  <c r="AO86" i="12" s="1"/>
  <c r="V101" i="12"/>
  <c r="AM84" i="12"/>
  <c r="AN84" i="12" s="1"/>
  <c r="AL92" i="12"/>
  <c r="AL89" i="12"/>
  <c r="AM89" i="12"/>
  <c r="AM91" i="12"/>
  <c r="AO91" i="12" s="1"/>
  <c r="AM88" i="12"/>
  <c r="AN88" i="12" s="1"/>
  <c r="AM90" i="12"/>
  <c r="AO90" i="12" s="1"/>
  <c r="AL85" i="12"/>
  <c r="AM85" i="12"/>
  <c r="H25" i="8"/>
  <c r="W106" i="12"/>
  <c r="W110" i="12"/>
  <c r="W114" i="12"/>
  <c r="W118" i="12"/>
  <c r="W122" i="12"/>
  <c r="W126" i="12"/>
  <c r="W130" i="12"/>
  <c r="W134" i="12"/>
  <c r="W138" i="12"/>
  <c r="W107" i="12"/>
  <c r="W112" i="12"/>
  <c r="W117" i="12"/>
  <c r="W123" i="12"/>
  <c r="W128" i="12"/>
  <c r="W133" i="12"/>
  <c r="W139" i="12"/>
  <c r="W108" i="12"/>
  <c r="W113" i="12"/>
  <c r="W119" i="12"/>
  <c r="W124" i="12"/>
  <c r="W129" i="12"/>
  <c r="W135" i="12"/>
  <c r="W140" i="12"/>
  <c r="W109" i="12"/>
  <c r="W120" i="12"/>
  <c r="W131" i="12"/>
  <c r="W104" i="12"/>
  <c r="W16" i="12"/>
  <c r="W20" i="12"/>
  <c r="W24" i="12"/>
  <c r="W28" i="12"/>
  <c r="W32" i="12"/>
  <c r="W36" i="12"/>
  <c r="W40" i="12"/>
  <c r="W44" i="12"/>
  <c r="W48" i="12"/>
  <c r="W52" i="12"/>
  <c r="W56" i="12"/>
  <c r="W60" i="12"/>
  <c r="W64" i="12"/>
  <c r="W68" i="12"/>
  <c r="W72" i="12"/>
  <c r="W76" i="12"/>
  <c r="W80" i="12"/>
  <c r="W14" i="12"/>
  <c r="W111" i="12"/>
  <c r="W121" i="12"/>
  <c r="W132" i="12"/>
  <c r="W17" i="12"/>
  <c r="W21" i="12"/>
  <c r="W25" i="12"/>
  <c r="W29" i="12"/>
  <c r="W33" i="12"/>
  <c r="W37" i="12"/>
  <c r="W41" i="12"/>
  <c r="W45" i="12"/>
  <c r="W49" i="12"/>
  <c r="W53" i="12"/>
  <c r="W57" i="12"/>
  <c r="W61" i="12"/>
  <c r="W65" i="12"/>
  <c r="W69" i="12"/>
  <c r="W73" i="12"/>
  <c r="W77" i="12"/>
  <c r="W81" i="12"/>
  <c r="W115" i="12"/>
  <c r="W125" i="12"/>
  <c r="W136" i="12"/>
  <c r="W105" i="12"/>
  <c r="W18" i="12"/>
  <c r="W26" i="12"/>
  <c r="W34" i="12"/>
  <c r="W42" i="12"/>
  <c r="W50" i="12"/>
  <c r="W58" i="12"/>
  <c r="W66" i="12"/>
  <c r="W74" i="12"/>
  <c r="W82" i="12"/>
  <c r="W127" i="12"/>
  <c r="W22" i="12"/>
  <c r="W30" i="12"/>
  <c r="W38" i="12"/>
  <c r="W46" i="12"/>
  <c r="W62" i="12"/>
  <c r="W70" i="12"/>
  <c r="W78" i="12"/>
  <c r="W116" i="12"/>
  <c r="W19" i="12"/>
  <c r="W27" i="12"/>
  <c r="W35" i="12"/>
  <c r="W43" i="12"/>
  <c r="W51" i="12"/>
  <c r="W59" i="12"/>
  <c r="W67" i="12"/>
  <c r="W75" i="12"/>
  <c r="W83" i="12"/>
  <c r="W54" i="12"/>
  <c r="W137" i="12"/>
  <c r="W15" i="12"/>
  <c r="W23" i="12"/>
  <c r="W31" i="12"/>
  <c r="W39" i="12"/>
  <c r="W47" i="12"/>
  <c r="W55" i="12"/>
  <c r="W63" i="12"/>
  <c r="W71" i="12"/>
  <c r="W79" i="12"/>
  <c r="B91" i="12"/>
  <c r="V92" i="12"/>
  <c r="V55" i="12"/>
  <c r="V63" i="12"/>
  <c r="V41" i="12"/>
  <c r="V45" i="12"/>
  <c r="V64" i="12"/>
  <c r="V84" i="12"/>
  <c r="V86" i="12"/>
  <c r="V90" i="12"/>
  <c r="B89" i="12"/>
  <c r="B85" i="12"/>
  <c r="B88" i="12"/>
  <c r="J63" i="12"/>
  <c r="X79" i="12"/>
  <c r="J55" i="12"/>
  <c r="X77" i="12"/>
  <c r="G25" i="8"/>
  <c r="X78" i="12"/>
  <c r="X81" i="12"/>
  <c r="X82" i="12"/>
  <c r="Y8" i="12"/>
  <c r="X83" i="12"/>
  <c r="W101" i="12"/>
  <c r="X101" i="12" s="1"/>
  <c r="X80" i="12"/>
  <c r="H17" i="10"/>
  <c r="F26" i="8" s="1"/>
  <c r="Y25" i="4"/>
  <c r="Z25" i="4" s="1"/>
  <c r="D18" i="10" s="1"/>
  <c r="AH27" i="4"/>
  <c r="AE26" i="4"/>
  <c r="AN87" i="12" l="1"/>
  <c r="AO84" i="12"/>
  <c r="AN86" i="12"/>
  <c r="AO89" i="12"/>
  <c r="AN89" i="12"/>
  <c r="AO85" i="12"/>
  <c r="AN85" i="12"/>
  <c r="AO88" i="12"/>
  <c r="AN90" i="12"/>
  <c r="AN91" i="12"/>
  <c r="AN92" i="12"/>
  <c r="AO92" i="12"/>
  <c r="J26" i="8"/>
  <c r="L26" i="8"/>
  <c r="H26" i="8"/>
  <c r="Y107" i="12"/>
  <c r="Y111" i="12"/>
  <c r="Y115" i="12"/>
  <c r="Y119" i="12"/>
  <c r="Y123" i="12"/>
  <c r="Y127" i="12"/>
  <c r="Y131" i="12"/>
  <c r="Y135" i="12"/>
  <c r="Y139" i="12"/>
  <c r="Y108" i="12"/>
  <c r="Y112" i="12"/>
  <c r="Y110" i="12"/>
  <c r="Y117" i="12"/>
  <c r="Y122" i="12"/>
  <c r="Y128" i="12"/>
  <c r="Y133" i="12"/>
  <c r="Y138" i="12"/>
  <c r="Y105" i="12"/>
  <c r="Y113" i="12"/>
  <c r="Y118" i="12"/>
  <c r="Y124" i="12"/>
  <c r="Y129" i="12"/>
  <c r="Y134" i="12"/>
  <c r="Y140" i="12"/>
  <c r="Y114" i="12"/>
  <c r="Y125" i="12"/>
  <c r="Y136" i="12"/>
  <c r="Y18" i="12"/>
  <c r="Y22" i="12"/>
  <c r="Y26" i="12"/>
  <c r="Y30" i="12"/>
  <c r="Y34" i="12"/>
  <c r="Y38" i="12"/>
  <c r="Y42" i="12"/>
  <c r="Y46" i="12"/>
  <c r="Y50" i="12"/>
  <c r="Y54" i="12"/>
  <c r="Y58" i="12"/>
  <c r="Y62" i="12"/>
  <c r="Y66" i="12"/>
  <c r="Y70" i="12"/>
  <c r="Y74" i="12"/>
  <c r="Y78" i="12"/>
  <c r="Y82" i="12"/>
  <c r="Y116" i="12"/>
  <c r="Y126" i="12"/>
  <c r="Y137" i="12"/>
  <c r="Y15" i="12"/>
  <c r="Y19" i="12"/>
  <c r="Y23" i="12"/>
  <c r="Y27" i="12"/>
  <c r="Y31" i="12"/>
  <c r="Y35" i="12"/>
  <c r="Y39" i="12"/>
  <c r="Y43" i="12"/>
  <c r="Y47" i="12"/>
  <c r="Y51" i="12"/>
  <c r="Y55" i="12"/>
  <c r="Y59" i="12"/>
  <c r="Y63" i="12"/>
  <c r="Y67" i="12"/>
  <c r="Y71" i="12"/>
  <c r="Y75" i="12"/>
  <c r="Y79" i="12"/>
  <c r="Y83" i="12"/>
  <c r="Y106" i="12"/>
  <c r="Y120" i="12"/>
  <c r="Y130" i="12"/>
  <c r="Y104" i="12"/>
  <c r="Y16" i="12"/>
  <c r="Y20" i="12"/>
  <c r="Y24" i="12"/>
  <c r="Y28" i="12"/>
  <c r="Y32" i="12"/>
  <c r="Y36" i="12"/>
  <c r="Y40" i="12"/>
  <c r="Y44" i="12"/>
  <c r="Y48" i="12"/>
  <c r="Y52" i="12"/>
  <c r="Y56" i="12"/>
  <c r="Y60" i="12"/>
  <c r="Y64" i="12"/>
  <c r="Y68" i="12"/>
  <c r="Y25" i="12"/>
  <c r="Y41" i="12"/>
  <c r="Y57" i="12"/>
  <c r="Y72" i="12"/>
  <c r="Y80" i="12"/>
  <c r="Y121" i="12"/>
  <c r="Y17" i="12"/>
  <c r="Y33" i="12"/>
  <c r="Y49" i="12"/>
  <c r="Y65" i="12"/>
  <c r="Y76" i="12"/>
  <c r="Y14" i="12"/>
  <c r="Y109" i="12"/>
  <c r="Y29" i="12"/>
  <c r="Y45" i="12"/>
  <c r="Y61" i="12"/>
  <c r="Y73" i="12"/>
  <c r="Y81" i="12"/>
  <c r="Y132" i="12"/>
  <c r="Y21" i="12"/>
  <c r="Y37" i="12"/>
  <c r="Y53" i="12"/>
  <c r="Y69" i="12"/>
  <c r="Y77" i="12"/>
  <c r="Z41" i="12"/>
  <c r="Z43" i="12"/>
  <c r="Z45" i="12"/>
  <c r="Z47" i="12"/>
  <c r="Z49" i="12"/>
  <c r="Z51" i="12"/>
  <c r="Z53" i="12"/>
  <c r="Z57" i="12"/>
  <c r="Z59" i="12"/>
  <c r="Z61" i="12"/>
  <c r="Z65" i="12"/>
  <c r="Z67" i="12"/>
  <c r="Z69" i="12"/>
  <c r="Z73" i="12"/>
  <c r="Z75" i="12"/>
  <c r="Z42" i="12"/>
  <c r="Z44" i="12"/>
  <c r="Z46" i="12"/>
  <c r="Z48" i="12"/>
  <c r="Z50" i="12"/>
  <c r="Z52" i="12"/>
  <c r="Z54" i="12"/>
  <c r="Z56" i="12"/>
  <c r="Z58" i="12"/>
  <c r="Z60" i="12"/>
  <c r="Z62" i="12"/>
  <c r="Z64" i="12"/>
  <c r="Z66" i="12"/>
  <c r="Z68" i="12"/>
  <c r="Z70" i="12"/>
  <c r="Z72" i="12"/>
  <c r="Z74" i="12"/>
  <c r="Z76" i="12"/>
  <c r="X53" i="12"/>
  <c r="X76" i="12"/>
  <c r="X60" i="12"/>
  <c r="X44" i="12"/>
  <c r="X75" i="12"/>
  <c r="X73" i="12"/>
  <c r="X59" i="12"/>
  <c r="X51" i="12"/>
  <c r="X43" i="12"/>
  <c r="X74" i="12"/>
  <c r="X66" i="12"/>
  <c r="X58" i="12"/>
  <c r="X50" i="12"/>
  <c r="X42" i="12"/>
  <c r="X63" i="12"/>
  <c r="X52" i="12"/>
  <c r="X71" i="12"/>
  <c r="X69" i="12"/>
  <c r="X57" i="12"/>
  <c r="X49" i="12"/>
  <c r="X41" i="12"/>
  <c r="X72" i="12"/>
  <c r="X64" i="12"/>
  <c r="X56" i="12"/>
  <c r="X48" i="12"/>
  <c r="X61" i="12"/>
  <c r="X45" i="12"/>
  <c r="X68" i="12"/>
  <c r="X67" i="12"/>
  <c r="X65" i="12"/>
  <c r="X55" i="12"/>
  <c r="X47" i="12"/>
  <c r="X70" i="12"/>
  <c r="X62" i="12"/>
  <c r="X54" i="12"/>
  <c r="X46" i="12"/>
  <c r="Y101" i="12"/>
  <c r="AA8" i="12"/>
  <c r="G26" i="8"/>
  <c r="H18" i="10"/>
  <c r="F27" i="8" s="1"/>
  <c r="Y26" i="4"/>
  <c r="Z26" i="4" s="1"/>
  <c r="G28" i="8" s="1"/>
  <c r="AH28" i="4"/>
  <c r="AE27" i="4"/>
  <c r="AA108" i="12" l="1"/>
  <c r="AA112" i="12"/>
  <c r="AA116" i="12"/>
  <c r="AA120" i="12"/>
  <c r="AA124" i="12"/>
  <c r="AA128" i="12"/>
  <c r="AA132" i="12"/>
  <c r="AA136" i="12"/>
  <c r="AB136" i="12" s="1"/>
  <c r="AA140" i="12"/>
  <c r="AA105" i="12"/>
  <c r="AA109" i="12"/>
  <c r="AA113" i="12"/>
  <c r="AA117" i="12"/>
  <c r="AA121" i="12"/>
  <c r="AA125" i="12"/>
  <c r="AA129" i="12"/>
  <c r="AA133" i="12"/>
  <c r="AA137" i="12"/>
  <c r="AB137" i="12" s="1"/>
  <c r="AA104" i="12"/>
  <c r="AA10" i="12" s="1"/>
  <c r="AA107" i="12"/>
  <c r="AA115" i="12"/>
  <c r="AA123" i="12"/>
  <c r="AA131" i="12"/>
  <c r="AA139" i="12"/>
  <c r="AA110" i="12"/>
  <c r="AA118" i="12"/>
  <c r="AA126" i="12"/>
  <c r="AA134" i="12"/>
  <c r="AA15" i="12"/>
  <c r="AA19" i="12"/>
  <c r="AA23" i="12"/>
  <c r="AA27" i="12"/>
  <c r="AA31" i="12"/>
  <c r="AA35" i="12"/>
  <c r="AA39" i="12"/>
  <c r="AA43" i="12"/>
  <c r="AA119" i="12"/>
  <c r="AA135" i="12"/>
  <c r="AA17" i="12"/>
  <c r="AA22" i="12"/>
  <c r="AA28" i="12"/>
  <c r="AA33" i="12"/>
  <c r="AA38" i="12"/>
  <c r="AA44" i="12"/>
  <c r="AA48" i="12"/>
  <c r="AA52" i="12"/>
  <c r="AA56" i="12"/>
  <c r="AA60" i="12"/>
  <c r="AA64" i="12"/>
  <c r="AA68" i="12"/>
  <c r="AA72" i="12"/>
  <c r="AA76" i="12"/>
  <c r="AA80" i="12"/>
  <c r="AA14" i="12"/>
  <c r="AA9" i="12" s="1"/>
  <c r="AA106" i="12"/>
  <c r="AA122" i="12"/>
  <c r="AA138" i="12"/>
  <c r="AA18" i="12"/>
  <c r="AA24" i="12"/>
  <c r="AA29" i="12"/>
  <c r="AA34" i="12"/>
  <c r="AA40" i="12"/>
  <c r="AA45" i="12"/>
  <c r="AA49" i="12"/>
  <c r="AA53" i="12"/>
  <c r="AA57" i="12"/>
  <c r="AA61" i="12"/>
  <c r="AA65" i="12"/>
  <c r="AA69" i="12"/>
  <c r="AA73" i="12"/>
  <c r="AA77" i="12"/>
  <c r="AA81" i="12"/>
  <c r="AA111" i="12"/>
  <c r="AA127" i="12"/>
  <c r="AA20" i="12"/>
  <c r="AA25" i="12"/>
  <c r="AA30" i="12"/>
  <c r="AA36" i="12"/>
  <c r="AA41" i="12"/>
  <c r="AA46" i="12"/>
  <c r="AA50" i="12"/>
  <c r="AA54" i="12"/>
  <c r="AA58" i="12"/>
  <c r="AA62" i="12"/>
  <c r="AA66" i="12"/>
  <c r="AA70" i="12"/>
  <c r="AA74" i="12"/>
  <c r="AA78" i="12"/>
  <c r="AA82" i="12"/>
  <c r="AA130" i="12"/>
  <c r="AA26" i="12"/>
  <c r="AA47" i="12"/>
  <c r="AA63" i="12"/>
  <c r="AA79" i="12"/>
  <c r="AA16" i="12"/>
  <c r="AA37" i="12"/>
  <c r="AA55" i="12"/>
  <c r="AA71" i="12"/>
  <c r="AA32" i="12"/>
  <c r="AA51" i="12"/>
  <c r="AA67" i="12"/>
  <c r="AA83" i="12"/>
  <c r="AA114" i="12"/>
  <c r="AA21" i="12"/>
  <c r="AA42" i="12"/>
  <c r="AA59" i="12"/>
  <c r="AA75" i="12"/>
  <c r="H27" i="8"/>
  <c r="Z71" i="12"/>
  <c r="Z63" i="12"/>
  <c r="Z55" i="12"/>
  <c r="AA101" i="12"/>
  <c r="AB46" i="12"/>
  <c r="AB54" i="12"/>
  <c r="AB62" i="12"/>
  <c r="AB70" i="12"/>
  <c r="AB43" i="12"/>
  <c r="AB51" i="12"/>
  <c r="AB59" i="12"/>
  <c r="AB67" i="12"/>
  <c r="AB75" i="12"/>
  <c r="G27" i="8"/>
  <c r="AC8" i="12"/>
  <c r="AE8" i="12"/>
  <c r="Y27" i="4"/>
  <c r="Z27" i="4" s="1"/>
  <c r="G29" i="8" s="1"/>
  <c r="AE28" i="4"/>
  <c r="L16" i="8" l="1"/>
  <c r="L17" i="8"/>
  <c r="L27" i="8"/>
  <c r="L18" i="8"/>
  <c r="L20" i="8"/>
  <c r="L19" i="8"/>
  <c r="H34" i="8"/>
  <c r="H35" i="8"/>
  <c r="L23" i="8"/>
  <c r="L21" i="8"/>
  <c r="L22" i="8"/>
  <c r="L24" i="8"/>
  <c r="L25" i="8"/>
  <c r="AB14" i="12"/>
  <c r="AB138" i="12"/>
  <c r="AB140" i="12"/>
  <c r="AC105" i="12"/>
  <c r="AC109" i="12"/>
  <c r="AC113" i="12"/>
  <c r="AC117" i="12"/>
  <c r="AC121" i="12"/>
  <c r="AC125" i="12"/>
  <c r="AC129" i="12"/>
  <c r="AC133" i="12"/>
  <c r="AC137" i="12"/>
  <c r="AC104" i="12"/>
  <c r="AC106" i="12"/>
  <c r="AC110" i="12"/>
  <c r="AC114" i="12"/>
  <c r="AC118" i="12"/>
  <c r="AC122" i="12"/>
  <c r="AC126" i="12"/>
  <c r="AC130" i="12"/>
  <c r="AC134" i="12"/>
  <c r="AC138" i="12"/>
  <c r="AC112" i="12"/>
  <c r="AC120" i="12"/>
  <c r="AC128" i="12"/>
  <c r="AC136" i="12"/>
  <c r="AC16" i="12"/>
  <c r="AC20" i="12"/>
  <c r="AC24" i="12"/>
  <c r="AC28" i="12"/>
  <c r="AC32" i="12"/>
  <c r="AC36" i="12"/>
  <c r="AC40" i="12"/>
  <c r="AC44" i="12"/>
  <c r="AC48" i="12"/>
  <c r="AC52" i="12"/>
  <c r="AC56" i="12"/>
  <c r="AC60" i="12"/>
  <c r="AC64" i="12"/>
  <c r="AC68" i="12"/>
  <c r="AC72" i="12"/>
  <c r="AC76" i="12"/>
  <c r="AC80" i="12"/>
  <c r="AC107" i="12"/>
  <c r="AC115" i="12"/>
  <c r="AC123" i="12"/>
  <c r="AC131" i="12"/>
  <c r="AC139" i="12"/>
  <c r="AC17" i="12"/>
  <c r="AC21" i="12"/>
  <c r="AC25" i="12"/>
  <c r="AC29" i="12"/>
  <c r="AC33" i="12"/>
  <c r="AC37" i="12"/>
  <c r="AC41" i="12"/>
  <c r="AC45" i="12"/>
  <c r="AC49" i="12"/>
  <c r="AC53" i="12"/>
  <c r="AC57" i="12"/>
  <c r="AC61" i="12"/>
  <c r="AC65" i="12"/>
  <c r="AC69" i="12"/>
  <c r="AC73" i="12"/>
  <c r="AC77" i="12"/>
  <c r="AC81" i="12"/>
  <c r="AC108" i="12"/>
  <c r="AC124" i="12"/>
  <c r="AC140" i="12"/>
  <c r="AC18" i="12"/>
  <c r="AC26" i="12"/>
  <c r="AC34" i="12"/>
  <c r="AC42" i="12"/>
  <c r="AC50" i="12"/>
  <c r="AC58" i="12"/>
  <c r="AC66" i="12"/>
  <c r="AC74" i="12"/>
  <c r="AC82" i="12"/>
  <c r="AC111" i="12"/>
  <c r="AC127" i="12"/>
  <c r="AC19" i="12"/>
  <c r="AC27" i="12"/>
  <c r="AC35" i="12"/>
  <c r="AC43" i="12"/>
  <c r="AC51" i="12"/>
  <c r="AC59" i="12"/>
  <c r="AC67" i="12"/>
  <c r="AC75" i="12"/>
  <c r="AC83" i="12"/>
  <c r="AC116" i="12"/>
  <c r="AC132" i="12"/>
  <c r="AC22" i="12"/>
  <c r="AC30" i="12"/>
  <c r="AC38" i="12"/>
  <c r="AC46" i="12"/>
  <c r="AC54" i="12"/>
  <c r="AC62" i="12"/>
  <c r="AC70" i="12"/>
  <c r="AC78" i="12"/>
  <c r="AC14" i="12"/>
  <c r="AC39" i="12"/>
  <c r="AC71" i="12"/>
  <c r="AC23" i="12"/>
  <c r="AC55" i="12"/>
  <c r="AC119" i="12"/>
  <c r="AC15" i="12"/>
  <c r="AC47" i="12"/>
  <c r="AC79" i="12"/>
  <c r="AC135" i="12"/>
  <c r="AC31" i="12"/>
  <c r="AC63" i="12"/>
  <c r="AB139" i="12"/>
  <c r="B137" i="12"/>
  <c r="T137" i="12" s="1"/>
  <c r="AB35" i="12"/>
  <c r="AB27" i="12"/>
  <c r="AB19" i="12"/>
  <c r="AB38" i="12"/>
  <c r="AB30" i="12"/>
  <c r="AB22" i="12"/>
  <c r="AD42" i="12"/>
  <c r="AD44" i="12"/>
  <c r="AD48" i="12"/>
  <c r="AD50" i="12"/>
  <c r="AD52" i="12"/>
  <c r="AD54" i="12"/>
  <c r="AD56" i="12"/>
  <c r="AD58" i="12"/>
  <c r="AD60" i="12"/>
  <c r="AD64" i="12"/>
  <c r="AD66" i="12"/>
  <c r="AD68" i="12"/>
  <c r="AD70" i="12"/>
  <c r="AD74" i="12"/>
  <c r="AD76" i="12"/>
  <c r="AD43" i="12"/>
  <c r="AD45" i="12"/>
  <c r="AD47" i="12"/>
  <c r="AD49" i="12"/>
  <c r="AD51" i="12"/>
  <c r="AD53" i="12"/>
  <c r="AD55" i="12"/>
  <c r="AD57" i="12"/>
  <c r="AD59" i="12"/>
  <c r="AD61" i="12"/>
  <c r="AD65" i="12"/>
  <c r="AD69" i="12"/>
  <c r="AD73" i="12"/>
  <c r="AD63" i="12"/>
  <c r="AD67" i="12"/>
  <c r="AD71" i="12"/>
  <c r="AD75" i="12"/>
  <c r="AB58" i="12"/>
  <c r="AB42" i="12"/>
  <c r="AB18" i="12"/>
  <c r="AB71" i="12"/>
  <c r="AB69" i="12"/>
  <c r="AB57" i="12"/>
  <c r="AB49" i="12"/>
  <c r="AB41" i="12"/>
  <c r="AB33" i="12"/>
  <c r="AB25" i="12"/>
  <c r="AB17" i="12"/>
  <c r="AB72" i="12"/>
  <c r="AB64" i="12"/>
  <c r="AB56" i="12"/>
  <c r="AB48" i="12"/>
  <c r="AB40" i="12"/>
  <c r="AB32" i="12"/>
  <c r="AB24" i="12"/>
  <c r="AB16" i="12"/>
  <c r="AB73" i="12"/>
  <c r="AB66" i="12"/>
  <c r="AB50" i="12"/>
  <c r="AB34" i="12"/>
  <c r="AB26" i="12"/>
  <c r="AB65" i="12"/>
  <c r="AB55" i="12"/>
  <c r="AB47" i="12"/>
  <c r="AB39" i="12"/>
  <c r="AB31" i="12"/>
  <c r="AB23" i="12"/>
  <c r="AB15" i="12"/>
  <c r="AB74" i="12"/>
  <c r="AB63" i="12"/>
  <c r="AB61" i="12"/>
  <c r="AB53" i="12"/>
  <c r="AB45" i="12"/>
  <c r="AB37" i="12"/>
  <c r="AB29" i="12"/>
  <c r="AB21" i="12"/>
  <c r="AB76" i="12"/>
  <c r="AB68" i="12"/>
  <c r="AB60" i="12"/>
  <c r="AB52" i="12"/>
  <c r="AB44" i="12"/>
  <c r="AB36" i="12"/>
  <c r="AB28" i="12"/>
  <c r="AB20" i="12"/>
  <c r="AC101" i="12"/>
  <c r="AG8" i="12"/>
  <c r="O29" i="8"/>
  <c r="AE120" i="12"/>
  <c r="AE105" i="12"/>
  <c r="AE121" i="12"/>
  <c r="AE106" i="12"/>
  <c r="AE122" i="12"/>
  <c r="AE104" i="12"/>
  <c r="AE83" i="12"/>
  <c r="AE108" i="12"/>
  <c r="AE124" i="12"/>
  <c r="AE109" i="12"/>
  <c r="AE125" i="12"/>
  <c r="AE110" i="12"/>
  <c r="AE126" i="12"/>
  <c r="AE107" i="12"/>
  <c r="AE81" i="12"/>
  <c r="AE77" i="12"/>
  <c r="AE78" i="12"/>
  <c r="AE112" i="12"/>
  <c r="AE128" i="12"/>
  <c r="AE113" i="12"/>
  <c r="AE129" i="12"/>
  <c r="AE114" i="12"/>
  <c r="AE130" i="12"/>
  <c r="AE111" i="12"/>
  <c r="AE115" i="12"/>
  <c r="AE119" i="12"/>
  <c r="AE123" i="12"/>
  <c r="AE80" i="12"/>
  <c r="AE116" i="12"/>
  <c r="AE132" i="12"/>
  <c r="AE117" i="12"/>
  <c r="AE133" i="12"/>
  <c r="AE118" i="12"/>
  <c r="AE134" i="12"/>
  <c r="AE127" i="12"/>
  <c r="AE131" i="12"/>
  <c r="AE135" i="12"/>
  <c r="AE79" i="12"/>
  <c r="AE101" i="12"/>
  <c r="AE82" i="12"/>
  <c r="Y28" i="4"/>
  <c r="Z28" i="4" s="1"/>
  <c r="G30" i="8" s="1"/>
  <c r="AL124" i="12" l="1"/>
  <c r="AM124" i="12"/>
  <c r="AM126" i="12"/>
  <c r="AL126" i="12"/>
  <c r="AM110" i="12"/>
  <c r="AL110" i="12"/>
  <c r="AM117" i="12"/>
  <c r="AL117" i="12"/>
  <c r="AM132" i="12"/>
  <c r="AL132" i="12"/>
  <c r="AL111" i="12"/>
  <c r="AM111" i="12"/>
  <c r="AL108" i="12"/>
  <c r="AM108" i="12"/>
  <c r="AL123" i="12"/>
  <c r="AM123" i="12"/>
  <c r="AL136" i="12"/>
  <c r="AM136" i="12"/>
  <c r="B138" i="12"/>
  <c r="L138" i="12" s="1"/>
  <c r="AL138" i="12"/>
  <c r="AM138" i="12"/>
  <c r="AM122" i="12"/>
  <c r="AL122" i="12"/>
  <c r="AM106" i="12"/>
  <c r="AL106" i="12"/>
  <c r="AL129" i="12"/>
  <c r="AM129" i="12"/>
  <c r="AM113" i="12"/>
  <c r="AL113" i="12"/>
  <c r="AL127" i="12"/>
  <c r="AM127" i="12"/>
  <c r="AL131" i="12"/>
  <c r="AM131" i="12"/>
  <c r="AM112" i="12"/>
  <c r="AL112" i="12"/>
  <c r="AL133" i="12"/>
  <c r="AM133" i="12"/>
  <c r="AL116" i="12"/>
  <c r="AM116" i="12"/>
  <c r="AM115" i="12"/>
  <c r="AL115" i="12"/>
  <c r="AM128" i="12"/>
  <c r="AL128" i="12"/>
  <c r="AM134" i="12"/>
  <c r="AL134" i="12"/>
  <c r="AL118" i="12"/>
  <c r="AM118" i="12"/>
  <c r="AL125" i="12"/>
  <c r="AM125" i="12"/>
  <c r="AM109" i="12"/>
  <c r="AL109" i="12"/>
  <c r="AL135" i="12"/>
  <c r="AM135" i="12"/>
  <c r="AL119" i="12"/>
  <c r="AM119" i="12"/>
  <c r="AM140" i="12"/>
  <c r="AL140" i="12"/>
  <c r="AL139" i="12"/>
  <c r="AM139" i="12"/>
  <c r="AL107" i="12"/>
  <c r="AM107" i="12"/>
  <c r="AM120" i="12"/>
  <c r="AL120" i="12"/>
  <c r="AM130" i="12"/>
  <c r="AL130" i="12"/>
  <c r="AM114" i="12"/>
  <c r="AL114" i="12"/>
  <c r="AM137" i="12"/>
  <c r="AL137" i="12"/>
  <c r="AM121" i="12"/>
  <c r="AL121" i="12"/>
  <c r="AL105" i="12"/>
  <c r="AM105" i="12"/>
  <c r="AL104" i="12"/>
  <c r="AM104" i="12"/>
  <c r="AL101" i="12"/>
  <c r="AM101" i="12"/>
  <c r="AL75" i="12"/>
  <c r="AM75" i="12"/>
  <c r="AL43" i="12"/>
  <c r="AM43" i="12"/>
  <c r="AL80" i="12"/>
  <c r="AM80" i="12"/>
  <c r="AL48" i="12"/>
  <c r="AM48" i="12"/>
  <c r="AL16" i="12"/>
  <c r="AM16" i="12"/>
  <c r="AL63" i="12"/>
  <c r="AM63" i="12"/>
  <c r="AL47" i="12"/>
  <c r="AM47" i="12"/>
  <c r="AL78" i="12"/>
  <c r="AM78" i="12"/>
  <c r="AL46" i="12"/>
  <c r="AM46" i="12"/>
  <c r="AL67" i="12"/>
  <c r="AM67" i="12"/>
  <c r="AL35" i="12"/>
  <c r="AM35" i="12"/>
  <c r="AL58" i="12"/>
  <c r="AM58" i="12"/>
  <c r="AL26" i="12"/>
  <c r="AM26" i="12"/>
  <c r="AL69" i="12"/>
  <c r="AM69" i="12"/>
  <c r="AL53" i="12"/>
  <c r="AM53" i="12"/>
  <c r="AL37" i="12"/>
  <c r="AM37" i="12"/>
  <c r="AL21" i="12"/>
  <c r="AM21" i="12"/>
  <c r="AL76" i="12"/>
  <c r="AM76" i="12"/>
  <c r="AL60" i="12"/>
  <c r="AM60" i="12"/>
  <c r="AL44" i="12"/>
  <c r="AM44" i="12"/>
  <c r="AL28" i="12"/>
  <c r="AM28" i="12"/>
  <c r="AL55" i="12"/>
  <c r="AM55" i="12"/>
  <c r="AL54" i="12"/>
  <c r="AM54" i="12"/>
  <c r="AL66" i="12"/>
  <c r="AM66" i="12"/>
  <c r="AL25" i="12"/>
  <c r="AM25" i="12"/>
  <c r="AL32" i="12"/>
  <c r="AM32" i="12"/>
  <c r="AL23" i="12"/>
  <c r="AM23" i="12"/>
  <c r="AL31" i="12"/>
  <c r="AM31" i="12"/>
  <c r="AL15" i="12"/>
  <c r="AM15" i="12"/>
  <c r="AL71" i="12"/>
  <c r="AM71" i="12"/>
  <c r="AL70" i="12"/>
  <c r="AM70" i="12"/>
  <c r="AL38" i="12"/>
  <c r="AM38" i="12"/>
  <c r="AL59" i="12"/>
  <c r="AM59" i="12"/>
  <c r="AL27" i="12"/>
  <c r="AM27" i="12"/>
  <c r="AL82" i="12"/>
  <c r="AM82" i="12"/>
  <c r="AL50" i="12"/>
  <c r="AM50" i="12"/>
  <c r="AL18" i="12"/>
  <c r="AM18" i="12"/>
  <c r="AL81" i="12"/>
  <c r="AM81" i="12"/>
  <c r="AL65" i="12"/>
  <c r="AM65" i="12"/>
  <c r="AL49" i="12"/>
  <c r="AM49" i="12"/>
  <c r="AL33" i="12"/>
  <c r="AM33" i="12"/>
  <c r="AL17" i="12"/>
  <c r="AM17" i="12"/>
  <c r="AL72" i="12"/>
  <c r="AM72" i="12"/>
  <c r="AL56" i="12"/>
  <c r="AM56" i="12"/>
  <c r="AL40" i="12"/>
  <c r="AM40" i="12"/>
  <c r="AL24" i="12"/>
  <c r="AM24" i="12"/>
  <c r="AL79" i="12"/>
  <c r="AM79" i="12"/>
  <c r="AL22" i="12"/>
  <c r="AM22" i="12"/>
  <c r="AL34" i="12"/>
  <c r="AM34" i="12"/>
  <c r="AL73" i="12"/>
  <c r="AM73" i="12"/>
  <c r="AL57" i="12"/>
  <c r="AM57" i="12"/>
  <c r="AL41" i="12"/>
  <c r="AM41" i="12"/>
  <c r="AL64" i="12"/>
  <c r="AM64" i="12"/>
  <c r="AL39" i="12"/>
  <c r="AM39" i="12"/>
  <c r="AL62" i="12"/>
  <c r="AM62" i="12"/>
  <c r="AL30" i="12"/>
  <c r="AM30" i="12"/>
  <c r="AL83" i="12"/>
  <c r="AM83" i="12"/>
  <c r="AL51" i="12"/>
  <c r="AM51" i="12"/>
  <c r="AL19" i="12"/>
  <c r="AM19" i="12"/>
  <c r="AL74" i="12"/>
  <c r="AM74" i="12"/>
  <c r="AL42" i="12"/>
  <c r="AM42" i="12"/>
  <c r="AL77" i="12"/>
  <c r="AM77" i="12"/>
  <c r="AL61" i="12"/>
  <c r="AM61" i="12"/>
  <c r="AL45" i="12"/>
  <c r="AM45" i="12"/>
  <c r="AL29" i="12"/>
  <c r="AM29" i="12"/>
  <c r="AL68" i="12"/>
  <c r="AM68" i="12"/>
  <c r="AL52" i="12"/>
  <c r="AM52" i="12"/>
  <c r="AL36" i="12"/>
  <c r="AM36" i="12"/>
  <c r="AL20" i="12"/>
  <c r="AM20" i="12"/>
  <c r="H36" i="8"/>
  <c r="H37" i="8"/>
  <c r="R137" i="12"/>
  <c r="P137" i="12"/>
  <c r="B139" i="12"/>
  <c r="P139" i="12" s="1"/>
  <c r="AD137" i="12"/>
  <c r="L137" i="12"/>
  <c r="J137" i="12"/>
  <c r="X137" i="12"/>
  <c r="D137" i="12"/>
  <c r="V137" i="12"/>
  <c r="N137" i="12"/>
  <c r="AM14" i="12"/>
  <c r="AL14" i="12"/>
  <c r="H137" i="12"/>
  <c r="Z137" i="12"/>
  <c r="B136" i="12"/>
  <c r="D136" i="12" s="1"/>
  <c r="AD138" i="12"/>
  <c r="D138" i="12"/>
  <c r="B140" i="12"/>
  <c r="Z140" i="12" s="1"/>
  <c r="F137" i="12"/>
  <c r="AD72" i="12"/>
  <c r="AD41" i="12"/>
  <c r="B54" i="12"/>
  <c r="B42" i="12"/>
  <c r="B40" i="12"/>
  <c r="F40" i="12" s="1"/>
  <c r="B41" i="12"/>
  <c r="J41" i="12" s="1"/>
  <c r="B72" i="12"/>
  <c r="D72" i="12" s="1"/>
  <c r="B56" i="12"/>
  <c r="B57" i="12"/>
  <c r="J57" i="12" s="1"/>
  <c r="B24" i="12"/>
  <c r="D24" i="12" s="1"/>
  <c r="B25" i="12"/>
  <c r="V25" i="12" s="1"/>
  <c r="B14" i="12"/>
  <c r="F14" i="12" s="1"/>
  <c r="B31" i="12"/>
  <c r="D31" i="12" s="1"/>
  <c r="B22" i="12"/>
  <c r="AD22" i="12" s="1"/>
  <c r="B65" i="12"/>
  <c r="B67" i="12"/>
  <c r="J67" i="12" s="1"/>
  <c r="B15" i="12"/>
  <c r="D15" i="12" s="1"/>
  <c r="B47" i="12"/>
  <c r="B71" i="12"/>
  <c r="D71" i="12" s="1"/>
  <c r="B70" i="12"/>
  <c r="B16" i="12"/>
  <c r="H16" i="12" s="1"/>
  <c r="B32" i="12"/>
  <c r="D32" i="12" s="1"/>
  <c r="B48" i="12"/>
  <c r="J48" i="12" s="1"/>
  <c r="B64" i="12"/>
  <c r="B17" i="12"/>
  <c r="N17" i="12" s="1"/>
  <c r="B33" i="12"/>
  <c r="F33" i="12" s="1"/>
  <c r="B49" i="12"/>
  <c r="J49" i="12" s="1"/>
  <c r="B69" i="12"/>
  <c r="B38" i="12"/>
  <c r="D38" i="12" s="1"/>
  <c r="B23" i="12"/>
  <c r="D23" i="12" s="1"/>
  <c r="B39" i="12"/>
  <c r="P39" i="12" s="1"/>
  <c r="B55" i="12"/>
  <c r="D55" i="12" s="1"/>
  <c r="B34" i="12"/>
  <c r="P34" i="12" s="1"/>
  <c r="B74" i="12"/>
  <c r="B59" i="12"/>
  <c r="J59" i="12" s="1"/>
  <c r="B27" i="12"/>
  <c r="Z27" i="12" s="1"/>
  <c r="B66" i="12"/>
  <c r="J66" i="12" s="1"/>
  <c r="B75" i="12"/>
  <c r="B43" i="12"/>
  <c r="B26" i="12"/>
  <c r="AD26" i="12" s="1"/>
  <c r="B50" i="12"/>
  <c r="J50" i="12" s="1"/>
  <c r="B73" i="12"/>
  <c r="B18" i="12"/>
  <c r="H18" i="12" s="1"/>
  <c r="B58" i="12"/>
  <c r="B35" i="12"/>
  <c r="H35" i="12" s="1"/>
  <c r="B51" i="12"/>
  <c r="B20" i="12"/>
  <c r="J20" i="12" s="1"/>
  <c r="B36" i="12"/>
  <c r="D36" i="12" s="1"/>
  <c r="B52" i="12"/>
  <c r="J52" i="12" s="1"/>
  <c r="B68" i="12"/>
  <c r="B21" i="12"/>
  <c r="V21" i="12" s="1"/>
  <c r="B37" i="12"/>
  <c r="D37" i="12" s="1"/>
  <c r="B53" i="12"/>
  <c r="J53" i="12" s="1"/>
  <c r="B63" i="12"/>
  <c r="D63" i="12" s="1"/>
  <c r="B19" i="12"/>
  <c r="X19" i="12" s="1"/>
  <c r="B28" i="12"/>
  <c r="D28" i="12" s="1"/>
  <c r="B44" i="12"/>
  <c r="J44" i="12" s="1"/>
  <c r="B60" i="12"/>
  <c r="B76" i="12"/>
  <c r="B29" i="12"/>
  <c r="D29" i="12" s="1"/>
  <c r="B45" i="12"/>
  <c r="D45" i="12" s="1"/>
  <c r="B61" i="12"/>
  <c r="AD62" i="12"/>
  <c r="B62" i="12"/>
  <c r="D62" i="12" s="1"/>
  <c r="AD46" i="12"/>
  <c r="B46" i="12"/>
  <c r="B30" i="12"/>
  <c r="D30" i="12" s="1"/>
  <c r="AI8" i="12"/>
  <c r="Q8" i="8"/>
  <c r="K8" i="8" s="1"/>
  <c r="I25" i="8" s="1"/>
  <c r="AG106" i="12"/>
  <c r="AH106" i="12" s="1"/>
  <c r="AG122" i="12"/>
  <c r="AH122" i="12" s="1"/>
  <c r="AG104" i="12"/>
  <c r="AG111" i="12"/>
  <c r="AH111" i="12" s="1"/>
  <c r="AG127" i="12"/>
  <c r="AH127" i="12" s="1"/>
  <c r="AG120" i="12"/>
  <c r="AH120" i="12" s="1"/>
  <c r="AG129" i="12"/>
  <c r="AH129" i="12" s="1"/>
  <c r="AG117" i="12"/>
  <c r="AH117" i="12" s="1"/>
  <c r="AG79" i="12"/>
  <c r="AH79" i="12" s="1"/>
  <c r="AG110" i="12"/>
  <c r="AH110" i="12" s="1"/>
  <c r="AG126" i="12"/>
  <c r="AH126" i="12" s="1"/>
  <c r="AG115" i="12"/>
  <c r="AH115" i="12" s="1"/>
  <c r="AG131" i="12"/>
  <c r="AH131" i="12" s="1"/>
  <c r="AG108" i="12"/>
  <c r="AH108" i="12" s="1"/>
  <c r="AG124" i="12"/>
  <c r="AH124" i="12" s="1"/>
  <c r="AG133" i="12"/>
  <c r="AH133" i="12" s="1"/>
  <c r="AG83" i="12"/>
  <c r="AG81" i="12"/>
  <c r="AH81" i="12" s="1"/>
  <c r="AG80" i="12"/>
  <c r="AH80" i="12" s="1"/>
  <c r="AG114" i="12"/>
  <c r="AH114" i="12" s="1"/>
  <c r="AG130" i="12"/>
  <c r="AH130" i="12" s="1"/>
  <c r="AG119" i="12"/>
  <c r="AG135" i="12"/>
  <c r="AH135" i="12" s="1"/>
  <c r="AG112" i="12"/>
  <c r="AH112" i="12" s="1"/>
  <c r="AG128" i="12"/>
  <c r="AH128" i="12" s="1"/>
  <c r="AG109" i="12"/>
  <c r="AH109" i="12" s="1"/>
  <c r="AG77" i="12"/>
  <c r="AG118" i="12"/>
  <c r="AH118" i="12" s="1"/>
  <c r="AG134" i="12"/>
  <c r="AH134" i="12" s="1"/>
  <c r="AG107" i="12"/>
  <c r="AH107" i="12" s="1"/>
  <c r="AG123" i="12"/>
  <c r="AH123" i="12" s="1"/>
  <c r="AG116" i="12"/>
  <c r="AH116" i="12" s="1"/>
  <c r="AG132" i="12"/>
  <c r="AH132" i="12" s="1"/>
  <c r="AG125" i="12"/>
  <c r="AH125" i="12" s="1"/>
  <c r="AG113" i="12"/>
  <c r="AH113" i="12" s="1"/>
  <c r="AG105" i="12"/>
  <c r="AH105" i="12" s="1"/>
  <c r="AG101" i="12"/>
  <c r="AH101" i="12" s="1"/>
  <c r="AG82" i="12"/>
  <c r="AH82" i="12" s="1"/>
  <c r="AG121" i="12"/>
  <c r="AH121" i="12" s="1"/>
  <c r="AG78" i="12"/>
  <c r="AH78" i="12" s="1"/>
  <c r="AG11" i="12"/>
  <c r="I22" i="8" l="1"/>
  <c r="I20" i="8"/>
  <c r="I21" i="8"/>
  <c r="I19" i="8"/>
  <c r="I16" i="8"/>
  <c r="I23" i="8"/>
  <c r="I18" i="8"/>
  <c r="I27" i="8"/>
  <c r="I17" i="8"/>
  <c r="I24" i="8"/>
  <c r="I26" i="8"/>
  <c r="I29" i="8"/>
  <c r="I28" i="8"/>
  <c r="I30" i="8"/>
  <c r="V138" i="12"/>
  <c r="J138" i="12"/>
  <c r="X138" i="12"/>
  <c r="H138" i="12"/>
  <c r="R138" i="12"/>
  <c r="N138" i="12"/>
  <c r="F138" i="12"/>
  <c r="T138" i="12"/>
  <c r="P138" i="12"/>
  <c r="Z138" i="12"/>
  <c r="AN105" i="12"/>
  <c r="AO105" i="12"/>
  <c r="AN107" i="12"/>
  <c r="AO107" i="12"/>
  <c r="AN135" i="12"/>
  <c r="AO135" i="12"/>
  <c r="AN133" i="12"/>
  <c r="AO133" i="12"/>
  <c r="AN131" i="12"/>
  <c r="AO131" i="12"/>
  <c r="AN138" i="12"/>
  <c r="AO138" i="12"/>
  <c r="AN117" i="12"/>
  <c r="AO117" i="12"/>
  <c r="AN126" i="12"/>
  <c r="AO126" i="12"/>
  <c r="AN121" i="12"/>
  <c r="AO121" i="12"/>
  <c r="AN114" i="12"/>
  <c r="AO114" i="12"/>
  <c r="AN120" i="12"/>
  <c r="AO120" i="12"/>
  <c r="AN109" i="12"/>
  <c r="AO109" i="12"/>
  <c r="AN128" i="12"/>
  <c r="AO128" i="12"/>
  <c r="AN112" i="12"/>
  <c r="AO112" i="12"/>
  <c r="AN122" i="12"/>
  <c r="AO122" i="12"/>
  <c r="AN123" i="12"/>
  <c r="AO123" i="12"/>
  <c r="AN111" i="12"/>
  <c r="AO111" i="12"/>
  <c r="AN139" i="12"/>
  <c r="AO139" i="12"/>
  <c r="AN119" i="12"/>
  <c r="AO119" i="12"/>
  <c r="AN118" i="12"/>
  <c r="AO118" i="12"/>
  <c r="AN116" i="12"/>
  <c r="AO116" i="12"/>
  <c r="AN127" i="12"/>
  <c r="AO127" i="12"/>
  <c r="AN129" i="12"/>
  <c r="AO129" i="12"/>
  <c r="AN132" i="12"/>
  <c r="AO132" i="12"/>
  <c r="AN110" i="12"/>
  <c r="AO110" i="12"/>
  <c r="AN125" i="12"/>
  <c r="AO125" i="12"/>
  <c r="AN137" i="12"/>
  <c r="AO137" i="12"/>
  <c r="AN130" i="12"/>
  <c r="AO130" i="12"/>
  <c r="AN140" i="12"/>
  <c r="AO140" i="12"/>
  <c r="AN134" i="12"/>
  <c r="AO134" i="12"/>
  <c r="AN115" i="12"/>
  <c r="AO115" i="12"/>
  <c r="AN113" i="12"/>
  <c r="AO113" i="12"/>
  <c r="AN106" i="12"/>
  <c r="AO106" i="12"/>
  <c r="AN136" i="12"/>
  <c r="AO136" i="12"/>
  <c r="AN108" i="12"/>
  <c r="AO108" i="12"/>
  <c r="AN124" i="12"/>
  <c r="AO124" i="12"/>
  <c r="AO104" i="12"/>
  <c r="AN104" i="12"/>
  <c r="AN20" i="12"/>
  <c r="AO20" i="12"/>
  <c r="AN52" i="12"/>
  <c r="AO52" i="12"/>
  <c r="AO29" i="12"/>
  <c r="AN29" i="12"/>
  <c r="AO61" i="12"/>
  <c r="AN61" i="12"/>
  <c r="AO42" i="12"/>
  <c r="AN42" i="12"/>
  <c r="AN19" i="12"/>
  <c r="AO19" i="12"/>
  <c r="AO83" i="12"/>
  <c r="AN83" i="12"/>
  <c r="AN62" i="12"/>
  <c r="AO62" i="12"/>
  <c r="AN64" i="12"/>
  <c r="AO64" i="12"/>
  <c r="AO57" i="12"/>
  <c r="AN57" i="12"/>
  <c r="AO34" i="12"/>
  <c r="AN34" i="12"/>
  <c r="AN79" i="12"/>
  <c r="AO79" i="12"/>
  <c r="AN40" i="12"/>
  <c r="AO40" i="12"/>
  <c r="AN72" i="12"/>
  <c r="AO72" i="12"/>
  <c r="AO33" i="12"/>
  <c r="AN33" i="12"/>
  <c r="AO65" i="12"/>
  <c r="AN65" i="12"/>
  <c r="AO18" i="12"/>
  <c r="AN18" i="12"/>
  <c r="AO82" i="12"/>
  <c r="AN82" i="12"/>
  <c r="AN59" i="12"/>
  <c r="AO59" i="12"/>
  <c r="AO70" i="12"/>
  <c r="AN70" i="12"/>
  <c r="AN15" i="12"/>
  <c r="AO15" i="12"/>
  <c r="AN23" i="12"/>
  <c r="AO23" i="12"/>
  <c r="AO25" i="12"/>
  <c r="AN25" i="12"/>
  <c r="AO54" i="12"/>
  <c r="AN54" i="12"/>
  <c r="AN28" i="12"/>
  <c r="AO28" i="12"/>
  <c r="AN60" i="12"/>
  <c r="AO60" i="12"/>
  <c r="AO21" i="12"/>
  <c r="AN21" i="12"/>
  <c r="AO53" i="12"/>
  <c r="AN53" i="12"/>
  <c r="AO26" i="12"/>
  <c r="AN26" i="12"/>
  <c r="AN35" i="12"/>
  <c r="AO35" i="12"/>
  <c r="AN46" i="12"/>
  <c r="AO46" i="12"/>
  <c r="AO47" i="12"/>
  <c r="AN47" i="12"/>
  <c r="AN16" i="12"/>
  <c r="AO16" i="12"/>
  <c r="AN80" i="12"/>
  <c r="AO80" i="12"/>
  <c r="AN75" i="12"/>
  <c r="AO75" i="12"/>
  <c r="AN36" i="12"/>
  <c r="AO36" i="12"/>
  <c r="AN68" i="12"/>
  <c r="AO68" i="12"/>
  <c r="AO45" i="12"/>
  <c r="AN45" i="12"/>
  <c r="AO77" i="12"/>
  <c r="AN77" i="12"/>
  <c r="AO74" i="12"/>
  <c r="AN74" i="12"/>
  <c r="AO51" i="12"/>
  <c r="AN51" i="12"/>
  <c r="AN30" i="12"/>
  <c r="AO30" i="12"/>
  <c r="AN39" i="12"/>
  <c r="AO39" i="12"/>
  <c r="AO41" i="12"/>
  <c r="AN41" i="12"/>
  <c r="AO73" i="12"/>
  <c r="AN73" i="12"/>
  <c r="AN22" i="12"/>
  <c r="AO22" i="12"/>
  <c r="AN24" i="12"/>
  <c r="AO24" i="12"/>
  <c r="AN56" i="12"/>
  <c r="AO56" i="12"/>
  <c r="AO17" i="12"/>
  <c r="AN17" i="12"/>
  <c r="AO49" i="12"/>
  <c r="AN49" i="12"/>
  <c r="AO81" i="12"/>
  <c r="AN81" i="12"/>
  <c r="AO50" i="12"/>
  <c r="AN50" i="12"/>
  <c r="AN27" i="12"/>
  <c r="AO27" i="12"/>
  <c r="AN38" i="12"/>
  <c r="AO38" i="12"/>
  <c r="AN71" i="12"/>
  <c r="AO71" i="12"/>
  <c r="AN31" i="12"/>
  <c r="AO31" i="12"/>
  <c r="AN32" i="12"/>
  <c r="AO32" i="12"/>
  <c r="AN66" i="12"/>
  <c r="AO66" i="12"/>
  <c r="AN55" i="12"/>
  <c r="AO55" i="12"/>
  <c r="AN44" i="12"/>
  <c r="AO44" i="12"/>
  <c r="AN76" i="12"/>
  <c r="AO76" i="12"/>
  <c r="AO37" i="12"/>
  <c r="AN37" i="12"/>
  <c r="AO69" i="12"/>
  <c r="AN69" i="12"/>
  <c r="AO58" i="12"/>
  <c r="AN58" i="12"/>
  <c r="AO67" i="12"/>
  <c r="AN67" i="12"/>
  <c r="AN78" i="12"/>
  <c r="AO78" i="12"/>
  <c r="AN63" i="12"/>
  <c r="AO63" i="12"/>
  <c r="AN48" i="12"/>
  <c r="AO48" i="12"/>
  <c r="AN43" i="12"/>
  <c r="AO43" i="12"/>
  <c r="AO101" i="12"/>
  <c r="AN101" i="12"/>
  <c r="D139" i="12"/>
  <c r="L136" i="12"/>
  <c r="P136" i="12"/>
  <c r="V136" i="12"/>
  <c r="X136" i="12"/>
  <c r="H136" i="12"/>
  <c r="N136" i="12"/>
  <c r="AD136" i="12"/>
  <c r="F139" i="12"/>
  <c r="AD139" i="12"/>
  <c r="T140" i="12"/>
  <c r="X140" i="12"/>
  <c r="R140" i="12"/>
  <c r="Z136" i="12"/>
  <c r="F136" i="12"/>
  <c r="T139" i="12"/>
  <c r="F140" i="12"/>
  <c r="P140" i="12"/>
  <c r="J140" i="12"/>
  <c r="AD140" i="12"/>
  <c r="J139" i="12"/>
  <c r="L139" i="12"/>
  <c r="H139" i="12"/>
  <c r="V139" i="12"/>
  <c r="R139" i="12"/>
  <c r="N139" i="12"/>
  <c r="D140" i="12"/>
  <c r="H140" i="12"/>
  <c r="V140" i="12"/>
  <c r="J136" i="12"/>
  <c r="T136" i="12"/>
  <c r="R136" i="12"/>
  <c r="AO14" i="12"/>
  <c r="AN14" i="12"/>
  <c r="Z139" i="12"/>
  <c r="X139" i="12"/>
  <c r="N140" i="12"/>
  <c r="L140" i="12"/>
  <c r="AD19" i="12"/>
  <c r="V22" i="12"/>
  <c r="X28" i="12"/>
  <c r="L21" i="12"/>
  <c r="J25" i="12"/>
  <c r="X14" i="12"/>
  <c r="L39" i="12"/>
  <c r="P32" i="12"/>
  <c r="Z21" i="12"/>
  <c r="V17" i="12"/>
  <c r="P14" i="12"/>
  <c r="L38" i="12"/>
  <c r="J18" i="12"/>
  <c r="J31" i="12"/>
  <c r="H39" i="12"/>
  <c r="P28" i="12"/>
  <c r="AD16" i="12"/>
  <c r="AD17" i="12"/>
  <c r="P18" i="12"/>
  <c r="H14" i="12"/>
  <c r="T38" i="12"/>
  <c r="Z16" i="12"/>
  <c r="R37" i="12"/>
  <c r="L30" i="12"/>
  <c r="J24" i="12"/>
  <c r="X24" i="12"/>
  <c r="P30" i="12"/>
  <c r="N15" i="12"/>
  <c r="V15" i="12"/>
  <c r="N31" i="12"/>
  <c r="R40" i="12"/>
  <c r="J17" i="12"/>
  <c r="V34" i="12"/>
  <c r="AD34" i="12"/>
  <c r="R31" i="12"/>
  <c r="X21" i="12"/>
  <c r="N36" i="12"/>
  <c r="L31" i="12"/>
  <c r="P31" i="12"/>
  <c r="P20" i="12"/>
  <c r="Z22" i="12"/>
  <c r="X17" i="12"/>
  <c r="H22" i="12"/>
  <c r="H36" i="12"/>
  <c r="T33" i="12"/>
  <c r="X38" i="12"/>
  <c r="R20" i="12"/>
  <c r="N35" i="12"/>
  <c r="P38" i="12"/>
  <c r="AD20" i="12"/>
  <c r="AD29" i="12"/>
  <c r="R30" i="12"/>
  <c r="H34" i="12"/>
  <c r="R14" i="12"/>
  <c r="L17" i="12"/>
  <c r="Z38" i="12"/>
  <c r="P40" i="12"/>
  <c r="J23" i="12"/>
  <c r="Z15" i="12"/>
  <c r="Z26" i="12"/>
  <c r="L18" i="12"/>
  <c r="H21" i="12"/>
  <c r="H24" i="12"/>
  <c r="J35" i="12"/>
  <c r="R33" i="12"/>
  <c r="Z37" i="12"/>
  <c r="AD38" i="12"/>
  <c r="N24" i="12"/>
  <c r="L33" i="12"/>
  <c r="L19" i="12"/>
  <c r="X36" i="12"/>
  <c r="X30" i="12"/>
  <c r="AD15" i="12"/>
  <c r="T35" i="12"/>
  <c r="P36" i="12"/>
  <c r="N20" i="12"/>
  <c r="T14" i="12"/>
  <c r="X34" i="12"/>
  <c r="V36" i="12"/>
  <c r="P15" i="12"/>
  <c r="X33" i="12"/>
  <c r="P21" i="12"/>
  <c r="L22" i="12"/>
  <c r="N39" i="12"/>
  <c r="N19" i="12"/>
  <c r="L35" i="12"/>
  <c r="P19" i="12"/>
  <c r="H26" i="12"/>
  <c r="AD24" i="12"/>
  <c r="AD25" i="12"/>
  <c r="X29" i="12"/>
  <c r="P22" i="12"/>
  <c r="P23" i="12"/>
  <c r="X23" i="12"/>
  <c r="V31" i="12"/>
  <c r="P35" i="12"/>
  <c r="J14" i="12"/>
  <c r="Z24" i="12"/>
  <c r="R29" i="12"/>
  <c r="V26" i="12"/>
  <c r="H17" i="12"/>
  <c r="T16" i="12"/>
  <c r="Z25" i="12"/>
  <c r="P33" i="12"/>
  <c r="P26" i="12"/>
  <c r="AD27" i="12"/>
  <c r="H23" i="12"/>
  <c r="Z31" i="12"/>
  <c r="R39" i="12"/>
  <c r="R21" i="12"/>
  <c r="T30" i="12"/>
  <c r="R19" i="12"/>
  <c r="P27" i="12"/>
  <c r="X16" i="12"/>
  <c r="Z23" i="12"/>
  <c r="V35" i="12"/>
  <c r="T17" i="12"/>
  <c r="X22" i="12"/>
  <c r="P24" i="12"/>
  <c r="T19" i="12"/>
  <c r="T34" i="12"/>
  <c r="AD28" i="12"/>
  <c r="AD37" i="12"/>
  <c r="L34" i="12"/>
  <c r="Z39" i="12"/>
  <c r="L36" i="12"/>
  <c r="L24" i="12"/>
  <c r="T28" i="12"/>
  <c r="V16" i="12"/>
  <c r="V18" i="12"/>
  <c r="J33" i="12"/>
  <c r="T31" i="12"/>
  <c r="H37" i="12"/>
  <c r="Z40" i="12"/>
  <c r="J19" i="12"/>
  <c r="R23" i="12"/>
  <c r="V28" i="12"/>
  <c r="N27" i="12"/>
  <c r="AD23" i="12"/>
  <c r="H32" i="12"/>
  <c r="X18" i="12"/>
  <c r="H27" i="12"/>
  <c r="T21" i="12"/>
  <c r="H15" i="12"/>
  <c r="AD31" i="12"/>
  <c r="P17" i="12"/>
  <c r="T26" i="12"/>
  <c r="T25" i="12"/>
  <c r="Z20" i="12"/>
  <c r="L40" i="12"/>
  <c r="Z14" i="12"/>
  <c r="L23" i="12"/>
  <c r="T32" i="12"/>
  <c r="X32" i="12"/>
  <c r="R26" i="12"/>
  <c r="Z36" i="12"/>
  <c r="R28" i="12"/>
  <c r="N23" i="12"/>
  <c r="V29" i="12"/>
  <c r="T15" i="12"/>
  <c r="R15" i="12"/>
  <c r="AD32" i="12"/>
  <c r="N33" i="12"/>
  <c r="X20" i="12"/>
  <c r="J30" i="12"/>
  <c r="R18" i="12"/>
  <c r="X27" i="12"/>
  <c r="J36" i="12"/>
  <c r="R34" i="12"/>
  <c r="H31" i="12"/>
  <c r="T23" i="12"/>
  <c r="J32" i="12"/>
  <c r="V40" i="12"/>
  <c r="H33" i="12"/>
  <c r="Z34" i="12"/>
  <c r="N16" i="12"/>
  <c r="J37" i="12"/>
  <c r="AD18" i="12"/>
  <c r="AD35" i="12"/>
  <c r="V19" i="12"/>
  <c r="N28" i="12"/>
  <c r="T29" i="12"/>
  <c r="R38" i="12"/>
  <c r="H29" i="12"/>
  <c r="Z28" i="12"/>
  <c r="R35" i="12"/>
  <c r="H20" i="12"/>
  <c r="T36" i="12"/>
  <c r="V30" i="12"/>
  <c r="Z29" i="12"/>
  <c r="R22" i="12"/>
  <c r="R24" i="12"/>
  <c r="T37" i="12"/>
  <c r="R32" i="12"/>
  <c r="AD36" i="12"/>
  <c r="V24" i="12"/>
  <c r="X15" i="12"/>
  <c r="N40" i="12"/>
  <c r="P16" i="12"/>
  <c r="X35" i="12"/>
  <c r="N29" i="12"/>
  <c r="T22" i="12"/>
  <c r="J22" i="12"/>
  <c r="N26" i="12"/>
  <c r="V27" i="12"/>
  <c r="J38" i="12"/>
  <c r="V39" i="12"/>
  <c r="T40" i="12"/>
  <c r="L14" i="12"/>
  <c r="J39" i="12"/>
  <c r="AD14" i="12"/>
  <c r="AD39" i="12"/>
  <c r="H40" i="12"/>
  <c r="J26" i="12"/>
  <c r="Z35" i="12"/>
  <c r="J29" i="12"/>
  <c r="X31" i="12"/>
  <c r="AD30" i="12"/>
  <c r="AD33" i="12"/>
  <c r="R16" i="12"/>
  <c r="X37" i="12"/>
  <c r="L20" i="12"/>
  <c r="L28" i="12"/>
  <c r="L16" i="12"/>
  <c r="N21" i="12"/>
  <c r="N18" i="12"/>
  <c r="T39" i="12"/>
  <c r="Z33" i="12"/>
  <c r="R25" i="12"/>
  <c r="V37" i="12"/>
  <c r="V14" i="12"/>
  <c r="V33" i="12"/>
  <c r="N30" i="12"/>
  <c r="V32" i="12"/>
  <c r="N38" i="12"/>
  <c r="AD40" i="12"/>
  <c r="L27" i="12"/>
  <c r="L29" i="12"/>
  <c r="H25" i="12"/>
  <c r="X26" i="12"/>
  <c r="J15" i="12"/>
  <c r="T24" i="12"/>
  <c r="X25" i="12"/>
  <c r="N37" i="12"/>
  <c r="V20" i="12"/>
  <c r="N34" i="12"/>
  <c r="P25" i="12"/>
  <c r="V23" i="12"/>
  <c r="L26" i="12"/>
  <c r="T27" i="12"/>
  <c r="Z32" i="12"/>
  <c r="X39" i="12"/>
  <c r="P29" i="12"/>
  <c r="L15" i="12"/>
  <c r="R17" i="12"/>
  <c r="Z18" i="12"/>
  <c r="R27" i="12"/>
  <c r="R36" i="12"/>
  <c r="N22" i="12"/>
  <c r="P37" i="12"/>
  <c r="Z19" i="12"/>
  <c r="H19" i="12"/>
  <c r="T20" i="12"/>
  <c r="N32" i="12"/>
  <c r="AD21" i="12"/>
  <c r="H38" i="12"/>
  <c r="L32" i="12"/>
  <c r="T18" i="12"/>
  <c r="L25" i="12"/>
  <c r="J28" i="12"/>
  <c r="X40" i="12"/>
  <c r="Z17" i="12"/>
  <c r="V38" i="12"/>
  <c r="Z30" i="12"/>
  <c r="N25" i="12"/>
  <c r="H30" i="12"/>
  <c r="H28" i="12"/>
  <c r="L37" i="12"/>
  <c r="J34" i="12"/>
  <c r="F34" i="12"/>
  <c r="D34" i="12"/>
  <c r="F17" i="12"/>
  <c r="D17" i="12"/>
  <c r="J16" i="12"/>
  <c r="D16" i="12"/>
  <c r="F16" i="12"/>
  <c r="F26" i="12"/>
  <c r="D26" i="12"/>
  <c r="J27" i="12"/>
  <c r="D27" i="12"/>
  <c r="F27" i="12"/>
  <c r="J21" i="12"/>
  <c r="F21" i="12"/>
  <c r="D21" i="12"/>
  <c r="F20" i="12"/>
  <c r="D20" i="12"/>
  <c r="D18" i="12"/>
  <c r="F18" i="12"/>
  <c r="D25" i="12"/>
  <c r="F25" i="12"/>
  <c r="F35" i="12"/>
  <c r="D35" i="12"/>
  <c r="F19" i="12"/>
  <c r="D19" i="12"/>
  <c r="F22" i="12"/>
  <c r="D22" i="12"/>
  <c r="F38" i="12"/>
  <c r="F24" i="12"/>
  <c r="D64" i="12"/>
  <c r="F64" i="12"/>
  <c r="F55" i="12"/>
  <c r="F36" i="12"/>
  <c r="F30" i="12"/>
  <c r="D61" i="12"/>
  <c r="F61" i="12"/>
  <c r="D39" i="12"/>
  <c r="F39" i="12"/>
  <c r="D33" i="12"/>
  <c r="F37" i="12"/>
  <c r="F23" i="12"/>
  <c r="F31" i="12"/>
  <c r="F72" i="12"/>
  <c r="F62" i="12"/>
  <c r="F32" i="12"/>
  <c r="F29" i="12"/>
  <c r="F63" i="12"/>
  <c r="F45" i="12"/>
  <c r="F71" i="12"/>
  <c r="F28" i="12"/>
  <c r="F41" i="12"/>
  <c r="F15" i="12"/>
  <c r="N14" i="12"/>
  <c r="D14" i="12"/>
  <c r="D41" i="12"/>
  <c r="J40" i="12"/>
  <c r="D40" i="12"/>
  <c r="AH83" i="12"/>
  <c r="AH104" i="12"/>
  <c r="AG10" i="12"/>
  <c r="K29" i="8" s="1"/>
  <c r="AI114" i="12"/>
  <c r="AI130" i="12"/>
  <c r="AI119" i="12"/>
  <c r="AI135" i="12"/>
  <c r="AI112" i="12"/>
  <c r="AI128" i="12"/>
  <c r="AI80" i="12"/>
  <c r="AI77" i="12"/>
  <c r="B77" i="12" s="1"/>
  <c r="J77" i="12" s="1"/>
  <c r="AI118" i="12"/>
  <c r="AI134" i="12"/>
  <c r="AI107" i="12"/>
  <c r="AI123" i="12"/>
  <c r="AI116" i="12"/>
  <c r="AI132" i="12"/>
  <c r="AI117" i="12"/>
  <c r="AI105" i="12"/>
  <c r="AI129" i="12"/>
  <c r="AI113" i="12"/>
  <c r="AI101" i="12"/>
  <c r="AI82" i="12"/>
  <c r="AI106" i="12"/>
  <c r="AI122" i="12"/>
  <c r="AI104" i="12"/>
  <c r="AI111" i="12"/>
  <c r="AI127" i="12"/>
  <c r="AI120" i="12"/>
  <c r="AI133" i="12"/>
  <c r="AI121" i="12"/>
  <c r="AI109" i="12"/>
  <c r="AI79" i="12"/>
  <c r="AI78" i="12"/>
  <c r="AI110" i="12"/>
  <c r="AI126" i="12"/>
  <c r="AI115" i="12"/>
  <c r="AI131" i="12"/>
  <c r="AI108" i="12"/>
  <c r="AI124" i="12"/>
  <c r="AI125" i="12"/>
  <c r="AI83" i="12"/>
  <c r="B83" i="12" s="1"/>
  <c r="AI81" i="12"/>
  <c r="AH77" i="12"/>
  <c r="AG9" i="12"/>
  <c r="AH119" i="12"/>
  <c r="N8" i="8"/>
  <c r="N29" i="8" l="1"/>
  <c r="S9" i="12"/>
  <c r="J22" i="8" s="1"/>
  <c r="U9" i="12"/>
  <c r="J23" i="8" s="1"/>
  <c r="Q9" i="12"/>
  <c r="J21" i="8" s="1"/>
  <c r="W9" i="12"/>
  <c r="J24" i="8" s="1"/>
  <c r="F77" i="12"/>
  <c r="P77" i="12"/>
  <c r="B122" i="12"/>
  <c r="X122" i="12" s="1"/>
  <c r="B129" i="12"/>
  <c r="X129" i="12" s="1"/>
  <c r="B109" i="12"/>
  <c r="X109" i="12" s="1"/>
  <c r="B125" i="12"/>
  <c r="X125" i="12" s="1"/>
  <c r="B119" i="12"/>
  <c r="X119" i="12" s="1"/>
  <c r="B105" i="12"/>
  <c r="X105" i="12" s="1"/>
  <c r="B134" i="12"/>
  <c r="X134" i="12" s="1"/>
  <c r="B130" i="12"/>
  <c r="X130" i="12" s="1"/>
  <c r="B135" i="12"/>
  <c r="X135" i="12" s="1"/>
  <c r="B123" i="12"/>
  <c r="X123" i="12" s="1"/>
  <c r="B128" i="12"/>
  <c r="X128" i="12" s="1"/>
  <c r="B133" i="12"/>
  <c r="X133" i="12" s="1"/>
  <c r="B110" i="12"/>
  <c r="X110" i="12" s="1"/>
  <c r="B132" i="12"/>
  <c r="X132" i="12" s="1"/>
  <c r="B127" i="12"/>
  <c r="X127" i="12" s="1"/>
  <c r="B121" i="12"/>
  <c r="X121" i="12" s="1"/>
  <c r="B120" i="12"/>
  <c r="X120" i="12" s="1"/>
  <c r="B131" i="12"/>
  <c r="X131" i="12" s="1"/>
  <c r="B81" i="12"/>
  <c r="J81" i="12" s="1"/>
  <c r="B78" i="12"/>
  <c r="J78" i="12" s="1"/>
  <c r="B115" i="12"/>
  <c r="X115" i="12" s="1"/>
  <c r="B106" i="12"/>
  <c r="X106" i="12" s="1"/>
  <c r="B113" i="12"/>
  <c r="X113" i="12" s="1"/>
  <c r="B118" i="12"/>
  <c r="X118" i="12" s="1"/>
  <c r="B112" i="12"/>
  <c r="X112" i="12" s="1"/>
  <c r="B101" i="12"/>
  <c r="J101" i="12" s="1"/>
  <c r="B82" i="12"/>
  <c r="J82" i="12" s="1"/>
  <c r="B117" i="12"/>
  <c r="X117" i="12" s="1"/>
  <c r="B104" i="12"/>
  <c r="X104" i="12" s="1"/>
  <c r="B114" i="12"/>
  <c r="X114" i="12" s="1"/>
  <c r="B124" i="12"/>
  <c r="X124" i="12" s="1"/>
  <c r="B107" i="12"/>
  <c r="X107" i="12" s="1"/>
  <c r="B80" i="12"/>
  <c r="J80" i="12" s="1"/>
  <c r="B108" i="12"/>
  <c r="X108" i="12" s="1"/>
  <c r="B126" i="12"/>
  <c r="X126" i="12" s="1"/>
  <c r="B111" i="12"/>
  <c r="X111" i="12" s="1"/>
  <c r="B116" i="12"/>
  <c r="X116" i="12" s="1"/>
  <c r="AF77" i="12"/>
  <c r="B79" i="12"/>
  <c r="J79" i="12" s="1"/>
  <c r="W10" i="12" l="1"/>
  <c r="J108" i="12"/>
  <c r="T108" i="12"/>
  <c r="R108" i="12"/>
  <c r="V108" i="12"/>
  <c r="T104" i="12"/>
  <c r="R104" i="12"/>
  <c r="V104" i="12"/>
  <c r="V112" i="12"/>
  <c r="T112" i="12"/>
  <c r="R112" i="12"/>
  <c r="V115" i="12"/>
  <c r="T115" i="12"/>
  <c r="R115" i="12"/>
  <c r="J120" i="12"/>
  <c r="V120" i="12"/>
  <c r="T120" i="12"/>
  <c r="R120" i="12"/>
  <c r="V110" i="12"/>
  <c r="T110" i="12"/>
  <c r="R110" i="12"/>
  <c r="V135" i="12"/>
  <c r="R135" i="12"/>
  <c r="T135" i="12"/>
  <c r="T119" i="12"/>
  <c r="R119" i="12"/>
  <c r="V119" i="12"/>
  <c r="J122" i="12"/>
  <c r="T122" i="12"/>
  <c r="R122" i="12"/>
  <c r="V122" i="12"/>
  <c r="T111" i="12"/>
  <c r="V111" i="12"/>
  <c r="R111" i="12"/>
  <c r="T107" i="12"/>
  <c r="R107" i="12"/>
  <c r="V107" i="12"/>
  <c r="J117" i="12"/>
  <c r="R117" i="12"/>
  <c r="V117" i="12"/>
  <c r="T117" i="12"/>
  <c r="J118" i="12"/>
  <c r="R118" i="12"/>
  <c r="V118" i="12"/>
  <c r="T118" i="12"/>
  <c r="T121" i="12"/>
  <c r="V121" i="12"/>
  <c r="R121" i="12"/>
  <c r="J133" i="12"/>
  <c r="T133" i="12"/>
  <c r="V133" i="12"/>
  <c r="R133" i="12"/>
  <c r="R130" i="12"/>
  <c r="V130" i="12"/>
  <c r="T130" i="12"/>
  <c r="R125" i="12"/>
  <c r="T125" i="12"/>
  <c r="V125" i="12"/>
  <c r="V116" i="12"/>
  <c r="R116" i="12"/>
  <c r="T116" i="12"/>
  <c r="R126" i="12"/>
  <c r="V126" i="12"/>
  <c r="T126" i="12"/>
  <c r="T124" i="12"/>
  <c r="R124" i="12"/>
  <c r="V124" i="12"/>
  <c r="J113" i="12"/>
  <c r="R113" i="12"/>
  <c r="V113" i="12"/>
  <c r="T113" i="12"/>
  <c r="R127" i="12"/>
  <c r="V127" i="12"/>
  <c r="T127" i="12"/>
  <c r="J128" i="12"/>
  <c r="R128" i="12"/>
  <c r="T128" i="12"/>
  <c r="V128" i="12"/>
  <c r="J134" i="12"/>
  <c r="R134" i="12"/>
  <c r="T134" i="12"/>
  <c r="V134" i="12"/>
  <c r="V109" i="12"/>
  <c r="T109" i="12"/>
  <c r="R109" i="12"/>
  <c r="V114" i="12"/>
  <c r="T114" i="12"/>
  <c r="R114" i="12"/>
  <c r="V106" i="12"/>
  <c r="T106" i="12"/>
  <c r="R106" i="12"/>
  <c r="R131" i="12"/>
  <c r="T131" i="12"/>
  <c r="V131" i="12"/>
  <c r="J132" i="12"/>
  <c r="V132" i="12"/>
  <c r="R132" i="12"/>
  <c r="T132" i="12"/>
  <c r="R123" i="12"/>
  <c r="T123" i="12"/>
  <c r="V123" i="12"/>
  <c r="R105" i="12"/>
  <c r="V105" i="12"/>
  <c r="T105" i="12"/>
  <c r="J129" i="12"/>
  <c r="T129" i="12"/>
  <c r="V129" i="12"/>
  <c r="R129" i="12"/>
  <c r="I9" i="12"/>
  <c r="J17" i="8" s="1"/>
  <c r="P106" i="12"/>
  <c r="J106" i="12"/>
  <c r="P131" i="12"/>
  <c r="J131" i="12"/>
  <c r="P111" i="12"/>
  <c r="J111" i="12"/>
  <c r="P104" i="12"/>
  <c r="J104" i="12"/>
  <c r="P112" i="12"/>
  <c r="J112" i="12"/>
  <c r="P115" i="12"/>
  <c r="J115" i="12"/>
  <c r="P110" i="12"/>
  <c r="J110" i="12"/>
  <c r="P135" i="12"/>
  <c r="J135" i="12"/>
  <c r="P119" i="12"/>
  <c r="J119" i="12"/>
  <c r="P123" i="12"/>
  <c r="J123" i="12"/>
  <c r="P126" i="12"/>
  <c r="J126" i="12"/>
  <c r="P107" i="12"/>
  <c r="J107" i="12"/>
  <c r="P121" i="12"/>
  <c r="J121" i="12"/>
  <c r="P130" i="12"/>
  <c r="J130" i="12"/>
  <c r="P125" i="12"/>
  <c r="J125" i="12"/>
  <c r="P116" i="12"/>
  <c r="J116" i="12"/>
  <c r="P114" i="12"/>
  <c r="J114" i="12"/>
  <c r="P105" i="12"/>
  <c r="J105" i="12"/>
  <c r="P124" i="12"/>
  <c r="J124" i="12"/>
  <c r="P127" i="12"/>
  <c r="J127" i="12"/>
  <c r="P109" i="12"/>
  <c r="J109" i="12"/>
  <c r="AF83" i="12"/>
  <c r="AF101" i="12"/>
  <c r="P101" i="12"/>
  <c r="AF132" i="12"/>
  <c r="P132" i="12"/>
  <c r="AF129" i="12"/>
  <c r="P129" i="12"/>
  <c r="AF120" i="12"/>
  <c r="P120" i="12"/>
  <c r="AF122" i="12"/>
  <c r="P122" i="12"/>
  <c r="AF117" i="12"/>
  <c r="P117" i="12"/>
  <c r="AF118" i="12"/>
  <c r="P118" i="12"/>
  <c r="AF78" i="12"/>
  <c r="P78" i="12"/>
  <c r="AF133" i="12"/>
  <c r="P133" i="12"/>
  <c r="AF80" i="12"/>
  <c r="P80" i="12"/>
  <c r="AF79" i="12"/>
  <c r="P79" i="12"/>
  <c r="AF108" i="12"/>
  <c r="P108" i="12"/>
  <c r="AF82" i="12"/>
  <c r="P82" i="12"/>
  <c r="AF113" i="12"/>
  <c r="P113" i="12"/>
  <c r="AF81" i="12"/>
  <c r="P81" i="12"/>
  <c r="AF128" i="12"/>
  <c r="P128" i="12"/>
  <c r="AF134" i="12"/>
  <c r="P134" i="12"/>
  <c r="AF124" i="12"/>
  <c r="D124" i="12"/>
  <c r="AF127" i="12"/>
  <c r="D127" i="12"/>
  <c r="AF131" i="12"/>
  <c r="D131" i="12"/>
  <c r="AF123" i="12"/>
  <c r="D123" i="12"/>
  <c r="AF111" i="12"/>
  <c r="D111" i="12"/>
  <c r="AF104" i="12"/>
  <c r="D104" i="12"/>
  <c r="AF112" i="12"/>
  <c r="D112" i="12"/>
  <c r="AF115" i="12"/>
  <c r="D115" i="12"/>
  <c r="AF110" i="12"/>
  <c r="D110" i="12"/>
  <c r="AF135" i="12"/>
  <c r="D135" i="12"/>
  <c r="AF119" i="12"/>
  <c r="D119" i="12"/>
  <c r="AF109" i="12"/>
  <c r="D109" i="12"/>
  <c r="AF116" i="12"/>
  <c r="D116" i="12"/>
  <c r="AF114" i="12"/>
  <c r="D114" i="12"/>
  <c r="AF106" i="12"/>
  <c r="D106" i="12"/>
  <c r="AF105" i="12"/>
  <c r="D105" i="12"/>
  <c r="AF126" i="12"/>
  <c r="D126" i="12"/>
  <c r="AF107" i="12"/>
  <c r="D107" i="12"/>
  <c r="AF121" i="12"/>
  <c r="D121" i="12"/>
  <c r="AF130" i="12"/>
  <c r="D130" i="12"/>
  <c r="AF125" i="12"/>
  <c r="D125" i="12"/>
  <c r="AJ116" i="12"/>
  <c r="AJ108" i="12"/>
  <c r="AE9" i="12"/>
  <c r="AJ111" i="12"/>
  <c r="AJ126" i="12"/>
  <c r="AJ112" i="12"/>
  <c r="AJ121" i="12"/>
  <c r="AJ109" i="12"/>
  <c r="AJ119" i="12"/>
  <c r="AJ101" i="12"/>
  <c r="AJ115" i="12"/>
  <c r="AJ124" i="12"/>
  <c r="AJ82" i="12"/>
  <c r="AJ78" i="12"/>
  <c r="AJ114" i="12"/>
  <c r="AJ117" i="12"/>
  <c r="AJ134" i="12"/>
  <c r="AJ122" i="12"/>
  <c r="AJ118" i="12"/>
  <c r="AJ127" i="12"/>
  <c r="AJ131" i="12"/>
  <c r="AJ129" i="12"/>
  <c r="AJ80" i="12"/>
  <c r="AJ113" i="12"/>
  <c r="AJ135" i="12"/>
  <c r="AJ123" i="12"/>
  <c r="AJ133" i="12"/>
  <c r="AJ83" i="12"/>
  <c r="AJ77" i="12"/>
  <c r="AJ104" i="12"/>
  <c r="AJ132" i="12"/>
  <c r="AJ120" i="12"/>
  <c r="AJ125" i="12"/>
  <c r="AJ130" i="12"/>
  <c r="AJ107" i="12"/>
  <c r="AJ106" i="12"/>
  <c r="AJ110" i="12"/>
  <c r="AJ128" i="12"/>
  <c r="AJ105" i="12"/>
  <c r="AJ79" i="12"/>
  <c r="AJ81" i="12"/>
  <c r="AE10" i="12"/>
  <c r="K28" i="8" s="1"/>
  <c r="N28" i="8" s="1"/>
  <c r="AB80" i="12"/>
  <c r="AD80" i="12"/>
  <c r="AB111" i="12"/>
  <c r="AD111" i="12"/>
  <c r="AB126" i="12"/>
  <c r="AD126" i="12"/>
  <c r="AB107" i="12"/>
  <c r="AD107" i="12"/>
  <c r="AB112" i="12"/>
  <c r="AD112" i="12"/>
  <c r="AB131" i="12"/>
  <c r="AD131" i="12"/>
  <c r="AB127" i="12"/>
  <c r="AD127" i="12"/>
  <c r="AB128" i="12"/>
  <c r="AD128" i="12"/>
  <c r="AB130" i="12"/>
  <c r="AD130" i="12"/>
  <c r="AB129" i="12"/>
  <c r="AD129" i="12"/>
  <c r="AB124" i="12"/>
  <c r="AD124" i="12"/>
  <c r="AB114" i="12"/>
  <c r="AD114" i="12"/>
  <c r="AB115" i="12"/>
  <c r="AD115" i="12"/>
  <c r="AB132" i="12"/>
  <c r="AD132" i="12"/>
  <c r="AB134" i="12"/>
  <c r="AD134" i="12"/>
  <c r="AB122" i="12"/>
  <c r="AD122" i="12"/>
  <c r="AB79" i="12"/>
  <c r="AD79" i="12"/>
  <c r="AB116" i="12"/>
  <c r="AD116" i="12"/>
  <c r="AB108" i="12"/>
  <c r="AD108" i="12"/>
  <c r="AB83" i="12"/>
  <c r="AD83" i="12"/>
  <c r="AB104" i="12"/>
  <c r="AD104" i="12"/>
  <c r="AB118" i="12"/>
  <c r="AD118" i="12"/>
  <c r="AB113" i="12"/>
  <c r="AD113" i="12"/>
  <c r="AB78" i="12"/>
  <c r="AD78" i="12"/>
  <c r="AB121" i="12"/>
  <c r="AD121" i="12"/>
  <c r="AB110" i="12"/>
  <c r="AD110" i="12"/>
  <c r="AB123" i="12"/>
  <c r="AD123" i="12"/>
  <c r="AB105" i="12"/>
  <c r="AD105" i="12"/>
  <c r="AB125" i="12"/>
  <c r="AD125" i="12"/>
  <c r="AB77" i="12"/>
  <c r="AD77" i="12"/>
  <c r="AB117" i="12"/>
  <c r="AD117" i="12"/>
  <c r="AB82" i="12"/>
  <c r="AD82" i="12"/>
  <c r="AB101" i="12"/>
  <c r="AD101" i="12"/>
  <c r="AB106" i="12"/>
  <c r="AD106" i="12"/>
  <c r="AB81" i="12"/>
  <c r="AD81" i="12"/>
  <c r="AB120" i="12"/>
  <c r="AD120" i="12"/>
  <c r="AB133" i="12"/>
  <c r="AD133" i="12"/>
  <c r="AB135" i="12"/>
  <c r="AD135" i="12"/>
  <c r="AB119" i="12"/>
  <c r="AD119" i="12"/>
  <c r="AB109" i="12"/>
  <c r="AD109" i="12"/>
  <c r="Z126" i="12"/>
  <c r="Z107" i="12"/>
  <c r="Z112" i="12"/>
  <c r="Z128" i="12"/>
  <c r="Z129" i="12"/>
  <c r="Z124" i="12"/>
  <c r="Z114" i="12"/>
  <c r="Z115" i="12"/>
  <c r="Z132" i="12"/>
  <c r="Z134" i="12"/>
  <c r="Z122" i="12"/>
  <c r="Z77" i="12"/>
  <c r="Z111" i="12"/>
  <c r="Z131" i="12"/>
  <c r="Z127" i="12"/>
  <c r="Z130" i="12"/>
  <c r="Z79" i="12"/>
  <c r="Z116" i="12"/>
  <c r="Z108" i="12"/>
  <c r="Z83" i="12"/>
  <c r="Z104" i="12"/>
  <c r="Z118" i="12"/>
  <c r="Z113" i="12"/>
  <c r="Z78" i="12"/>
  <c r="Z121" i="12"/>
  <c r="Z110" i="12"/>
  <c r="Z123" i="12"/>
  <c r="Z105" i="12"/>
  <c r="Z125" i="12"/>
  <c r="Z80" i="12"/>
  <c r="Z117" i="12"/>
  <c r="Z82" i="12"/>
  <c r="Z101" i="12"/>
  <c r="Z106" i="12"/>
  <c r="Z81" i="12"/>
  <c r="Z120" i="12"/>
  <c r="Z133" i="12"/>
  <c r="Z135" i="12"/>
  <c r="Z119" i="12"/>
  <c r="Z109" i="12"/>
  <c r="L107" i="12"/>
  <c r="N107" i="12"/>
  <c r="L130" i="12"/>
  <c r="N130" i="12"/>
  <c r="L111" i="12"/>
  <c r="N111" i="12"/>
  <c r="L112" i="12"/>
  <c r="N112" i="12"/>
  <c r="L127" i="12"/>
  <c r="N127" i="12"/>
  <c r="L132" i="12"/>
  <c r="N132" i="12"/>
  <c r="L131" i="12"/>
  <c r="N131" i="12"/>
  <c r="L128" i="12"/>
  <c r="N128" i="12"/>
  <c r="L129" i="12"/>
  <c r="N129" i="12"/>
  <c r="L114" i="12"/>
  <c r="N114" i="12"/>
  <c r="L115" i="12"/>
  <c r="N115" i="12"/>
  <c r="L122" i="12"/>
  <c r="N122" i="12"/>
  <c r="L79" i="12"/>
  <c r="N79" i="12"/>
  <c r="L116" i="12"/>
  <c r="N116" i="12"/>
  <c r="L108" i="12"/>
  <c r="N108" i="12"/>
  <c r="L104" i="12"/>
  <c r="N104" i="12"/>
  <c r="L118" i="12"/>
  <c r="N118" i="12"/>
  <c r="L113" i="12"/>
  <c r="N113" i="12"/>
  <c r="L78" i="12"/>
  <c r="N78" i="12"/>
  <c r="L121" i="12"/>
  <c r="N121" i="12"/>
  <c r="L110" i="12"/>
  <c r="N110" i="12"/>
  <c r="L123" i="12"/>
  <c r="N123" i="12"/>
  <c r="L105" i="12"/>
  <c r="N105" i="12"/>
  <c r="L125" i="12"/>
  <c r="N125" i="12"/>
  <c r="L126" i="12"/>
  <c r="N126" i="12"/>
  <c r="L124" i="12"/>
  <c r="N124" i="12"/>
  <c r="L134" i="12"/>
  <c r="N134" i="12"/>
  <c r="L77" i="12"/>
  <c r="N77" i="12"/>
  <c r="L80" i="12"/>
  <c r="N80" i="12"/>
  <c r="L117" i="12"/>
  <c r="N117" i="12"/>
  <c r="L82" i="12"/>
  <c r="N82" i="12"/>
  <c r="L101" i="12"/>
  <c r="N101" i="12"/>
  <c r="L106" i="12"/>
  <c r="N106" i="12"/>
  <c r="L81" i="12"/>
  <c r="N81" i="12"/>
  <c r="L120" i="12"/>
  <c r="N120" i="12"/>
  <c r="L133" i="12"/>
  <c r="N133" i="12"/>
  <c r="L135" i="12"/>
  <c r="N135" i="12"/>
  <c r="L119" i="12"/>
  <c r="N119" i="12"/>
  <c r="L109" i="12"/>
  <c r="N109" i="12"/>
  <c r="D80" i="12"/>
  <c r="F80" i="12"/>
  <c r="H80" i="12"/>
  <c r="H111" i="12"/>
  <c r="F111" i="12"/>
  <c r="F126" i="12"/>
  <c r="H126" i="12"/>
  <c r="H107" i="12"/>
  <c r="F107" i="12"/>
  <c r="H112" i="12"/>
  <c r="F112" i="12"/>
  <c r="H131" i="12"/>
  <c r="F131" i="12"/>
  <c r="H127" i="12"/>
  <c r="F127" i="12"/>
  <c r="D128" i="12"/>
  <c r="H128" i="12"/>
  <c r="F128" i="12"/>
  <c r="H130" i="12"/>
  <c r="F130" i="12"/>
  <c r="D129" i="12"/>
  <c r="F129" i="12"/>
  <c r="H129" i="12"/>
  <c r="F124" i="12"/>
  <c r="H124" i="12"/>
  <c r="H114" i="12"/>
  <c r="F114" i="12"/>
  <c r="F115" i="12"/>
  <c r="H115" i="12"/>
  <c r="D132" i="12"/>
  <c r="F132" i="12"/>
  <c r="H132" i="12"/>
  <c r="D134" i="12"/>
  <c r="F134" i="12"/>
  <c r="H134" i="12"/>
  <c r="D122" i="12"/>
  <c r="H122" i="12"/>
  <c r="F122" i="12"/>
  <c r="D79" i="12"/>
  <c r="F79" i="12"/>
  <c r="H79" i="12"/>
  <c r="H116" i="12"/>
  <c r="F116" i="12"/>
  <c r="D108" i="12"/>
  <c r="H108" i="12"/>
  <c r="F108" i="12"/>
  <c r="F104" i="12"/>
  <c r="H104" i="12"/>
  <c r="D118" i="12"/>
  <c r="F118" i="12"/>
  <c r="H118" i="12"/>
  <c r="D113" i="12"/>
  <c r="H113" i="12"/>
  <c r="F113" i="12"/>
  <c r="D78" i="12"/>
  <c r="F78" i="12"/>
  <c r="H78" i="12"/>
  <c r="H121" i="12"/>
  <c r="F121" i="12"/>
  <c r="H110" i="12"/>
  <c r="F110" i="12"/>
  <c r="F123" i="12"/>
  <c r="H123" i="12"/>
  <c r="F105" i="12"/>
  <c r="H105" i="12"/>
  <c r="H125" i="12"/>
  <c r="F125" i="12"/>
  <c r="D77" i="12"/>
  <c r="H77" i="12"/>
  <c r="D117" i="12"/>
  <c r="F117" i="12"/>
  <c r="H117" i="12"/>
  <c r="D82" i="12"/>
  <c r="F82" i="12"/>
  <c r="H82" i="12"/>
  <c r="D101" i="12"/>
  <c r="F101" i="12"/>
  <c r="H101" i="12"/>
  <c r="H106" i="12"/>
  <c r="F106" i="12"/>
  <c r="D81" i="12"/>
  <c r="H81" i="12"/>
  <c r="F81" i="12"/>
  <c r="D120" i="12"/>
  <c r="H120" i="12"/>
  <c r="F120" i="12"/>
  <c r="D133" i="12"/>
  <c r="H133" i="12"/>
  <c r="F133" i="12"/>
  <c r="H135" i="12"/>
  <c r="F135" i="12"/>
  <c r="F119" i="12"/>
  <c r="H119" i="12"/>
  <c r="F109" i="12"/>
  <c r="H109" i="12"/>
  <c r="I10" i="12" l="1"/>
  <c r="C9" i="12"/>
  <c r="G10" i="12"/>
  <c r="K16" i="8" s="1"/>
  <c r="AC10" i="12"/>
  <c r="K27" i="8" s="1"/>
  <c r="O10" i="12"/>
  <c r="K20" i="8" s="1"/>
  <c r="U10" i="12"/>
  <c r="K23" i="8" s="1"/>
  <c r="N23" i="8" s="1"/>
  <c r="K10" i="12"/>
  <c r="K18" i="8" s="1"/>
  <c r="Y10" i="12"/>
  <c r="K25" i="8" s="1"/>
  <c r="Q10" i="12"/>
  <c r="K21" i="8" s="1"/>
  <c r="N21" i="8" s="1"/>
  <c r="M10" i="12"/>
  <c r="K19" i="8" s="1"/>
  <c r="S10" i="12"/>
  <c r="K22" i="8" s="1"/>
  <c r="N22" i="8" s="1"/>
  <c r="E10" i="12"/>
  <c r="C10" i="12"/>
  <c r="Y9" i="12"/>
  <c r="J25" i="8" s="1"/>
  <c r="AC9" i="12"/>
  <c r="J27" i="8" s="1"/>
  <c r="K24" i="8"/>
  <c r="N24" i="8" s="1"/>
  <c r="W11" i="12"/>
  <c r="E9" i="12"/>
  <c r="M9" i="12"/>
  <c r="J19" i="8" s="1"/>
  <c r="O9" i="12"/>
  <c r="J20" i="8" s="1"/>
  <c r="G9" i="12"/>
  <c r="J16" i="8" s="1"/>
  <c r="K9" i="12"/>
  <c r="J18" i="8" s="1"/>
  <c r="AI10" i="12"/>
  <c r="K30" i="8" s="1"/>
  <c r="N30" i="8" s="1"/>
  <c r="AI9" i="12"/>
  <c r="K26" i="8"/>
  <c r="N26" i="8" s="1"/>
  <c r="AE11" i="12"/>
  <c r="N18" i="8" l="1"/>
  <c r="N16" i="8"/>
  <c r="N27" i="8"/>
  <c r="N20" i="8"/>
  <c r="N25" i="8"/>
  <c r="N19" i="8"/>
  <c r="K17" i="8"/>
  <c r="N17" i="8" s="1"/>
  <c r="I11" i="12"/>
  <c r="O11" i="12"/>
  <c r="C11" i="12"/>
  <c r="AI11" i="12"/>
  <c r="U11" i="12"/>
  <c r="AA11" i="12"/>
  <c r="AC11" i="12"/>
  <c r="Y11" i="12"/>
  <c r="K11" i="12"/>
  <c r="Q11" i="12"/>
  <c r="M11" i="12"/>
  <c r="S11" i="12"/>
  <c r="G11" i="12"/>
  <c r="E11" i="12"/>
  <c r="U14" i="8" l="1"/>
  <c r="U18" i="8"/>
  <c r="U20" i="8"/>
  <c r="U25" i="8"/>
  <c r="U26" i="8"/>
  <c r="U19" i="8"/>
  <c r="U27" i="8"/>
  <c r="U17" i="8"/>
  <c r="U28" i="8"/>
  <c r="U24" i="8"/>
  <c r="U30" i="8"/>
  <c r="U23" i="8"/>
  <c r="U16" i="8"/>
  <c r="U15" i="8"/>
  <c r="U22" i="8"/>
  <c r="U21" i="8"/>
  <c r="U29" i="8"/>
  <c r="O24" i="8" l="1"/>
  <c r="O17" i="8"/>
  <c r="O14" i="8"/>
  <c r="O20" i="8"/>
  <c r="O30" i="8"/>
  <c r="O27" i="8"/>
  <c r="O28" i="8"/>
  <c r="O25" i="8"/>
  <c r="O26" i="8"/>
  <c r="O16" i="8"/>
  <c r="O21" i="8"/>
  <c r="O23" i="8"/>
  <c r="O18" i="8"/>
  <c r="O22" i="8"/>
  <c r="O19" i="8"/>
  <c r="O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author>
  </authors>
  <commentList>
    <comment ref="T11" authorId="0" shapeId="0" xr:uid="{00000000-0006-0000-0300-000001000000}">
      <text>
        <r>
          <rPr>
            <b/>
            <sz val="9"/>
            <color indexed="81"/>
            <rFont val="Tahoma"/>
            <family val="2"/>
          </rPr>
          <t>Gustavo:</t>
        </r>
        <r>
          <rPr>
            <sz val="9"/>
            <color indexed="81"/>
            <rFont val="Tahoma"/>
            <family val="2"/>
          </rPr>
          <t xml:space="preserve">
Experiencia específica
</t>
        </r>
      </text>
    </comment>
    <comment ref="T33" authorId="0" shapeId="0" xr:uid="{00000000-0006-0000-0300-000002000000}">
      <text>
        <r>
          <rPr>
            <b/>
            <sz val="9"/>
            <color indexed="81"/>
            <rFont val="Tahoma"/>
            <family val="2"/>
          </rPr>
          <t>Gustavo:</t>
        </r>
        <r>
          <rPr>
            <sz val="9"/>
            <color indexed="81"/>
            <rFont val="Tahoma"/>
            <family val="2"/>
          </rPr>
          <t xml:space="preserve">
Experiencia específica
</t>
        </r>
      </text>
    </comment>
    <comment ref="T55" authorId="0" shapeId="0" xr:uid="{00000000-0006-0000-0300-000003000000}">
      <text>
        <r>
          <rPr>
            <b/>
            <sz val="9"/>
            <color rgb="FF000000"/>
            <rFont val="Tahoma"/>
            <family val="2"/>
          </rPr>
          <t>Gustavo:</t>
        </r>
        <r>
          <rPr>
            <sz val="9"/>
            <color rgb="FF000000"/>
            <rFont val="Tahoma"/>
            <family val="2"/>
          </rPr>
          <t xml:space="preserve">
</t>
        </r>
        <r>
          <rPr>
            <sz val="9"/>
            <color rgb="FF000000"/>
            <rFont val="Tahoma"/>
            <family val="2"/>
          </rPr>
          <t xml:space="preserve">Experiencia específica
</t>
        </r>
      </text>
    </comment>
    <comment ref="T77" authorId="0" shapeId="0" xr:uid="{00000000-0006-0000-0300-000004000000}">
      <text>
        <r>
          <rPr>
            <b/>
            <sz val="9"/>
            <color indexed="81"/>
            <rFont val="Tahoma"/>
            <family val="2"/>
          </rPr>
          <t>Gustavo:</t>
        </r>
        <r>
          <rPr>
            <sz val="9"/>
            <color indexed="81"/>
            <rFont val="Tahoma"/>
            <family val="2"/>
          </rPr>
          <t xml:space="preserve">
Experiencia específica
</t>
        </r>
      </text>
    </comment>
    <comment ref="T99" authorId="0" shapeId="0" xr:uid="{00000000-0006-0000-0300-000005000000}">
      <text>
        <r>
          <rPr>
            <b/>
            <sz val="9"/>
            <color indexed="81"/>
            <rFont val="Tahoma"/>
            <family val="2"/>
          </rPr>
          <t>Gustavo:</t>
        </r>
        <r>
          <rPr>
            <sz val="9"/>
            <color indexed="81"/>
            <rFont val="Tahoma"/>
            <family val="2"/>
          </rPr>
          <t xml:space="preserve">
Experiencia específica
</t>
        </r>
      </text>
    </comment>
    <comment ref="T121" authorId="0" shapeId="0" xr:uid="{00000000-0006-0000-0300-000006000000}">
      <text>
        <r>
          <rPr>
            <b/>
            <sz val="9"/>
            <color indexed="81"/>
            <rFont val="Tahoma"/>
            <family val="2"/>
          </rPr>
          <t>Gustavo:</t>
        </r>
        <r>
          <rPr>
            <sz val="9"/>
            <color indexed="81"/>
            <rFont val="Tahoma"/>
            <family val="2"/>
          </rPr>
          <t xml:space="preserve">
Experiencia específica
</t>
        </r>
      </text>
    </comment>
    <comment ref="T143" authorId="0" shapeId="0" xr:uid="{00000000-0006-0000-0300-000007000000}">
      <text>
        <r>
          <rPr>
            <b/>
            <sz val="9"/>
            <color indexed="81"/>
            <rFont val="Tahoma"/>
            <family val="2"/>
          </rPr>
          <t>Gustavo:</t>
        </r>
        <r>
          <rPr>
            <sz val="9"/>
            <color indexed="81"/>
            <rFont val="Tahoma"/>
            <family val="2"/>
          </rPr>
          <t xml:space="preserve">
Experiencia específica
</t>
        </r>
      </text>
    </comment>
    <comment ref="T165" authorId="0" shapeId="0" xr:uid="{00000000-0006-0000-0300-000008000000}">
      <text>
        <r>
          <rPr>
            <b/>
            <sz val="9"/>
            <color indexed="81"/>
            <rFont val="Tahoma"/>
            <family val="2"/>
          </rPr>
          <t>Gustavo:</t>
        </r>
        <r>
          <rPr>
            <sz val="9"/>
            <color indexed="81"/>
            <rFont val="Tahoma"/>
            <family val="2"/>
          </rPr>
          <t xml:space="preserve">
Experiencia específica
</t>
        </r>
      </text>
    </comment>
    <comment ref="T187" authorId="0" shapeId="0" xr:uid="{00000000-0006-0000-0300-000009000000}">
      <text>
        <r>
          <rPr>
            <b/>
            <sz val="9"/>
            <color indexed="81"/>
            <rFont val="Tahoma"/>
            <family val="2"/>
          </rPr>
          <t>Gustavo:</t>
        </r>
        <r>
          <rPr>
            <sz val="9"/>
            <color indexed="81"/>
            <rFont val="Tahoma"/>
            <family val="2"/>
          </rPr>
          <t xml:space="preserve">
Experiencia específica
</t>
        </r>
      </text>
    </comment>
    <comment ref="T209" authorId="0" shapeId="0" xr:uid="{00000000-0006-0000-0300-00000A000000}">
      <text>
        <r>
          <rPr>
            <b/>
            <sz val="9"/>
            <color indexed="81"/>
            <rFont val="Tahoma"/>
            <family val="2"/>
          </rPr>
          <t>Gustavo:</t>
        </r>
        <r>
          <rPr>
            <sz val="9"/>
            <color indexed="81"/>
            <rFont val="Tahoma"/>
            <family val="2"/>
          </rPr>
          <t xml:space="preserve">
Experiencia específica
</t>
        </r>
      </text>
    </comment>
    <comment ref="T231" authorId="0" shapeId="0" xr:uid="{00000000-0006-0000-0300-00000B000000}">
      <text>
        <r>
          <rPr>
            <b/>
            <sz val="9"/>
            <color indexed="81"/>
            <rFont val="Tahoma"/>
            <family val="2"/>
          </rPr>
          <t>Gustavo:</t>
        </r>
        <r>
          <rPr>
            <sz val="9"/>
            <color indexed="81"/>
            <rFont val="Tahoma"/>
            <family val="2"/>
          </rPr>
          <t xml:space="preserve">
Experiencia específica
</t>
        </r>
      </text>
    </comment>
    <comment ref="T253" authorId="0" shapeId="0" xr:uid="{00000000-0006-0000-0300-00000C000000}">
      <text>
        <r>
          <rPr>
            <b/>
            <sz val="9"/>
            <color indexed="81"/>
            <rFont val="Tahoma"/>
            <family val="2"/>
          </rPr>
          <t>Gustavo:</t>
        </r>
        <r>
          <rPr>
            <sz val="9"/>
            <color indexed="81"/>
            <rFont val="Tahoma"/>
            <family val="2"/>
          </rPr>
          <t xml:space="preserve">
Experiencia específica
</t>
        </r>
      </text>
    </comment>
    <comment ref="T275" authorId="0" shapeId="0" xr:uid="{00000000-0006-0000-0300-00000D000000}">
      <text>
        <r>
          <rPr>
            <b/>
            <sz val="9"/>
            <color indexed="81"/>
            <rFont val="Tahoma"/>
            <family val="2"/>
          </rPr>
          <t>Gustavo:</t>
        </r>
        <r>
          <rPr>
            <sz val="9"/>
            <color indexed="81"/>
            <rFont val="Tahoma"/>
            <family val="2"/>
          </rPr>
          <t xml:space="preserve">
Experiencia específica
</t>
        </r>
      </text>
    </comment>
    <comment ref="T297" authorId="0" shapeId="0" xr:uid="{00000000-0006-0000-0300-00000E000000}">
      <text>
        <r>
          <rPr>
            <b/>
            <sz val="9"/>
            <color indexed="81"/>
            <rFont val="Tahoma"/>
            <family val="2"/>
          </rPr>
          <t>Gustavo:</t>
        </r>
        <r>
          <rPr>
            <sz val="9"/>
            <color indexed="81"/>
            <rFont val="Tahoma"/>
            <family val="2"/>
          </rPr>
          <t xml:space="preserve">
Experiencia específica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Gustavo</author>
  </authors>
  <commentList>
    <comment ref="T11" authorId="0" shapeId="0" xr:uid="{00000000-0006-0000-0400-000001000000}">
      <text>
        <r>
          <rPr>
            <b/>
            <sz val="9"/>
            <color indexed="81"/>
            <rFont val="Tahoma"/>
            <family val="2"/>
          </rPr>
          <t>Gustavo:</t>
        </r>
        <r>
          <rPr>
            <sz val="9"/>
            <color indexed="81"/>
            <rFont val="Tahoma"/>
            <family val="2"/>
          </rPr>
          <t xml:space="preserve">
Experiencia específica
</t>
        </r>
      </text>
    </comment>
    <comment ref="T33" authorId="0" shapeId="0" xr:uid="{00000000-0006-0000-0400-000002000000}">
      <text>
        <r>
          <rPr>
            <b/>
            <sz val="9"/>
            <color indexed="81"/>
            <rFont val="Tahoma"/>
            <family val="2"/>
          </rPr>
          <t>Gustavo:</t>
        </r>
        <r>
          <rPr>
            <sz val="9"/>
            <color indexed="81"/>
            <rFont val="Tahoma"/>
            <family val="2"/>
          </rPr>
          <t xml:space="preserve">
Experiencia específica
</t>
        </r>
      </text>
    </comment>
    <comment ref="T55" authorId="0" shapeId="0" xr:uid="{00000000-0006-0000-0400-000003000000}">
      <text>
        <r>
          <rPr>
            <b/>
            <sz val="9"/>
            <color indexed="81"/>
            <rFont val="Tahoma"/>
            <family val="2"/>
          </rPr>
          <t>Gustavo:</t>
        </r>
        <r>
          <rPr>
            <sz val="9"/>
            <color indexed="81"/>
            <rFont val="Tahoma"/>
            <family val="2"/>
          </rPr>
          <t xml:space="preserve">
Experiencia específica
</t>
        </r>
      </text>
    </comment>
    <comment ref="T77" authorId="0" shapeId="0" xr:uid="{00000000-0006-0000-0400-000004000000}">
      <text>
        <r>
          <rPr>
            <b/>
            <sz val="9"/>
            <color indexed="81"/>
            <rFont val="Tahoma"/>
            <family val="2"/>
          </rPr>
          <t>Gustavo:</t>
        </r>
        <r>
          <rPr>
            <sz val="9"/>
            <color indexed="81"/>
            <rFont val="Tahoma"/>
            <family val="2"/>
          </rPr>
          <t xml:space="preserve">
Experiencia específica
</t>
        </r>
      </text>
    </comment>
    <comment ref="T99" authorId="0" shapeId="0" xr:uid="{00000000-0006-0000-0400-000005000000}">
      <text>
        <r>
          <rPr>
            <b/>
            <sz val="9"/>
            <color indexed="81"/>
            <rFont val="Tahoma"/>
            <family val="2"/>
          </rPr>
          <t>Gustavo:</t>
        </r>
        <r>
          <rPr>
            <sz val="9"/>
            <color indexed="81"/>
            <rFont val="Tahoma"/>
            <family val="2"/>
          </rPr>
          <t xml:space="preserve">
Experiencia específica
</t>
        </r>
      </text>
    </comment>
    <comment ref="T121" authorId="0" shapeId="0" xr:uid="{00000000-0006-0000-0400-000006000000}">
      <text>
        <r>
          <rPr>
            <b/>
            <sz val="9"/>
            <color indexed="81"/>
            <rFont val="Tahoma"/>
            <family val="2"/>
          </rPr>
          <t>Gustavo:</t>
        </r>
        <r>
          <rPr>
            <sz val="9"/>
            <color indexed="81"/>
            <rFont val="Tahoma"/>
            <family val="2"/>
          </rPr>
          <t xml:space="preserve">
Experiencia específica
</t>
        </r>
      </text>
    </comment>
    <comment ref="T143" authorId="0" shapeId="0" xr:uid="{00000000-0006-0000-0400-000007000000}">
      <text>
        <r>
          <rPr>
            <b/>
            <sz val="9"/>
            <color indexed="81"/>
            <rFont val="Tahoma"/>
            <family val="2"/>
          </rPr>
          <t>Gustavo:</t>
        </r>
        <r>
          <rPr>
            <sz val="9"/>
            <color indexed="81"/>
            <rFont val="Tahoma"/>
            <family val="2"/>
          </rPr>
          <t xml:space="preserve">
Experiencia específica
</t>
        </r>
      </text>
    </comment>
    <comment ref="T165" authorId="0" shapeId="0" xr:uid="{00000000-0006-0000-0400-000008000000}">
      <text>
        <r>
          <rPr>
            <b/>
            <sz val="9"/>
            <color indexed="81"/>
            <rFont val="Tahoma"/>
            <family val="2"/>
          </rPr>
          <t>Gustavo:</t>
        </r>
        <r>
          <rPr>
            <sz val="9"/>
            <color indexed="81"/>
            <rFont val="Tahoma"/>
            <family val="2"/>
          </rPr>
          <t xml:space="preserve">
Experiencia específica
</t>
        </r>
      </text>
    </comment>
    <comment ref="T187" authorId="0" shapeId="0" xr:uid="{00000000-0006-0000-0400-000009000000}">
      <text>
        <r>
          <rPr>
            <b/>
            <sz val="9"/>
            <color indexed="81"/>
            <rFont val="Tahoma"/>
            <family val="2"/>
          </rPr>
          <t>Gustavo:</t>
        </r>
        <r>
          <rPr>
            <sz val="9"/>
            <color indexed="81"/>
            <rFont val="Tahoma"/>
            <family val="2"/>
          </rPr>
          <t xml:space="preserve">
Experiencia específica
</t>
        </r>
      </text>
    </comment>
    <comment ref="T209" authorId="0" shapeId="0" xr:uid="{00000000-0006-0000-0400-00000A000000}">
      <text>
        <r>
          <rPr>
            <b/>
            <sz val="9"/>
            <color indexed="81"/>
            <rFont val="Tahoma"/>
            <family val="2"/>
          </rPr>
          <t>Gustavo:</t>
        </r>
        <r>
          <rPr>
            <sz val="9"/>
            <color indexed="81"/>
            <rFont val="Tahoma"/>
            <family val="2"/>
          </rPr>
          <t xml:space="preserve">
Experiencia específica
</t>
        </r>
      </text>
    </comment>
    <comment ref="T231" authorId="0" shapeId="0" xr:uid="{00000000-0006-0000-0400-00000B000000}">
      <text>
        <r>
          <rPr>
            <b/>
            <sz val="9"/>
            <color indexed="81"/>
            <rFont val="Tahoma"/>
            <family val="2"/>
          </rPr>
          <t>Gustavo:</t>
        </r>
        <r>
          <rPr>
            <sz val="9"/>
            <color indexed="81"/>
            <rFont val="Tahoma"/>
            <family val="2"/>
          </rPr>
          <t xml:space="preserve">
Experiencia específica
</t>
        </r>
      </text>
    </comment>
    <comment ref="T253" authorId="0" shapeId="0" xr:uid="{00000000-0006-0000-0400-00000C000000}">
      <text>
        <r>
          <rPr>
            <b/>
            <sz val="9"/>
            <color indexed="81"/>
            <rFont val="Tahoma"/>
            <family val="2"/>
          </rPr>
          <t>Gustavo:</t>
        </r>
        <r>
          <rPr>
            <sz val="9"/>
            <color indexed="81"/>
            <rFont val="Tahoma"/>
            <family val="2"/>
          </rPr>
          <t xml:space="preserve">
Experiencia específica
</t>
        </r>
      </text>
    </comment>
    <comment ref="T275" authorId="0" shapeId="0" xr:uid="{00000000-0006-0000-0400-00000D000000}">
      <text>
        <r>
          <rPr>
            <b/>
            <sz val="9"/>
            <color indexed="81"/>
            <rFont val="Tahoma"/>
            <family val="2"/>
          </rPr>
          <t>Gustavo:</t>
        </r>
        <r>
          <rPr>
            <sz val="9"/>
            <color indexed="81"/>
            <rFont val="Tahoma"/>
            <family val="2"/>
          </rPr>
          <t xml:space="preserve">
Experiencia específica
</t>
        </r>
      </text>
    </comment>
    <comment ref="T297" authorId="0" shapeId="0" xr:uid="{00000000-0006-0000-0400-00000E000000}">
      <text>
        <r>
          <rPr>
            <b/>
            <sz val="9"/>
            <color indexed="81"/>
            <rFont val="Tahoma"/>
            <family val="2"/>
          </rPr>
          <t>Gustavo:</t>
        </r>
        <r>
          <rPr>
            <sz val="9"/>
            <color indexed="81"/>
            <rFont val="Tahoma"/>
            <family val="2"/>
          </rPr>
          <t xml:space="preserve">
Experiencia específica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Gustavo</author>
  </authors>
  <commentList>
    <comment ref="D8" authorId="0" shapeId="0" xr:uid="{00000000-0006-0000-0C00-000001000000}">
      <text>
        <r>
          <rPr>
            <b/>
            <sz val="9"/>
            <color indexed="81"/>
            <rFont val="Tahoma"/>
            <family val="2"/>
          </rPr>
          <t>Fecha de la TRM</t>
        </r>
      </text>
    </comment>
  </commentList>
</comments>
</file>

<file path=xl/sharedStrings.xml><?xml version="1.0" encoding="utf-8"?>
<sst xmlns="http://schemas.openxmlformats.org/spreadsheetml/2006/main" count="1412" uniqueCount="336">
  <si>
    <t>UNIVERSIDAD DE ANTIOQUIA</t>
  </si>
  <si>
    <t>OBJETO:</t>
  </si>
  <si>
    <t>NRO</t>
  </si>
  <si>
    <t>OFERENTE</t>
  </si>
  <si>
    <r>
      <rPr>
        <b/>
        <sz val="10"/>
        <rFont val="Arial"/>
        <family val="2"/>
      </rPr>
      <t>OBSERVACIÓN:</t>
    </r>
    <r>
      <rPr>
        <sz val="10"/>
        <rFont val="Arial"/>
        <family val="2"/>
      </rPr>
      <t xml:space="preserve">
</t>
    </r>
  </si>
  <si>
    <t>APERTURA DE SOBRES</t>
  </si>
  <si>
    <t>N°</t>
  </si>
  <si>
    <t>HORA DE RECIBIDO</t>
  </si>
  <si>
    <t>PROPONENTES</t>
  </si>
  <si>
    <t>NIT/CC</t>
  </si>
  <si>
    <t>OBSERVACIONES</t>
  </si>
  <si>
    <t>EVALUACIÓN DE REQUISITOS JURÍDICOS</t>
  </si>
  <si>
    <t>NIT O CÉDULA</t>
  </si>
  <si>
    <t>Numeral</t>
  </si>
  <si>
    <t>Aseguradora:</t>
  </si>
  <si>
    <t>5.1.2. Requisitos personas jurídicas de forma individual</t>
  </si>
  <si>
    <t>Póliza número:</t>
  </si>
  <si>
    <t>valor asegurado:</t>
  </si>
  <si>
    <t>Vigencia [dias]:</t>
  </si>
  <si>
    <t>CUMPLE/NO CUMPLE:</t>
  </si>
  <si>
    <t>EVALUACIÓN DE EXPERIENCIA GENERAL</t>
  </si>
  <si>
    <t>COCIENTE EVALUACIÓN</t>
  </si>
  <si>
    <t>PRESUPUESTO OFICIAL</t>
  </si>
  <si>
    <t>EN PESOS</t>
  </si>
  <si>
    <t>EN SMMLV</t>
  </si>
  <si>
    <t>EXPERIENCIA GENERAL Y ESPECÍFICA</t>
  </si>
  <si>
    <t>CERTIFICADOS PRESENTADOS</t>
  </si>
  <si>
    <t>ITEM</t>
  </si>
  <si>
    <t>N° DEL CONSECUTIVO DEL REPORTE DEL CONTRATO EJECUTADO EN EL RUP (1)</t>
  </si>
  <si>
    <t>N° de Folio en el RUP (2)</t>
  </si>
  <si>
    <t>CONTRATO (3)</t>
  </si>
  <si>
    <t>CONTRATANTE (4)</t>
  </si>
  <si>
    <t>EN SMMLV (5)</t>
  </si>
  <si>
    <t>FORMA DE
EJECUCIÓN (6)</t>
  </si>
  <si>
    <t>% de Participación (7)</t>
  </si>
  <si>
    <t>CLASIFICACIÓN DEL OBJETO DEL CONTRATO (8)</t>
  </si>
  <si>
    <t>PRESENTACIÓN DE CERTIFICADOS (9)</t>
  </si>
  <si>
    <t>ALCANCE DEL OBJETO CONTRACTUAL (10)</t>
  </si>
  <si>
    <t>VALORACIÓN DE OBSERVACIONES (11)</t>
  </si>
  <si>
    <t>VALORACIÓN DE REQUERIMIENTOS ENTREGADOS(12)</t>
  </si>
  <si>
    <t>SMMLV DE PARTICIPACIÓN PONDERADOS (13)</t>
  </si>
  <si>
    <t>TABLA RESUMEN EXPERIENCIA</t>
  </si>
  <si>
    <t>ESTATUS</t>
  </si>
  <si>
    <t>VALIDACIÓN DE CODIGOS SEGÚN TABLA  3 (CODIGOS UNSPSC) DE LOS TÉRMINOS DE REFERENCIA</t>
  </si>
  <si>
    <t>VALORACIÓN</t>
  </si>
  <si>
    <t>T</t>
  </si>
  <si>
    <t>TOTAL EXPERIENCIA ESPECÍFICA EN SMMLV</t>
  </si>
  <si>
    <t>INDICE SUMATORIA CONTRATOS/PRESUPUESTO OFICIAL</t>
  </si>
  <si>
    <t>EVALUACIÓN EXPERIENCIA - INDICADORES FINANCIEROS</t>
  </si>
  <si>
    <t>PROPONENTE</t>
  </si>
  <si>
    <t>INDICADOR 1</t>
  </si>
  <si>
    <t>INDICADOR 2</t>
  </si>
  <si>
    <t>ÍNDICE DE ENDEUDAMIENTO</t>
  </si>
  <si>
    <t>IE = PT/AT &lt;=
Siendo PT = pasivo total 
AT = activo total</t>
  </si>
  <si>
    <t>CAPITAL DE TRABAJO</t>
  </si>
  <si>
    <t>CT = AC-PC ≥ PO*0,5
Siendo PO = Presupuesto Oficial</t>
  </si>
  <si>
    <t>PASIVO TOTAL</t>
  </si>
  <si>
    <t>ACTIVO TOTAL</t>
  </si>
  <si>
    <t>TOTAL</t>
  </si>
  <si>
    <t>ESTADO</t>
  </si>
  <si>
    <t>ACTIVO CORRIENTE</t>
  </si>
  <si>
    <t>PASIVO CORRIENTE</t>
  </si>
  <si>
    <t>TABLA RESUMEN</t>
  </si>
  <si>
    <t>PEGUE AQUÍ EL LOGO DEL OFERENTE</t>
  </si>
  <si>
    <t>PONDERACIÓN DE HABILITACIÓN</t>
  </si>
  <si>
    <t>VERIFICACIÓN DE REDONDEO</t>
  </si>
  <si>
    <t>DIFERENCIA</t>
  </si>
  <si>
    <t>REDONDEO</t>
  </si>
  <si>
    <t>EVALUACIÓN ECONÓMICA - DEFINICIÓN DE MÉTODO DE EVALUACIÓN Y CÁLCULO DE PUNTAJES</t>
  </si>
  <si>
    <t>TRM día siguiente</t>
  </si>
  <si>
    <t>Asignar de acuerdo al proceso</t>
  </si>
  <si>
    <t>MÉTODO DE EVALUACIÓN DE ACUERDO A TRM</t>
  </si>
  <si>
    <t>Presupuesto Total</t>
  </si>
  <si>
    <t>Fecha</t>
  </si>
  <si>
    <t>Media aritmética</t>
  </si>
  <si>
    <t># propuestas (n)</t>
  </si>
  <si>
    <t>Valor máximo de la sumatoria de valores unitarios</t>
  </si>
  <si>
    <t>Desviación estándar</t>
  </si>
  <si>
    <t>MÁXIMO PUNTAJE A ASIGNAR PARA Pti</t>
  </si>
  <si>
    <t>*H=Habilitado  NH=No habilitado</t>
  </si>
  <si>
    <t>Nro</t>
  </si>
  <si>
    <t>NOMBRE OFERENTE</t>
  </si>
  <si>
    <t>ESTADO*</t>
  </si>
  <si>
    <t>SUMATORIA DE VALORES UNITARIOS</t>
  </si>
  <si>
    <r>
      <t>PUNTAJE (Pt</t>
    </r>
    <r>
      <rPr>
        <b/>
        <vertAlign val="subscript"/>
        <sz val="12"/>
        <rFont val="Calibri"/>
        <family val="2"/>
        <scheme val="minor"/>
      </rPr>
      <t>1</t>
    </r>
    <r>
      <rPr>
        <b/>
        <sz val="12"/>
        <rFont val="Calibri"/>
        <family val="2"/>
        <scheme val="minor"/>
      </rPr>
      <t>)</t>
    </r>
  </si>
  <si>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</si>
  <si>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</si>
  <si>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PUNTAJE (Pt3)</t>
  </si>
  <si>
    <t>PUNTAJE TOTAL</t>
  </si>
  <si>
    <t>ORDEN ELEGIBILIDAD</t>
  </si>
  <si>
    <t>OBSERVACIONES CON RESPECTO A PROPUESTA ECONÓMICA</t>
  </si>
  <si>
    <t>ORDEN</t>
  </si>
  <si>
    <t xml:space="preserve"> </t>
  </si>
  <si>
    <t>Item</t>
  </si>
  <si>
    <t>VERIFICACIÓN DE ITEMS</t>
  </si>
  <si>
    <t>VERIFICACIÓN DE DESCRIPCIÓN</t>
  </si>
  <si>
    <t>VERIFICACIÓN DE UNIDADES</t>
  </si>
  <si>
    <t>VERIFICACIÓN DE CANTIDADES</t>
  </si>
  <si>
    <t>VERIFICACIÓN DE PRECIOS UNITARIOS</t>
  </si>
  <si>
    <t>VERIFICACIÓN DE VALORES TOTALES</t>
  </si>
  <si>
    <t xml:space="preserve">ITEMS </t>
  </si>
  <si>
    <t>DIRECCION INICIAL</t>
  </si>
  <si>
    <t>DIFERENCIA DIRECCIÓN</t>
  </si>
  <si>
    <t>VERIFICACIÓN DE PRESUPUESTO</t>
  </si>
  <si>
    <t>DIRECCIÒN AU</t>
  </si>
  <si>
    <t>DIFERENCIA DIRECCIÒN</t>
  </si>
  <si>
    <t>AU TOTALES</t>
  </si>
  <si>
    <t>DIRECCIÓN COSTO UNITARIO</t>
  </si>
  <si>
    <t>VERIFICACIÓN DE VALORES UNITARIOS TOTALES</t>
  </si>
  <si>
    <t>RESUMEN CUADRO DE HABILITACIÓN</t>
  </si>
  <si>
    <t>ESTATUS CAPACIDAD FINANCIERA</t>
  </si>
  <si>
    <t>ESTATUS REQUISITOS COMERCIALES</t>
  </si>
  <si>
    <t>ESTATUS REQUISITOS JURÍDICOS</t>
  </si>
  <si>
    <t>ESTATUS GENERAL</t>
  </si>
  <si>
    <t>CONCLUSIONES</t>
  </si>
  <si>
    <t>ESTATUS EXPERIENCIA GENERAL Y ESPECIFICA</t>
  </si>
  <si>
    <t>CALCULO DE Pt2</t>
  </si>
  <si>
    <t>Número total de ítems</t>
  </si>
  <si>
    <t>ASIGNACIÓN DE PUNTAJE PARA Pt3:</t>
  </si>
  <si>
    <t>Método de evaluación</t>
  </si>
  <si>
    <t>IR</t>
  </si>
  <si>
    <t>(IR) Ítems representativos</t>
  </si>
  <si>
    <t>(IRES) Ítems restantes</t>
  </si>
  <si>
    <t>IRES</t>
  </si>
  <si>
    <t>Proponente</t>
  </si>
  <si>
    <t>Estado</t>
  </si>
  <si>
    <t>Pt2A</t>
  </si>
  <si>
    <t>Pt2B</t>
  </si>
  <si>
    <t>Pt2 TOTAL</t>
  </si>
  <si>
    <t>(IR) ITEMS REPRESENTATIVOS</t>
  </si>
  <si>
    <t>(IRES) ITEMS RESTANTES</t>
  </si>
  <si>
    <t>N° PÓLIZA SERIEDAD</t>
  </si>
  <si>
    <t>Póliza de seriedad de la oferta a favor de entidades Estatales y a nombre de la Universidad de Antioquia.</t>
  </si>
  <si>
    <t>SALARIO MÍNIMO 2021</t>
  </si>
  <si>
    <t xml:space="preserve">VERIFICACIÓN CONDICIÓN DE EXPERIENCIA  </t>
  </si>
  <si>
    <t>ESTATUS PRESUPUESTO</t>
  </si>
  <si>
    <t>COSTOS DIRECTOS</t>
  </si>
  <si>
    <t>No estar en mora en el Sistema Registro Nacional de Medidas Correctivas RNMC de la Policía Nacional de Colombia (artículo 183 de la Ley 1801 de 2016)</t>
  </si>
  <si>
    <t>Estar inscrita en el Registro Único de Tributario.</t>
  </si>
  <si>
    <t>Haber cumplido con los aportes al Sistema de Seguridad Social Integral y Parafiscales , en los seis (6) meses anteriores a la presentación de la propuesta Comercial y encontrarse a paz y salvo con el sistema. Si tiene acuerdos de pago deberá certificarlo.</t>
  </si>
  <si>
    <t>No estar reportada al Boletín de Responsables Fiscales de la Contraloría General de la República (Art. 60 Ley 610 de 2000; Circular 005 del 25 de febrero de 2008).</t>
  </si>
  <si>
    <t>R</t>
  </si>
  <si>
    <t>NR</t>
  </si>
  <si>
    <t xml:space="preserve">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apertura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
</t>
  </si>
  <si>
    <t xml:space="preserve">
i) Ser el representante legal: Ingeniero Civil, Arquitecto, Arquitecto Constructor, o Ingeniero Constructor.
(ii) Tener matrícula profesional vigente, que haya sido expedida mínimo TRES (3) años antes del cierre de la presente INVITACIÓN.
Cuando el representante legal NO CUMPLA el requisito anterior, la propuesta debe ser también FIRMADA o ABONADA, por un profesional que SÍ cumpla el requisito. Debe adjuntar los medios de prueba requeridos.
</t>
  </si>
  <si>
    <t xml:space="preserve">Estar inscrita, calificada y clasificada en el Registro Único de PROPONENTES –RUP- de la Cámara de Comercio de su domicilio antes de la fecha de cierre o entrega de propuestas de esta invitación, en alguna de las clasificaciones de la UNSPSC, establecidas en la Tabla 4, códigos 721015 – 721033 – 721513 </t>
  </si>
  <si>
    <t>Observación</t>
  </si>
  <si>
    <t>CUMPLE</t>
  </si>
  <si>
    <t>LS</t>
  </si>
  <si>
    <t>LI</t>
  </si>
  <si>
    <t>C</t>
  </si>
  <si>
    <t>PRESENTÓ CERTIFICADO</t>
  </si>
  <si>
    <t>ACORDE A ITEM 5.2.2 (T.R.)</t>
  </si>
  <si>
    <t>SIN OBSERVACIÓN</t>
  </si>
  <si>
    <t>NINGUNO</t>
  </si>
  <si>
    <t>SI</t>
  </si>
  <si>
    <t>No. 08-6-16170-2015</t>
  </si>
  <si>
    <t>POLICIA NACIONAL DIRECCION DE BIENESTAR SOCIAL</t>
  </si>
  <si>
    <t>PROMEDIO</t>
  </si>
  <si>
    <t>Desv</t>
  </si>
  <si>
    <t>Se recibieron cuatro (4) propuestas tecnico-económicas</t>
  </si>
  <si>
    <t>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t>
  </si>
  <si>
    <t>Invitación Pública N°  VA-036-2021</t>
  </si>
  <si>
    <t>KER INGENIERIA S.A.S.</t>
  </si>
  <si>
    <t>UNIÓN TEMPORAL SUPERVISOR 2021</t>
  </si>
  <si>
    <t>PreVeo S.A.S</t>
  </si>
  <si>
    <t>INTERVE S.A.S</t>
  </si>
  <si>
    <t>FECHA CIERRE: 11/10/2021</t>
  </si>
  <si>
    <t>HORA:15:00</t>
  </si>
  <si>
    <t>Resúmen: se recibieron cuatro (4) propuestas.
EQUIPO TÉCNICO DE EVALUACIÓN
DIVISIÓN DE INFRAESTRUCTURA FÍSICA</t>
  </si>
  <si>
    <t>COSTO DIRECTO PERSONAL</t>
  </si>
  <si>
    <t>FACTOR MULTIPLICADOR</t>
  </si>
  <si>
    <t>TOTAL PROPUESTA ECONÓMICA</t>
  </si>
  <si>
    <t>2.19</t>
  </si>
  <si>
    <t>2.56</t>
  </si>
  <si>
    <t>2.40</t>
  </si>
  <si>
    <t>2.4</t>
  </si>
  <si>
    <t>65-44-101203823</t>
  </si>
  <si>
    <t>NB-100179940</t>
  </si>
  <si>
    <t>REQUISITOS JURÍDICOS DE PARTICIPACIÓN  (personas naturales y jurídicas) numeral 6,2.1</t>
  </si>
  <si>
    <t xml:space="preserve">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cinco (5) años antes de la fecha de cierre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
</t>
  </si>
  <si>
    <t xml:space="preserve">(i)  Ser el representante legal: ingeniero civil, ingeniero constructor, arquitecto o arquitecto constructor.
(ii) Tener matrícula profesional vigente, que haya sido expedida mínimo Cinco (5) años antes del cierre de la presente INVITACIÓN.
Cuando el representante legal NO CUMPLA el requisito anterior, la propuesta debe ser FIRMADA o ABONADA por un profesional que SÍ cumpla el requisito.
</t>
  </si>
  <si>
    <t>6.2.1 Requisitos personas jurídicas</t>
  </si>
  <si>
    <t>Estar inscrita, calificada y clasificada en el Registro Único de PROPONENTES –
RUP- de la Cámara de Comercio de su domicilio antes de la fecha de cierre o
entrega de propuestas de esta invitación, en alguna de las clasificaciones de la
UNSPSC, establecidas en la Tabla 2 en los códigos: 801016, 811015 y 841116 y
obligatorio estar en 811015</t>
  </si>
  <si>
    <t>Póliza de seriedad de la oferta a favor de entidades Estatales y a nombre de la UdeA.</t>
  </si>
  <si>
    <t>INDICADOR 3</t>
  </si>
  <si>
    <t>ROE</t>
  </si>
  <si>
    <t>Beneficio neto/Fondos propios
medios</t>
  </si>
  <si>
    <t>Haber ejecutado contratos en COLOMBIA o en el EXTERIOR y que dentro de su objeto o alcance incluyan: Interventoría a obras de Construcción de edificaciones de los grupos de uso I, II, III o IV,
conforme al título A de la NSR-10.
Se aceptarán sólo aquellas propuestas que certifiquen experiencia GENERAL acreditada en hasta cinco (5) certificados o actas de liquidación de contratos ejecutados y liquidados, que dentro de su objeto o
alcance incluyan Interventoría o Supervisión Técnica Independiente, mínimo uno (1) debe corresponder a Interventoría, a obras de Construcción de edificaciones de grupos de uso I, II, III
o IV, conforme al título A de la NSR-10. y que cada certificado aportado deberá estar en alguna de las clasificaciones de la UNSPSC, establecidas en la Tabla 2 en los códigos: 801016, 811015 y 841116
y obligatorio estar en 811015</t>
  </si>
  <si>
    <t>Dentro de su objeto o alcance incluyan Interventoría o Supervisión Técnica Independiente, mínimo uno (1) debe
corresponder a Interventoría, a obras de Construcción de edificaciones de grupos de uso I, II, III
o IV, conforme al título A de la NSR-10.
Obligatorio estar en 811015</t>
  </si>
  <si>
    <t>EVALUACIÓN DE EXPERIENCIA ESPECIFICA</t>
  </si>
  <si>
    <t xml:space="preserve">EXPERIENCIA GENERAL </t>
  </si>
  <si>
    <t>Experiencia como Supervisor Técnico Independiente: Bajos los lineamientos del decreto 945 del 5 de junio de 2017.
De acuerdo con el Título V de la Ley 400 de 1997 y la Ley 1796 de 2016, la construcción de estructuras de edificaciones, o unidades constructivas, que tengan o superen los dos mil metros
cuadrados (2000 m²) de área construida, independientemente de su uso, deben someterse a una supervisión técnica independiente realizada de acuerdo con lo establecido en el Título I del
Reglamento NSR-10 en alguna de sus cuatro (4) categorías: I, II III o IV.
Debe presentar tres (3) contratos como Supervisor Técnico Independiente en experiencia en edificaciones conforme al numeral A.2.5.1 Grupos de Uso, de la NSR-10 en alguna de sus cuatro
(4) categorías: I, II III o IV.</t>
  </si>
  <si>
    <t>EXPERIENCIA ESPECÍFICA</t>
  </si>
  <si>
    <t>Cumple con el requerimiento del numeral 6.2.2.2.1</t>
  </si>
  <si>
    <t>VALIDACIÓN EXPERIENCIA OCT</t>
  </si>
  <si>
    <t>Presentar un certificado de experiencia en proyectos terminados o en ejecución, de cualquier grupo
de uso conforme al numeral A.2.5.1 Grupos de Uso, de la NSR-10 en alguna de sus categorías: I, II
III o IV, donde al proyecto de obra le hayan expedido póliza o pre póliza decenal.</t>
  </si>
  <si>
    <t>SI/NO</t>
  </si>
  <si>
    <t>SE EXPIDIÓ PÓLIZA O PREPOLIZA</t>
  </si>
  <si>
    <t>VALIDÓ LA ASEGURADORA</t>
  </si>
  <si>
    <t>CUMPLE / NO CUMPLE</t>
  </si>
  <si>
    <t>1. Presentarse en PESOS COLOMBIANOS.</t>
  </si>
  <si>
    <t>2. Incluir todos los costos, gastos impuestos, tasas y contribuciones en los que deba incurrir el Proponente para cumplir el objeto de la INVITACIÓN.</t>
  </si>
  <si>
    <t>3. Tener una vigencia mínima de SESENTA (60) días calendario, contados a partir del cierre de la INVITACIÓN, prorrogable en un plazo igual, en caso de que no se pueda adjudicar en dicho término.</t>
  </si>
  <si>
    <t>4. No modificar los formatos del Proceso de Contratación, salvo autorización expresa.</t>
  </si>
  <si>
    <t>5. Ser irrevocable, una vez presentada (artículo 8465 del Código de Comercio).</t>
  </si>
  <si>
    <t>EVALUACIÓN DE REQUISITOS DE CUMPLIMIENTO DE REQUISITOS COMERCIALES</t>
  </si>
  <si>
    <t>FACTOR MULTIPLICADOR [%]</t>
  </si>
  <si>
    <t>EXP OCT</t>
  </si>
  <si>
    <t>Factor Multiplicador Max</t>
  </si>
  <si>
    <t>ANEXO 1</t>
  </si>
  <si>
    <t>1.1</t>
  </si>
  <si>
    <t>1.5</t>
  </si>
  <si>
    <t>1.10</t>
  </si>
  <si>
    <t>CARGO/OFICIO</t>
  </si>
  <si>
    <t>CANTIDAD</t>
  </si>
  <si>
    <t>SUELDO Y/O TARIFA 2021</t>
  </si>
  <si>
    <t>SUELDO Y/O TARIFA 2022
 (Ipc 3,5%)</t>
  </si>
  <si>
    <t>DEDICACIÓN MENSUAL</t>
  </si>
  <si>
    <t>DURACIÓN 2021
(2 meses)</t>
  </si>
  <si>
    <t>DURACIÓN 2022
(9 meses)</t>
  </si>
  <si>
    <t>VALOR PARCIAL ($)</t>
  </si>
  <si>
    <r>
      <rPr>
        <b/>
        <sz val="12"/>
        <color theme="1"/>
        <rFont val="Arial"/>
        <family val="2"/>
      </rPr>
      <t xml:space="preserve">Residente de Interventoria Electrico, Nivel 2 </t>
    </r>
    <r>
      <rPr>
        <i/>
        <sz val="12"/>
        <color theme="1"/>
        <rFont val="Arial"/>
        <family val="2"/>
      </rPr>
      <t>(Profesional Nivel 2, profesiones Ingeniero electricista)
Experiencia requerida Residente de Obra Nivel 2: mayor a 4 años de experiencia contados a partir de la expedición de la matrícula profesional</t>
    </r>
  </si>
  <si>
    <r>
      <rPr>
        <b/>
        <sz val="12"/>
        <color theme="1"/>
        <rFont val="Arial"/>
        <family val="2"/>
      </rPr>
      <t>Residente Interventoria  Ingeniero Mecánico</t>
    </r>
    <r>
      <rPr>
        <sz val="12"/>
        <color theme="1"/>
        <rFont val="Arial"/>
        <family val="2"/>
      </rPr>
      <t xml:space="preserve"> (Profesional Nivel 2, profesiones Ingeniero Mecánico)
Experiencia requerida Residente de Obra Nivel 2: mayor a 4 años de experiencia contados a partir de la expedición de la matrícula profesional</t>
    </r>
  </si>
  <si>
    <r>
      <t>Supervisor lider estructura</t>
    </r>
    <r>
      <rPr>
        <sz val="12"/>
        <color theme="1"/>
        <rFont val="Arial"/>
        <family val="2"/>
      </rPr>
      <t>l(Elementos Estructurales y no estructurales) , profesiones (Ingeniero Civil con matricula profesionalvigente, con postgrado en el area de estructuras)
Experiencia requerida : mayor a 10 años de experiencia en el area de estructuras, contados a partir del postgrados en el area estructuras y con matricula profesional vigente.</t>
    </r>
  </si>
  <si>
    <r>
      <rPr>
        <b/>
        <sz val="12"/>
        <color theme="1"/>
        <rFont val="Arial"/>
        <family val="2"/>
      </rPr>
      <t xml:space="preserve">Supervisor Lider Geotecnico: </t>
    </r>
    <r>
      <rPr>
        <sz val="12"/>
        <color theme="1"/>
        <rFont val="Arial"/>
        <family val="2"/>
      </rPr>
      <t xml:space="preserve"> profesiones (Ingeniero Civil con matricula profesionalvigente, con postgrado en el area de geotecnia)
Experiencia requerida : mayor a 10 años de experiencia en el area de estructuras, contados a partir del postgrados en el area geotecnia  y con matricula profesional vigente.</t>
    </r>
  </si>
  <si>
    <t>Subtotal Costos Directos de Personal</t>
  </si>
  <si>
    <t>Factor Multiplicador</t>
  </si>
  <si>
    <t>Total Costos Directos de Personal incluido Factor Multiplicador (A)</t>
  </si>
  <si>
    <t>DESCRIPCION</t>
  </si>
  <si>
    <t>UNIDAD</t>
  </si>
  <si>
    <t>VALOR</t>
  </si>
  <si>
    <t>DURACIÓN
 (Meses)</t>
  </si>
  <si>
    <t>VALOR PARCIAL
 ($)</t>
  </si>
  <si>
    <t>B</t>
  </si>
  <si>
    <t>OTROS COSTOS DIRECTOS (Reembolsables)</t>
  </si>
  <si>
    <t>2.1</t>
  </si>
  <si>
    <t>Ensayos de Laboratorio (para verificación en caso de requerirse)</t>
  </si>
  <si>
    <t>global</t>
  </si>
  <si>
    <t>Edición de informes de interventoria</t>
  </si>
  <si>
    <t>Unidad</t>
  </si>
  <si>
    <t>Asesorias especializadas: requeridas en obra, todas las anteriores previa aprobación de la entidad contratante</t>
  </si>
  <si>
    <t>hr</t>
  </si>
  <si>
    <t>Subtotal Otros Costos Directos (B)</t>
  </si>
  <si>
    <t>TOTAL COSTOS DIRECTOS DE PERSONAL + OTROS COSTOS DIRECTOS (A+B)</t>
  </si>
  <si>
    <t>IVA (19%)</t>
  </si>
  <si>
    <t>VALOR TOTAL</t>
  </si>
  <si>
    <t>VALOR TOTAL INTERVENTORIA</t>
  </si>
  <si>
    <t>1.0</t>
  </si>
  <si>
    <t>R/NR</t>
  </si>
  <si>
    <t>COSTOS DIRECTOS DE PERSONAL ROBLEDO</t>
  </si>
  <si>
    <t xml:space="preserve">R </t>
  </si>
  <si>
    <r>
      <rPr>
        <b/>
        <sz val="12"/>
        <rFont val="Arial"/>
        <family val="2"/>
      </rPr>
      <t xml:space="preserve">Coordinador interventoría </t>
    </r>
    <r>
      <rPr>
        <sz val="12"/>
        <rFont val="Arial"/>
        <family val="2"/>
      </rPr>
      <t>(Ingeniero Civil o Arquitecto o Arquitecto Constructor especializado, con experiencia en coordinación de proyectos, dirección de interventoría, construcción, costos y presupuestos)
Experiencia requerida: mayor a 10 años de experiencia contados a partir de la expedición de la matrícula profesional.</t>
    </r>
  </si>
  <si>
    <r>
      <rPr>
        <b/>
        <sz val="12"/>
        <color theme="1"/>
        <rFont val="Arial"/>
        <family val="2"/>
      </rPr>
      <t xml:space="preserve">Residente de Obra, Nivel 2 </t>
    </r>
    <r>
      <rPr>
        <i/>
        <sz val="12"/>
        <color theme="1"/>
        <rFont val="Arial"/>
        <family val="2"/>
      </rPr>
      <t>(Profesional Nivel 2, profesiones afines, Ingeniero Civil, Arquitecto, Arquitecto Constructor, Ingeniero Constructor)
Experiencia requerida Residente de Obra Nivel 2: mayor a 4 años de experiencia contados a partir de la expedición de la matrícula profesional</t>
    </r>
  </si>
  <si>
    <r>
      <rPr>
        <b/>
        <sz val="12"/>
        <color theme="1"/>
        <rFont val="Arial"/>
        <family val="2"/>
      </rPr>
      <t xml:space="preserve">Residente desarrollador BIM </t>
    </r>
    <r>
      <rPr>
        <i/>
        <sz val="12"/>
        <color theme="1"/>
        <rFont val="Arial"/>
        <family val="2"/>
      </rPr>
      <t>Profesional Nivel 2, profesiones afines,  Ingeniero Civil, Arquitecto, Arquitecto Constructor, Ingeniero Constructor)
Experiencia requerida Residente de Obra Nivel 2: mayor a 4 años de experiencia contados a partir de la expedición de la matrícula profesional</t>
    </r>
  </si>
  <si>
    <r>
      <rPr>
        <b/>
        <sz val="12"/>
        <color theme="1"/>
        <rFont val="Arial"/>
        <family val="2"/>
      </rPr>
      <t xml:space="preserve">Tecnologo(a) en seguridad e higiene ocupacional o afínes para INTERVENTORÍA  (Nivel 1). </t>
    </r>
    <r>
      <rPr>
        <i/>
        <u/>
        <sz val="12"/>
        <color theme="1"/>
        <rFont val="Arial"/>
        <family val="2"/>
      </rPr>
      <t>Experiencia requerida</t>
    </r>
    <r>
      <rPr>
        <i/>
        <sz val="12"/>
        <color theme="1"/>
        <rFont val="Arial"/>
        <family val="2"/>
      </rPr>
      <t>: mayor a 1.5 años de experiencia contados a partir de la expedición de la Licencia en salud ocupacional</t>
    </r>
  </si>
  <si>
    <r>
      <rPr>
        <b/>
        <sz val="12"/>
        <color theme="1"/>
        <rFont val="Arial"/>
        <family val="2"/>
      </rPr>
      <t xml:space="preserve">Residente AMBIENTAL </t>
    </r>
    <r>
      <rPr>
        <i/>
        <sz val="12"/>
        <color theme="1"/>
        <rFont val="Arial"/>
        <family val="2"/>
      </rPr>
      <t>(Ingeniero ambiental)
Experiencia requerida Residente de Obra Nivel 2: mayor a 4 años de experiencia contados a partir de la expedición de la matrícula profesional</t>
    </r>
  </si>
  <si>
    <t>SUPERVISION TECNICA INDEPENDIENTE (decreto 945 de junio 5 de 2017)</t>
  </si>
  <si>
    <r>
      <rPr>
        <b/>
        <sz val="12"/>
        <color theme="1"/>
        <rFont val="Arial"/>
        <family val="2"/>
      </rPr>
      <t xml:space="preserve">Supervisor independiente Residente de estructuras: </t>
    </r>
    <r>
      <rPr>
        <sz val="12"/>
        <color theme="1"/>
        <rFont val="Arial"/>
        <family val="2"/>
      </rPr>
      <t xml:space="preserve"> ngeniero civil, Arquitecto Constructor en arquitectura e ingeniería, Experiencia mayor de cinco (5) años en diseño estructural, construcción, interventoría o supervisión técnica (Nota: la Ley no contempla estudios de postgrado en este caso), contados a partir de la expedición de la matricula profesional vigente. 
</t>
    </r>
  </si>
  <si>
    <t>SUBTOTAL ROBLEDO</t>
  </si>
  <si>
    <r>
      <rPr>
        <b/>
        <sz val="12"/>
        <color theme="1"/>
        <rFont val="Arial"/>
        <family val="2"/>
      </rPr>
      <t xml:space="preserve">Residente de Obra, Nivel 2 </t>
    </r>
    <r>
      <rPr>
        <sz val="12"/>
        <color theme="1"/>
        <rFont val="Arial"/>
        <family val="2"/>
      </rPr>
      <t>(Profesional Nivel 2, profesiones afines, Ingeniero Civil, Arquitecto, Arquitecto Constructor, Ingeniero Constructor)
Experiencia requerida Residente de Obra Nivel 2: mayor a 4 años de experiencia contados a partir de la expedición de la matrícula profesional</t>
    </r>
  </si>
  <si>
    <r>
      <rPr>
        <b/>
        <sz val="12"/>
        <color theme="1"/>
        <rFont val="Arial"/>
        <family val="2"/>
      </rPr>
      <t xml:space="preserve">Residente de Interventoria Electrico, Nivel 2 </t>
    </r>
    <r>
      <rPr>
        <sz val="12"/>
        <color theme="1"/>
        <rFont val="Arial"/>
        <family val="2"/>
      </rPr>
      <t>(Profesional Nivel 2, profesiones Ingeniero electricista)
Experiencia requerida Residente de Obra Nivel 2: mayor a 4 años de experiencia contados a partir de la expedición de la matrícula profesional</t>
    </r>
  </si>
  <si>
    <r>
      <rPr>
        <b/>
        <sz val="12"/>
        <color theme="1"/>
        <rFont val="Arial"/>
        <family val="2"/>
      </rPr>
      <t xml:space="preserve">Residente desarrollador BIM </t>
    </r>
    <r>
      <rPr>
        <sz val="12"/>
        <color theme="1"/>
        <rFont val="Arial"/>
        <family val="2"/>
      </rPr>
      <t>Profesional Nivel 2, profesiones afines,  Ingeniero Civil, Arquitecto, Arquitecto Constructor, Ingeniero Constructor)
Experiencia requerida Residente de Obra Nivel 2: mayor a 4 años de experiencia contados a partir de la expedición de la matrícula profesional</t>
    </r>
  </si>
  <si>
    <r>
      <rPr>
        <b/>
        <sz val="12"/>
        <color theme="1"/>
        <rFont val="Arial"/>
        <family val="2"/>
      </rPr>
      <t xml:space="preserve">Tecnologo(a) en seguridad e higiene ocupacional o afínes para INTERVENTORÍA  (Nivel 1). </t>
    </r>
    <r>
      <rPr>
        <u/>
        <sz val="12"/>
        <color theme="1"/>
        <rFont val="Arial"/>
        <family val="2"/>
      </rPr>
      <t>Experiencia requerida</t>
    </r>
    <r>
      <rPr>
        <sz val="12"/>
        <color theme="1"/>
        <rFont val="Arial"/>
        <family val="2"/>
      </rPr>
      <t>: mayor a 1.5 años de experiencia contados a partir de la expedición de la Licencia en salud ocupacional</t>
    </r>
  </si>
  <si>
    <r>
      <rPr>
        <b/>
        <sz val="12"/>
        <color theme="1"/>
        <rFont val="Arial"/>
        <family val="2"/>
      </rPr>
      <t xml:space="preserve">Residente AMBIENTAL </t>
    </r>
    <r>
      <rPr>
        <sz val="12"/>
        <color theme="1"/>
        <rFont val="Arial"/>
        <family val="2"/>
      </rPr>
      <t>(Ingeniero ambiental)
Experiencia requerida Residente de Obra Nivel 2: mayor a 4 años de experiencia contados a partir de la expedición de la matrícula profesional</t>
    </r>
  </si>
  <si>
    <t>TOTAL FM</t>
  </si>
  <si>
    <t>TOTAL SUBTOTAL PERSONAL</t>
  </si>
  <si>
    <t>Se rechaza propuesta comercial según lo establecido en el numeral 16 Rechazo y eliminación de propuestas comerciales, inciso, 16.3 Se presente de forma extemporánea, en un lugar o medio diferente al indicado o luego de la fecha
y hora fijadas para el cierre de la invitación.</t>
  </si>
  <si>
    <t>CTO-TCP-BTS-5 Y 6</t>
  </si>
  <si>
    <t>CTO-TC/S-1-2010</t>
  </si>
  <si>
    <t>005-2016</t>
  </si>
  <si>
    <t>TERRANUM CORPORATIVO S A S</t>
  </si>
  <si>
    <t>UNIVERSIDAD DE LA SALLE</t>
  </si>
  <si>
    <t>NALIBESA S.A.S</t>
  </si>
  <si>
    <t>I</t>
  </si>
  <si>
    <t>176800001-2-3-4</t>
  </si>
  <si>
    <t>OS-PH-MAIL ET II - 300021-20</t>
  </si>
  <si>
    <t>ACTIVOS CAPITAL S.A.S.</t>
  </si>
  <si>
    <t>PRODESA Y CIA. S.A.</t>
  </si>
  <si>
    <t>CONSTRUCCIONES OBYCON S.A.S.</t>
  </si>
  <si>
    <t>46/3648</t>
  </si>
  <si>
    <t>2016-028</t>
  </si>
  <si>
    <t>Hospital Pablo Tobon Uribe</t>
  </si>
  <si>
    <t>ISAGEN SA</t>
  </si>
  <si>
    <t>Cama de comercio de med para ant</t>
  </si>
  <si>
    <t>Flor de agua 2018/05/14</t>
  </si>
  <si>
    <t>Plazuela del Norte 2018/01/15</t>
  </si>
  <si>
    <t>Ensenada 2017/03/06</t>
  </si>
  <si>
    <t>OPTIMA SAS</t>
  </si>
  <si>
    <t>B&amp;B Constructores sa</t>
  </si>
  <si>
    <t>NO CUMPLE</t>
  </si>
  <si>
    <t>ADMINISTRADORA DE INVERSIONES FAMOSO &amp; CIA SCA</t>
  </si>
  <si>
    <t>industria colombiana de motociclistas</t>
  </si>
  <si>
    <t>Universidad Pontificia Bolivariana</t>
  </si>
  <si>
    <t>ACORDE A ITEM 6.2.2.1 (T.R.)</t>
  </si>
  <si>
    <t>CUMPLEN CON LO SOLICITADO</t>
  </si>
  <si>
    <t>NO</t>
  </si>
  <si>
    <t>NO ESTÁ ACORDE A ITEM 6.2.2.1 (T.R.)</t>
  </si>
  <si>
    <t>El objeto contractual no es claro ya que informa que la interventoria fue para el recibo de la construcción y no para la construcción del edificio</t>
  </si>
  <si>
    <t>NO SUBSANABLE</t>
  </si>
  <si>
    <t>NO CUMPLEN CON LO SOLICITADO</t>
  </si>
  <si>
    <t>La declaración no esta en notaria</t>
  </si>
  <si>
    <t>Profesionales de la Supervisión Técnica Independiente:
Presentar con la propuesta las hojas de vida y los documentos necesarios para certificar la experiencia solicitada de los profesionales correspondientes a la Supervisión técnica independiente. Correspondientes a los numerales 1.8 a 1.10 y de la tabla No.4 Personal profesional Los profesionales para la Supervisión técnica independiente deben ser profesionales, que tengan mínimo un (1) año de vinculación con la empresa, mediante contrato laboral o de prestación de servicios profesionales.</t>
  </si>
  <si>
    <t>1.8 Supervisor lider estructural</t>
  </si>
  <si>
    <t>1.9 Supervisor Lider Geotecnico:</t>
  </si>
  <si>
    <t>1.10 Supervisor independiente Residente de estructuras:</t>
  </si>
  <si>
    <t>BENEFICIO NETO</t>
  </si>
  <si>
    <t>FONDOS PROPIOS MEDIOS</t>
  </si>
  <si>
    <t>Se rechaza propuesta comercial según lo establecido en el numeral 16 Rechazo y eliminación de propuestas comerciales, inciso, 16.3 Se presente de forma extemporánea, en un lugar o medio diferente al indicado o luego de la fecha y hora fijadas para el cierre de la invitación.
16.18 El OFERENTE no presente la Garantía de Seriedad de la propuesta o no cumpla con lo estipulado para dicha garantía.</t>
  </si>
  <si>
    <t>Se rechaza la propuesta conforme al numeral 6.1 de los términos de referencia: " En el presente proceso podrán participar: personas jurídicas en forma individual ". y el numeral 16 Rechazo y eliminación de propuestas comerciales, inciso, 16.3 Se presente de forma extemporánea, en un lugar o medio diferente al indicado o luego de la fecha y hora fijadas para el cierre de la invitación.</t>
  </si>
  <si>
    <t>CUMPLE*</t>
  </si>
  <si>
    <t>Seguros Mundial</t>
  </si>
  <si>
    <t>M-100152466</t>
  </si>
  <si>
    <t>83 dias</t>
  </si>
  <si>
    <t>97 dias</t>
  </si>
  <si>
    <t xml:space="preserve">CUMPLE </t>
  </si>
  <si>
    <t>Según lo establecido en la tabla No.4 Personal profesional, los profesionales designados en los numerales 1.8 a 1.10 no cumplen con el cargo/oficio descrito en los Términos de Referencia.
Los profesionales del numeral 1.8 y 1.9 NO cumplen con la experiencia de los 10 años contados a partir del postgrado.</t>
  </si>
  <si>
    <t>Según lo establecido en la tabla No.4 Personal profesional, los profesionales designados en los numerales 1.8 a 1.9 NO cumplieron con los medios de prueba exigidos para este numeral como son las certificaciones de experiencia y los soportes de pago de seguridad social de los últimos 12 meses.</t>
  </si>
  <si>
    <t>H</t>
  </si>
  <si>
    <t>NH</t>
  </si>
  <si>
    <t>PreVeo S.A.S.</t>
  </si>
  <si>
    <t>INTERVE S.A.S.</t>
  </si>
  <si>
    <t>Se rechaza propuesta comercial según lo establecido en el numeral 16 Rechazo y eliminación de propuestas comerciales, inciso, 16.3. Se presente de forma extemporánea, en un lugar o medio diferente al indicado o luego de la fecha
y hora fijadas para el cierre de la invitación.</t>
  </si>
  <si>
    <r>
      <t xml:space="preserve">NO CUMPLE
</t>
    </r>
    <r>
      <rPr>
        <sz val="12"/>
        <color theme="1"/>
        <rFont val="Arial"/>
        <family val="2"/>
      </rPr>
      <t>No se adjunto certificado de existencia y representación legal de la persona jurídica</t>
    </r>
    <r>
      <rPr>
        <b/>
        <sz val="12"/>
        <color theme="1"/>
        <rFont val="Arial"/>
        <family val="2"/>
      </rPr>
      <t xml:space="preserve">
</t>
    </r>
    <r>
      <rPr>
        <sz val="12"/>
        <color theme="1"/>
        <rFont val="Arial"/>
        <family val="2"/>
      </rPr>
      <t>No se adjunto la cedula de representante legal</t>
    </r>
  </si>
  <si>
    <r>
      <t xml:space="preserve">NO CUMPLE
</t>
    </r>
    <r>
      <rPr>
        <sz val="12"/>
        <color theme="1"/>
        <rFont val="Arial"/>
        <family val="2"/>
      </rPr>
      <t xml:space="preserve">El numeral 6.1 de los términos de referencia se estableció que la participación al proceso de invitación es a </t>
    </r>
    <r>
      <rPr>
        <b/>
        <sz val="12"/>
        <color theme="1"/>
        <rFont val="Arial"/>
        <family val="2"/>
      </rPr>
      <t>personas juridicas en forma individual</t>
    </r>
  </si>
  <si>
    <r>
      <t xml:space="preserve">NO CUMPLE
</t>
    </r>
    <r>
      <rPr>
        <sz val="12"/>
        <color theme="1"/>
        <rFont val="Arial"/>
        <family val="2"/>
      </rPr>
      <t>No se adjunto No se adjunto la cedula de representante legal ni los documentos que acrediten como ingeniero civil ingeniero constructor, arquitecto o arquitecto constructor</t>
    </r>
  </si>
  <si>
    <r>
      <t xml:space="preserve">CUMPLE*
</t>
    </r>
    <r>
      <rPr>
        <sz val="12"/>
        <color theme="1"/>
        <rFont val="Arial"/>
        <family val="2"/>
      </rPr>
      <t>Propuesta abonada por la Ingeniera civil Maria Marcela Clavijo</t>
    </r>
  </si>
  <si>
    <r>
      <t xml:space="preserve">CUMPLE*
</t>
    </r>
    <r>
      <rPr>
        <sz val="12"/>
        <color theme="1"/>
        <rFont val="Arial"/>
        <family val="2"/>
      </rPr>
      <t>El representante legal es ingeniero Civil</t>
    </r>
  </si>
  <si>
    <r>
      <rPr>
        <b/>
        <sz val="12"/>
        <color theme="1"/>
        <rFont val="Arial"/>
        <family val="2"/>
      </rPr>
      <t xml:space="preserve">CUMPLE
</t>
    </r>
    <r>
      <rPr>
        <sz val="12"/>
        <color theme="1"/>
        <rFont val="Arial"/>
        <family val="2"/>
      </rPr>
      <t>Se adjunto certificado de paz y salvo de los aportes al sistema seguridad social y parafiscales, firmada por el señor Carlos Eduardo Ruiz Navarro.</t>
    </r>
  </si>
  <si>
    <r>
      <t xml:space="preserve">CUMPLE*
</t>
    </r>
    <r>
      <rPr>
        <sz val="12"/>
        <color theme="1"/>
        <rFont val="Arial"/>
        <family val="2"/>
      </rPr>
      <t>Certificado expedido por el Revisor Fiscal Juan Manuel Bernal Pineda TP 12905-T</t>
    </r>
  </si>
  <si>
    <r>
      <t xml:space="preserve">CUMPLE*
</t>
    </r>
    <r>
      <rPr>
        <sz val="12"/>
        <color theme="1"/>
        <rFont val="Arial"/>
        <family val="2"/>
      </rPr>
      <t>Certificado expedido por la Revisor Fiscal Leidi Biviana Ramirez Cardona con TP 205191-T</t>
    </r>
  </si>
  <si>
    <r>
      <t xml:space="preserve">NO CUMPLE
</t>
    </r>
    <r>
      <rPr>
        <sz val="12"/>
        <color theme="1"/>
        <rFont val="Arial"/>
        <family val="2"/>
      </rPr>
      <t>No se adjunto el documento</t>
    </r>
  </si>
  <si>
    <r>
      <t xml:space="preserve">NO CUMPLE
</t>
    </r>
    <r>
      <rPr>
        <sz val="12"/>
        <color theme="1"/>
        <rFont val="Arial"/>
        <family val="2"/>
      </rPr>
      <t>No se adjunto el RUT</t>
    </r>
  </si>
  <si>
    <r>
      <rPr>
        <b/>
        <sz val="12"/>
        <color rgb="FFFF0000"/>
        <rFont val="Arial"/>
        <family val="2"/>
      </rPr>
      <t>NO CUMPLE</t>
    </r>
    <r>
      <rPr>
        <b/>
        <sz val="12"/>
        <color theme="1"/>
        <rFont val="Arial"/>
        <family val="2"/>
      </rPr>
      <t xml:space="preserve">
</t>
    </r>
    <r>
      <rPr>
        <sz val="12"/>
        <color theme="1"/>
        <rFont val="Arial"/>
        <family val="2"/>
      </rPr>
      <t>No se adjunto póliza de seriedad de la oferta</t>
    </r>
  </si>
  <si>
    <t>Si bien los requisitos del numeral 6.2.3 son subsanables, no se les requiere a los proponentes por existir causal de rechazo de la oferta, toda vez que el factor multiplicador de la propuesta presentada, establecido en el numeral 14.2.1 de los Términos de Referencia, dicho valor no podrá superar el 2,19</t>
  </si>
  <si>
    <t>Si bien los requisitos del numeral 6.2.3 son subsanables, no se les requiere a los proponentes, por existir causal de rechazo de la oferta, toda vez que el factor multiplicador de la propuesta presentada, establecido en el numeral 14.2.1 de los Términos de Referencia, dicho valor no podrá superar el 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</si>
</sst>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64" formatCode="&quot;$&quot;\ #,##0;[Red]\-&quot;$&quot;\ #,##0"/>
    <numFmt numFmtId="165" formatCode="&quot;$&quot;\ #,##0.00;[Red]\-&quot;$&quot;\ #,##0.00"/>
    <numFmt numFmtId="166" formatCode="_-&quot;$&quot;\ * #,##0_-;\-&quot;$&quot;\ * #,##0_-;_-&quot;$&quot;\ * &quot;-&quot;_-;_-@_-"/>
    <numFmt numFmtId="167" formatCode="_-&quot;$&quot;\ * #,##0.00_-;\-&quot;$&quot;\ * #,##0.00_-;_-&quot;$&quot;\ * &quot;-&quot;??_-;_-@_-"/>
    <numFmt numFmtId="168" formatCode="_-* #,##0.00\ _€_-;\-* #,##0.00\ _€_-;_-* &quot;-&quot;??\ _€_-;_-@_-"/>
    <numFmt numFmtId="169" formatCode="&quot;$&quot;\ #,##0"/>
    <numFmt numFmtId="170" formatCode="&quot;$&quot;\ #,##0.00"/>
    <numFmt numFmtId="171" formatCode="_ * #,##0.00_ ;_ * \-#,##0.00_ ;_ * &quot;-&quot;??_ ;_ @_ "/>
    <numFmt numFmtId="172" formatCode="&quot;K=&quot;\ \ \ \ #,##0.00\ &quot;de contra&quot;"/>
    <numFmt numFmtId="173" formatCode="0.0"/>
    <numFmt numFmtId="174" formatCode="#,##0.00\ &quot;SMMLV&quot;"/>
    <numFmt numFmtId="175" formatCode="_ * #,##0_ ;_ * \-#,##0_ ;_ * &quot;-&quot;??_ ;_ @_ "/>
    <numFmt numFmtId="176" formatCode="_(&quot;$&quot;\ * #,##0.00_);_(&quot;$&quot;\ * \(#,##0.00\);_(&quot;$&quot;\ * &quot;-&quot;??_);_(@_)"/>
    <numFmt numFmtId="177" formatCode="&quot;$&quot;#,##0.00"/>
    <numFmt numFmtId="178" formatCode="_(&quot;$&quot;* #,##0.00_);_(&quot;$&quot;* \(#,##0.00\);_(&quot;$&quot;* &quot;-&quot;??_);_(@_)"/>
    <numFmt numFmtId="179" formatCode="_-* #,##0.00_-;\-* #,##0.00_-;_-* &quot;-&quot;_-;_-@_-"/>
    <numFmt numFmtId="180" formatCode="#,##0.00;[Red]#,##0.00"/>
    <numFmt numFmtId="181" formatCode="#,##0;[Red]#,##0"/>
    <numFmt numFmtId="182" formatCode="_-&quot;$&quot;\ * #,##0_-;\-&quot;$&quot;\ * #,##0_-;_-&quot;$&quot;\ * &quot;-&quot;??_-;_-@_-"/>
    <numFmt numFmtId="183" formatCode="_(* #,##0.00_);_(* \(#,##0.00\);_(* &quot;-&quot;??_);_(@_)"/>
    <numFmt numFmtId="184" formatCode="#,##0.00_ ;[Red]\-#,##0.00\ "/>
    <numFmt numFmtId="185" formatCode="&quot;$&quot;#,##0"/>
    <numFmt numFmtId="186" formatCode="_ &quot;$&quot;\ * #,##0_ ;_ &quot;$&quot;\ * \-#,##0_ ;_ &quot;$&quot;\ * &quot;-&quot;??_ ;_ @_ "/>
    <numFmt numFmtId="187" formatCode="[$$-240A]\ #,##0"/>
  </numFmts>
  <fonts count="65">
    <font>
      <sz val="11"/>
      <color theme="1"/>
      <name val="Calibri"/>
      <family val="2"/>
      <scheme val="minor"/>
    </font>
    <font>
      <sz val="12"/>
      <color theme="1"/>
      <name val="Arial"/>
      <family val="2"/>
    </font>
    <font>
      <sz val="11"/>
      <color theme="1"/>
      <name val="Calibri"/>
      <family val="2"/>
      <scheme val="minor"/>
    </font>
    <font>
      <b/>
      <sz val="16"/>
      <name val="Arial"/>
      <family val="2"/>
    </font>
    <font>
      <b/>
      <sz val="14"/>
      <name val="Arial"/>
      <family val="2"/>
    </font>
    <font>
      <sz val="11"/>
      <name val="Arial"/>
      <family val="2"/>
    </font>
    <font>
      <b/>
      <sz val="12"/>
      <name val="Arial"/>
      <family val="2"/>
    </font>
    <font>
      <b/>
      <sz val="11"/>
      <name val="Arial"/>
      <family val="2"/>
    </font>
    <font>
      <sz val="10"/>
      <name val="Arial"/>
      <family val="2"/>
    </font>
    <font>
      <b/>
      <sz val="10"/>
      <name val="Arial"/>
      <family val="2"/>
    </font>
    <font>
      <sz val="11"/>
      <color theme="1"/>
      <name val="Arial"/>
      <family val="2"/>
    </font>
    <font>
      <sz val="12"/>
      <color theme="1"/>
      <name val="Arial"/>
      <family val="2"/>
    </font>
    <font>
      <b/>
      <sz val="12"/>
      <color theme="1"/>
      <name val="Arial"/>
      <family val="2"/>
    </font>
    <font>
      <b/>
      <sz val="12"/>
      <color rgb="FF000000"/>
      <name val="Arial"/>
      <family val="2"/>
    </font>
    <font>
      <sz val="12"/>
      <name val="Arial"/>
      <family val="2"/>
    </font>
    <font>
      <sz val="12"/>
      <color rgb="FF000000"/>
      <name val="Arial"/>
      <family val="2"/>
    </font>
    <font>
      <b/>
      <sz val="10"/>
      <color theme="1"/>
      <name val="Arial"/>
      <family val="2"/>
    </font>
    <font>
      <b/>
      <sz val="12"/>
      <color rgb="FFFF0000"/>
      <name val="Arial"/>
      <family val="2"/>
    </font>
    <font>
      <b/>
      <sz val="36"/>
      <name val="Arial"/>
      <family val="2"/>
    </font>
    <font>
      <sz val="16"/>
      <name val="Arial"/>
      <family val="2"/>
    </font>
    <font>
      <b/>
      <sz val="22"/>
      <name val="Arial"/>
      <family val="2"/>
    </font>
    <font>
      <b/>
      <sz val="26"/>
      <color rgb="FF000000"/>
      <name val="Calibri"/>
      <family val="2"/>
    </font>
    <font>
      <b/>
      <sz val="11"/>
      <color rgb="FF000000"/>
      <name val="Arial"/>
      <family val="2"/>
    </font>
    <font>
      <b/>
      <sz val="14"/>
      <color rgb="FF000000"/>
      <name val="Calibri"/>
      <family val="2"/>
    </font>
    <font>
      <b/>
      <sz val="72"/>
      <name val="Arial"/>
      <family val="2"/>
    </font>
    <font>
      <b/>
      <sz val="20"/>
      <name val="Arial"/>
      <family val="2"/>
    </font>
    <font>
      <b/>
      <sz val="11"/>
      <color theme="0"/>
      <name val="Arial"/>
      <family val="2"/>
    </font>
    <font>
      <b/>
      <sz val="9"/>
      <color indexed="81"/>
      <name val="Tahoma"/>
      <family val="2"/>
    </font>
    <font>
      <sz val="9"/>
      <color indexed="81"/>
      <name val="Tahoma"/>
      <family val="2"/>
    </font>
    <font>
      <b/>
      <sz val="18"/>
      <name val="Arial"/>
      <family val="2"/>
    </font>
    <font>
      <b/>
      <sz val="8"/>
      <name val="Arial"/>
      <family val="2"/>
    </font>
    <font>
      <sz val="8"/>
      <name val="Arial"/>
      <family val="2"/>
    </font>
    <font>
      <sz val="10"/>
      <color theme="1"/>
      <name val="Arial"/>
      <family val="2"/>
    </font>
    <font>
      <b/>
      <sz val="10"/>
      <color rgb="FF000000"/>
      <name val="Arial"/>
      <family val="2"/>
    </font>
    <font>
      <sz val="12"/>
      <color theme="1"/>
      <name val="Calibri"/>
      <family val="2"/>
      <scheme val="minor"/>
    </font>
    <font>
      <b/>
      <sz val="12"/>
      <name val="Calibri"/>
      <family val="2"/>
      <scheme val="minor"/>
    </font>
    <font>
      <b/>
      <sz val="11"/>
      <name val="Calibri"/>
      <family val="2"/>
      <scheme val="minor"/>
    </font>
    <font>
      <sz val="12"/>
      <name val="Calibri"/>
      <family val="2"/>
      <scheme val="minor"/>
    </font>
    <font>
      <b/>
      <sz val="12"/>
      <color theme="1"/>
      <name val="Calibri"/>
      <family val="2"/>
      <scheme val="minor"/>
    </font>
    <font>
      <sz val="10"/>
      <name val="Century Gothic"/>
      <family val="2"/>
    </font>
    <font>
      <b/>
      <sz val="12"/>
      <color rgb="FFFF0000"/>
      <name val="Calibri"/>
      <family val="2"/>
      <scheme val="minor"/>
    </font>
    <font>
      <b/>
      <vertAlign val="subscript"/>
      <sz val="12"/>
      <name val="Calibri"/>
      <family val="2"/>
      <scheme val="minor"/>
    </font>
    <font>
      <sz val="20"/>
      <name val="Arial"/>
      <family val="2"/>
    </font>
    <font>
      <sz val="12"/>
      <name val="Swis721 LtCn BT"/>
      <family val="2"/>
    </font>
    <font>
      <sz val="14"/>
      <name val="Arial"/>
      <family val="2"/>
    </font>
    <font>
      <sz val="11"/>
      <name val="Calibri"/>
      <family val="2"/>
      <scheme val="minor"/>
    </font>
    <font>
      <u/>
      <sz val="11"/>
      <color theme="10"/>
      <name val="Calibri"/>
      <family val="2"/>
      <scheme val="minor"/>
    </font>
    <font>
      <sz val="12"/>
      <color rgb="FFFF0000"/>
      <name val="Arial"/>
      <family val="2"/>
    </font>
    <font>
      <b/>
      <sz val="11"/>
      <color theme="1"/>
      <name val="Calibri"/>
      <family val="2"/>
      <scheme val="minor"/>
    </font>
    <font>
      <b/>
      <sz val="12"/>
      <color theme="1"/>
      <name val="Arial  "/>
    </font>
    <font>
      <i/>
      <sz val="12"/>
      <color theme="1"/>
      <name val="Arial"/>
      <family val="2"/>
    </font>
    <font>
      <sz val="12"/>
      <color theme="1"/>
      <name val="Arial  "/>
    </font>
    <font>
      <sz val="12"/>
      <name val="Arial  "/>
    </font>
    <font>
      <b/>
      <sz val="11"/>
      <color theme="1"/>
      <name val="Swis721 LtCn BT"/>
      <family val="2"/>
    </font>
    <font>
      <i/>
      <u/>
      <sz val="12"/>
      <color theme="1"/>
      <name val="Arial"/>
      <family val="2"/>
    </font>
    <font>
      <b/>
      <sz val="12"/>
      <color theme="1"/>
      <name val="Swis721 LtCn BT"/>
      <family val="2"/>
    </font>
    <font>
      <u/>
      <sz val="12"/>
      <color theme="1"/>
      <name val="Arial"/>
      <family val="2"/>
    </font>
    <font>
      <sz val="11"/>
      <name val="Century Gothic"/>
      <family val="2"/>
    </font>
    <font>
      <b/>
      <sz val="9"/>
      <color rgb="FF000000"/>
      <name val="Tahoma"/>
      <family val="2"/>
    </font>
    <font>
      <sz val="9"/>
      <color rgb="FF000000"/>
      <name val="Tahoma"/>
      <family val="2"/>
    </font>
    <font>
      <b/>
      <sz val="12"/>
      <color theme="0" tint="-0.14999847407452621"/>
      <name val="Calibri"/>
      <family val="2"/>
      <scheme val="minor"/>
    </font>
    <font>
      <b/>
      <sz val="12"/>
      <color theme="0" tint="-0.249977111117893"/>
      <name val="Calibri"/>
      <family val="2"/>
      <scheme val="minor"/>
    </font>
    <font>
      <b/>
      <sz val="12"/>
      <color theme="0"/>
      <name val="Calibri"/>
      <family val="2"/>
      <scheme val="minor"/>
    </font>
    <font>
      <b/>
      <sz val="12"/>
      <color theme="0"/>
      <name val="Arial"/>
      <family val="2"/>
    </font>
    <font>
      <b/>
      <sz val="12"/>
      <color rgb="FF000000"/>
      <name val="Calibri"/>
      <family val="2"/>
    </font>
  </fonts>
  <fills count="2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0" tint="-0.14999847407452621"/>
        <bgColor rgb="FF7F7F7F"/>
      </patternFill>
    </fill>
    <fill>
      <patternFill patternType="solid">
        <fgColor theme="9" tint="0.59999389629810485"/>
        <bgColor rgb="FFC0C0C0"/>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FFFF00"/>
        <bgColor rgb="FFFFFFCC"/>
      </patternFill>
    </fill>
    <fill>
      <patternFill patternType="solid">
        <fgColor rgb="FF7F7F7F"/>
        <bgColor rgb="FF7F7F7F"/>
      </patternFill>
    </fill>
    <fill>
      <patternFill patternType="solid">
        <fgColor rgb="FFC0C0C0"/>
        <bgColor rgb="FFC0C0C0"/>
      </patternFill>
    </fill>
    <fill>
      <patternFill patternType="solid">
        <fgColor theme="9" tint="0.59999389629810485"/>
        <bgColor rgb="FFFFC000"/>
      </patternFill>
    </fill>
  </fills>
  <borders count="1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style="double">
        <color auto="1"/>
      </right>
      <top/>
      <bottom style="double">
        <color auto="1"/>
      </bottom>
      <diagonal/>
    </border>
    <border>
      <left style="double">
        <color auto="1"/>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indexed="64"/>
      </right>
      <top/>
      <bottom/>
      <diagonal/>
    </border>
    <border>
      <left style="double">
        <color auto="1"/>
      </left>
      <right/>
      <top/>
      <bottom/>
      <diagonal/>
    </border>
    <border>
      <left/>
      <right style="double">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auto="1"/>
      </bottom>
      <diagonal/>
    </border>
    <border>
      <left/>
      <right/>
      <top style="double">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double">
        <color indexed="64"/>
      </right>
      <top style="thin">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auto="1"/>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auto="1"/>
      </left>
      <right/>
      <top style="double">
        <color auto="1"/>
      </top>
      <bottom style="thin">
        <color auto="1"/>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indexed="64"/>
      </left>
      <right/>
      <top style="medium">
        <color indexed="64"/>
      </top>
      <bottom/>
      <diagonal/>
    </border>
  </borders>
  <cellStyleXfs count="39">
    <xf numFmtId="0" fontId="0" fillId="0" borderId="0"/>
    <xf numFmtId="168" fontId="2" fillId="0" borderId="0" applyFont="0" applyFill="0" applyBorder="0" applyAlignment="0" applyProtection="0"/>
    <xf numFmtId="9" fontId="2"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171" fontId="14" fillId="0" borderId="0" applyFont="0" applyFill="0" applyBorder="0" applyAlignment="0" applyProtection="0"/>
    <xf numFmtId="0" fontId="8" fillId="0" borderId="0"/>
    <xf numFmtId="0" fontId="2" fillId="0" borderId="0"/>
    <xf numFmtId="0" fontId="8" fillId="0" borderId="0"/>
    <xf numFmtId="176" fontId="2" fillId="0" borderId="0" applyFont="0" applyFill="0" applyBorder="0" applyAlignment="0" applyProtection="0"/>
    <xf numFmtId="166" fontId="8" fillId="0" borderId="0" applyFont="0" applyFill="0" applyBorder="0" applyAlignment="0" applyProtection="0"/>
    <xf numFmtId="178"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2" fillId="0" borderId="0"/>
    <xf numFmtId="41" fontId="8" fillId="0" borderId="0" applyFont="0" applyFill="0" applyBorder="0" applyAlignment="0" applyProtection="0"/>
    <xf numFmtId="183" fontId="2" fillId="0" borderId="0" applyFont="0" applyFill="0" applyBorder="0" applyAlignment="0" applyProtection="0"/>
    <xf numFmtId="9" fontId="8" fillId="0" borderId="0" applyFont="0" applyFill="0" applyBorder="0" applyAlignment="0" applyProtection="0"/>
    <xf numFmtId="0" fontId="2" fillId="0" borderId="0"/>
    <xf numFmtId="41" fontId="2" fillId="0" borderId="0" applyFont="0" applyFill="0" applyBorder="0" applyAlignment="0" applyProtection="0"/>
    <xf numFmtId="166" fontId="2" fillId="0" borderId="0" applyFont="0" applyFill="0" applyBorder="0" applyAlignment="0" applyProtection="0"/>
    <xf numFmtId="0" fontId="46" fillId="0" borderId="0" applyNumberForma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0" fontId="46" fillId="0" borderId="0" applyNumberFormat="0" applyFill="0" applyBorder="0" applyAlignment="0" applyProtection="0"/>
    <xf numFmtId="168" fontId="2" fillId="0" borderId="0" applyFont="0" applyFill="0" applyBorder="0" applyAlignment="0" applyProtection="0"/>
    <xf numFmtId="166" fontId="8" fillId="0" borderId="0" applyFont="0" applyFill="0" applyBorder="0" applyAlignment="0" applyProtection="0"/>
    <xf numFmtId="167" fontId="2" fillId="0" borderId="0" applyFont="0" applyFill="0" applyBorder="0" applyAlignment="0" applyProtection="0"/>
    <xf numFmtId="41" fontId="8"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cellStyleXfs>
  <cellXfs count="901">
    <xf numFmtId="0" fontId="0" fillId="0" borderId="0" xfId="0"/>
    <xf numFmtId="0" fontId="0" fillId="3" borderId="0" xfId="0" applyFill="1" applyAlignment="1" applyProtection="1">
      <alignment vertical="center" wrapText="1"/>
      <protection hidden="1"/>
    </xf>
    <xf numFmtId="0" fontId="6" fillId="4" borderId="7"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8" xfId="3" applyFont="1" applyFill="1" applyBorder="1" applyAlignment="1" applyProtection="1">
      <alignment horizontal="center" vertical="center" wrapText="1"/>
      <protection hidden="1"/>
    </xf>
    <xf numFmtId="0" fontId="5" fillId="4" borderId="8" xfId="0" applyNumberFormat="1" applyFont="1" applyFill="1" applyBorder="1" applyAlignment="1" applyProtection="1">
      <alignment horizontal="center" wrapText="1"/>
      <protection hidden="1"/>
    </xf>
    <xf numFmtId="0" fontId="5" fillId="4" borderId="0" xfId="0" applyNumberFormat="1" applyFont="1" applyFill="1" applyBorder="1" applyAlignment="1" applyProtection="1">
      <alignment horizontal="center" vertical="center" wrapText="1"/>
      <protection hidden="1"/>
    </xf>
    <xf numFmtId="0" fontId="5" fillId="4" borderId="0" xfId="0" applyFont="1" applyFill="1" applyBorder="1" applyAlignment="1" applyProtection="1">
      <alignment vertical="center"/>
      <protection hidden="1"/>
    </xf>
    <xf numFmtId="0" fontId="10" fillId="0" borderId="0" xfId="4" applyFont="1" applyProtection="1">
      <protection hidden="1"/>
    </xf>
    <xf numFmtId="0" fontId="7" fillId="4" borderId="10" xfId="4" applyFont="1" applyFill="1" applyBorder="1" applyAlignment="1" applyProtection="1">
      <alignment vertical="center" wrapText="1"/>
      <protection hidden="1"/>
    </xf>
    <xf numFmtId="0" fontId="7" fillId="4" borderId="6" xfId="4" applyFont="1" applyFill="1" applyBorder="1" applyAlignment="1" applyProtection="1">
      <alignment vertical="center" wrapText="1"/>
      <protection hidden="1"/>
    </xf>
    <xf numFmtId="0" fontId="5" fillId="0" borderId="0" xfId="4" applyFont="1" applyProtection="1">
      <protection hidden="1"/>
    </xf>
    <xf numFmtId="0" fontId="14" fillId="0" borderId="0" xfId="3" applyNumberFormat="1" applyFont="1" applyFill="1" applyAlignment="1" applyProtection="1">
      <alignment vertical="center" wrapText="1"/>
      <protection hidden="1"/>
    </xf>
    <xf numFmtId="0" fontId="14" fillId="0" borderId="0" xfId="3" applyFont="1" applyFill="1" applyAlignment="1" applyProtection="1">
      <alignment vertical="center" wrapText="1"/>
      <protection hidden="1"/>
    </xf>
    <xf numFmtId="0" fontId="6" fillId="0" borderId="0" xfId="8" applyNumberFormat="1" applyFont="1" applyFill="1" applyAlignment="1" applyProtection="1">
      <alignment vertical="center" wrapText="1"/>
      <protection hidden="1"/>
    </xf>
    <xf numFmtId="171" fontId="6" fillId="0" borderId="0" xfId="8" applyFont="1" applyFill="1" applyAlignment="1" applyProtection="1">
      <alignment horizontal="center" vertical="center" wrapText="1"/>
      <protection hidden="1"/>
    </xf>
    <xf numFmtId="171" fontId="6" fillId="0" borderId="0" xfId="8" applyFont="1" applyFill="1" applyAlignment="1" applyProtection="1">
      <alignment vertical="center" wrapText="1"/>
      <protection hidden="1"/>
    </xf>
    <xf numFmtId="171" fontId="6" fillId="7" borderId="8" xfId="8" applyFont="1" applyFill="1" applyBorder="1" applyAlignment="1" applyProtection="1">
      <alignment horizontal="center" vertical="center" wrapText="1"/>
      <protection hidden="1"/>
    </xf>
    <xf numFmtId="174" fontId="4" fillId="7" borderId="8" xfId="8" applyNumberFormat="1" applyFont="1" applyFill="1" applyBorder="1" applyAlignment="1" applyProtection="1">
      <alignment horizontal="center" vertical="center" wrapText="1"/>
      <protection hidden="1"/>
    </xf>
    <xf numFmtId="0" fontId="6" fillId="0" borderId="0" xfId="3" applyNumberFormat="1" applyFont="1" applyFill="1" applyBorder="1" applyAlignment="1" applyProtection="1">
      <alignment vertical="center" wrapText="1"/>
      <protection hidden="1"/>
    </xf>
    <xf numFmtId="172" fontId="6" fillId="0" borderId="0" xfId="8" applyNumberFormat="1" applyFont="1" applyFill="1" applyBorder="1" applyAlignment="1" applyProtection="1">
      <alignment vertical="center" wrapText="1"/>
      <protection hidden="1"/>
    </xf>
    <xf numFmtId="170" fontId="14" fillId="0" borderId="0" xfId="8" applyNumberFormat="1" applyFont="1" applyFill="1" applyBorder="1" applyAlignment="1" applyProtection="1">
      <alignment horizontal="right" vertical="center" wrapText="1"/>
      <protection hidden="1"/>
    </xf>
    <xf numFmtId="174" fontId="14" fillId="0" borderId="0" xfId="8" applyNumberFormat="1" applyFont="1" applyFill="1" applyBorder="1" applyAlignment="1" applyProtection="1">
      <alignment vertical="center" wrapText="1"/>
      <protection hidden="1"/>
    </xf>
    <xf numFmtId="3" fontId="6" fillId="0" borderId="0" xfId="8" applyNumberFormat="1" applyFont="1" applyFill="1" applyBorder="1" applyAlignment="1" applyProtection="1">
      <alignment vertical="center" wrapText="1"/>
      <protection hidden="1"/>
    </xf>
    <xf numFmtId="175" fontId="14" fillId="0" borderId="0" xfId="8" applyNumberFormat="1" applyFont="1" applyFill="1" applyAlignment="1" applyProtection="1">
      <alignment vertical="center" wrapText="1"/>
      <protection hidden="1"/>
    </xf>
    <xf numFmtId="171" fontId="14" fillId="0" borderId="0" xfId="8" applyFont="1" applyFill="1" applyAlignment="1" applyProtection="1">
      <alignment vertical="center" wrapText="1"/>
      <protection hidden="1"/>
    </xf>
    <xf numFmtId="0" fontId="20" fillId="9" borderId="8" xfId="8" applyNumberFormat="1" applyFont="1" applyFill="1" applyBorder="1" applyAlignment="1" applyProtection="1">
      <alignment horizontal="center" vertical="center" wrapText="1"/>
      <protection hidden="1"/>
    </xf>
    <xf numFmtId="0" fontId="21" fillId="9" borderId="8" xfId="0" applyNumberFormat="1" applyFont="1" applyFill="1" applyBorder="1" applyAlignment="1" applyProtection="1">
      <alignment horizontal="center" vertical="center" wrapText="1"/>
      <protection hidden="1"/>
    </xf>
    <xf numFmtId="0" fontId="5" fillId="0" borderId="0" xfId="3" applyFont="1" applyFill="1" applyAlignment="1" applyProtection="1">
      <alignment vertical="center" wrapText="1"/>
      <protection hidden="1"/>
    </xf>
    <xf numFmtId="0" fontId="14" fillId="0" borderId="0" xfId="3" applyFont="1" applyFill="1" applyBorder="1" applyAlignment="1" applyProtection="1">
      <alignment vertical="center" wrapText="1"/>
      <protection hidden="1"/>
    </xf>
    <xf numFmtId="171" fontId="7" fillId="0" borderId="0" xfId="8" applyFont="1" applyFill="1" applyAlignment="1" applyProtection="1">
      <alignment horizontal="center" vertical="center" wrapText="1"/>
      <protection hidden="1"/>
    </xf>
    <xf numFmtId="0" fontId="5" fillId="0" borderId="0" xfId="3" applyFont="1" applyFill="1" applyAlignment="1" applyProtection="1">
      <alignment horizontal="center" vertical="center" wrapText="1"/>
      <protection hidden="1"/>
    </xf>
    <xf numFmtId="0" fontId="4" fillId="9" borderId="8" xfId="3" applyFont="1" applyFill="1" applyBorder="1" applyAlignment="1" applyProtection="1">
      <alignment horizontal="center" vertical="center" wrapText="1"/>
      <protection hidden="1"/>
    </xf>
    <xf numFmtId="9" fontId="7" fillId="7" borderId="8" xfId="3" applyNumberFormat="1" applyFont="1" applyFill="1" applyBorder="1" applyAlignment="1" applyProtection="1">
      <alignment horizontal="center" vertical="center" wrapText="1"/>
      <protection hidden="1"/>
    </xf>
    <xf numFmtId="0" fontId="8" fillId="0" borderId="8" xfId="9" applyBorder="1" applyAlignment="1" applyProtection="1">
      <alignment horizontal="center" vertical="center"/>
      <protection hidden="1"/>
    </xf>
    <xf numFmtId="0" fontId="8" fillId="0" borderId="8" xfId="9" applyBorder="1" applyAlignment="1" applyProtection="1">
      <alignment vertical="center"/>
      <protection hidden="1"/>
    </xf>
    <xf numFmtId="171" fontId="7" fillId="0" borderId="8" xfId="8" applyFont="1" applyFill="1" applyBorder="1" applyAlignment="1" applyProtection="1">
      <alignment horizontal="center" vertical="center" wrapText="1"/>
      <protection hidden="1"/>
    </xf>
    <xf numFmtId="2" fontId="7" fillId="0" borderId="8" xfId="8" applyNumberFormat="1" applyFont="1" applyFill="1" applyBorder="1" applyAlignment="1" applyProtection="1">
      <alignment horizontal="center" vertical="center" wrapText="1"/>
      <protection hidden="1"/>
    </xf>
    <xf numFmtId="0" fontId="7" fillId="0" borderId="8" xfId="8" applyNumberFormat="1" applyFont="1" applyFill="1" applyBorder="1" applyAlignment="1" applyProtection="1">
      <alignment horizontal="center" vertical="center" wrapText="1"/>
      <protection hidden="1"/>
    </xf>
    <xf numFmtId="175" fontId="7" fillId="0" borderId="8" xfId="8" applyNumberFormat="1" applyFont="1" applyFill="1" applyBorder="1" applyAlignment="1" applyProtection="1">
      <alignment vertical="center" wrapText="1"/>
      <protection hidden="1"/>
    </xf>
    <xf numFmtId="171" fontId="7" fillId="0" borderId="4" xfId="8" applyFont="1" applyFill="1" applyBorder="1" applyAlignment="1" applyProtection="1">
      <alignment vertical="center" wrapText="1"/>
      <protection hidden="1"/>
    </xf>
    <xf numFmtId="171" fontId="7" fillId="0" borderId="0" xfId="8" applyFont="1" applyFill="1" applyBorder="1" applyAlignment="1" applyProtection="1">
      <alignment vertical="center" wrapText="1"/>
      <protection hidden="1"/>
    </xf>
    <xf numFmtId="171" fontId="7" fillId="0" borderId="0" xfId="8" applyFont="1" applyFill="1" applyAlignment="1" applyProtection="1">
      <alignment horizontal="center" wrapText="1"/>
      <protection hidden="1"/>
    </xf>
    <xf numFmtId="171" fontId="26" fillId="0" borderId="0" xfId="8" applyFont="1" applyFill="1" applyAlignment="1" applyProtection="1">
      <alignment horizontal="center" wrapText="1"/>
      <protection hidden="1"/>
    </xf>
    <xf numFmtId="4" fontId="4" fillId="0" borderId="8" xfId="3" applyNumberFormat="1" applyFont="1" applyFill="1" applyBorder="1" applyAlignment="1" applyProtection="1">
      <alignment horizontal="center" vertical="center" wrapText="1"/>
      <protection hidden="1"/>
    </xf>
    <xf numFmtId="0" fontId="5" fillId="0" borderId="0" xfId="3" applyFont="1" applyFill="1" applyAlignment="1" applyProtection="1">
      <alignment horizontal="center" wrapText="1"/>
      <protection hidden="1"/>
    </xf>
    <xf numFmtId="0" fontId="14" fillId="0" borderId="0" xfId="3" applyNumberFormat="1" applyFont="1" applyFill="1" applyAlignment="1" applyProtection="1">
      <alignment horizontal="center" vertical="center" wrapText="1"/>
      <protection hidden="1"/>
    </xf>
    <xf numFmtId="0" fontId="14" fillId="0" borderId="0" xfId="3" applyFont="1" applyFill="1" applyAlignment="1" applyProtection="1">
      <alignment horizontal="center" vertical="center" wrapText="1"/>
      <protection hidden="1"/>
    </xf>
    <xf numFmtId="0" fontId="4" fillId="4" borderId="0" xfId="3" applyFont="1" applyFill="1" applyBorder="1" applyAlignment="1" applyProtection="1">
      <alignment horizontal="center" vertical="center" wrapText="1"/>
      <protection hidden="1"/>
    </xf>
    <xf numFmtId="0" fontId="14" fillId="4" borderId="0" xfId="3" applyFont="1" applyFill="1" applyAlignment="1" applyProtection="1">
      <alignment vertical="center" wrapText="1"/>
      <protection hidden="1"/>
    </xf>
    <xf numFmtId="0" fontId="14" fillId="4" borderId="0" xfId="3" applyNumberFormat="1" applyFont="1" applyFill="1" applyAlignment="1" applyProtection="1">
      <alignment horizontal="center" vertical="center" wrapText="1"/>
      <protection hidden="1"/>
    </xf>
    <xf numFmtId="0" fontId="14" fillId="4" borderId="0" xfId="3" applyFont="1" applyFill="1" applyAlignment="1" applyProtection="1">
      <alignment horizontal="center" vertical="center" wrapText="1"/>
      <protection hidden="1"/>
    </xf>
    <xf numFmtId="0" fontId="30" fillId="7" borderId="8" xfId="3" applyFont="1" applyFill="1" applyBorder="1" applyAlignment="1" applyProtection="1">
      <alignment horizontal="center" vertical="center" wrapText="1"/>
      <protection hidden="1"/>
    </xf>
    <xf numFmtId="171" fontId="6" fillId="9" borderId="8" xfId="8" applyFont="1" applyFill="1" applyBorder="1" applyAlignment="1" applyProtection="1">
      <alignment horizontal="center" vertical="center" wrapText="1"/>
      <protection hidden="1"/>
    </xf>
    <xf numFmtId="9" fontId="8" fillId="0" borderId="8" xfId="2" applyFont="1" applyFill="1" applyBorder="1" applyAlignment="1" applyProtection="1">
      <alignment horizontal="center" vertical="center"/>
      <protection hidden="1"/>
    </xf>
    <xf numFmtId="4" fontId="7" fillId="6" borderId="8" xfId="3" applyNumberFormat="1" applyFont="1" applyFill="1" applyBorder="1" applyAlignment="1" applyProtection="1">
      <alignment horizontal="center" vertical="center"/>
      <protection hidden="1"/>
    </xf>
    <xf numFmtId="4" fontId="8" fillId="0" borderId="8" xfId="3" applyNumberFormat="1" applyFont="1" applyFill="1" applyBorder="1" applyAlignment="1" applyProtection="1">
      <alignment horizontal="center" vertical="center"/>
      <protection hidden="1"/>
    </xf>
    <xf numFmtId="0" fontId="6" fillId="0" borderId="8" xfId="8" applyNumberFormat="1" applyFont="1" applyFill="1" applyBorder="1" applyAlignment="1" applyProtection="1">
      <alignment horizontal="center" vertical="center" wrapText="1"/>
      <protection hidden="1"/>
    </xf>
    <xf numFmtId="171" fontId="6" fillId="0" borderId="8" xfId="8" applyFont="1" applyFill="1" applyBorder="1" applyAlignment="1" applyProtection="1">
      <alignment vertical="center" wrapText="1"/>
      <protection hidden="1"/>
    </xf>
    <xf numFmtId="171" fontId="6" fillId="0" borderId="8" xfId="8" applyFont="1" applyFill="1" applyBorder="1" applyAlignment="1" applyProtection="1">
      <alignment horizontal="center" vertical="center" wrapText="1"/>
      <protection hidden="1"/>
    </xf>
    <xf numFmtId="4" fontId="8" fillId="9" borderId="8" xfId="3" applyNumberFormat="1" applyFont="1" applyFill="1" applyBorder="1" applyAlignment="1" applyProtection="1">
      <alignment horizontal="center" vertical="center"/>
      <protection hidden="1"/>
    </xf>
    <xf numFmtId="0" fontId="14" fillId="0" borderId="0" xfId="3" applyFont="1" applyFill="1" applyAlignment="1" applyProtection="1">
      <alignment horizontal="left" vertical="center"/>
      <protection hidden="1"/>
    </xf>
    <xf numFmtId="0" fontId="32" fillId="0" borderId="0" xfId="5" applyFont="1" applyAlignment="1" applyProtection="1">
      <alignment vertical="center"/>
      <protection hidden="1"/>
    </xf>
    <xf numFmtId="0" fontId="16" fillId="7" borderId="8" xfId="5" applyFont="1" applyFill="1" applyBorder="1" applyAlignment="1" applyProtection="1">
      <alignment horizontal="center" vertical="center"/>
      <protection hidden="1"/>
    </xf>
    <xf numFmtId="0" fontId="33" fillId="7" borderId="8" xfId="5" applyFont="1" applyFill="1" applyBorder="1" applyAlignment="1" applyProtection="1">
      <alignment horizontal="center" vertical="center" wrapText="1"/>
      <protection hidden="1"/>
    </xf>
    <xf numFmtId="0" fontId="32" fillId="7" borderId="8" xfId="5" applyFont="1" applyFill="1" applyBorder="1" applyAlignment="1" applyProtection="1">
      <alignment horizontal="center" vertical="center" wrapText="1"/>
      <protection hidden="1"/>
    </xf>
    <xf numFmtId="1" fontId="16" fillId="7" borderId="8" xfId="5" applyNumberFormat="1" applyFont="1" applyFill="1" applyBorder="1" applyAlignment="1" applyProtection="1">
      <alignment horizontal="center" vertical="center" wrapText="1"/>
      <protection hidden="1"/>
    </xf>
    <xf numFmtId="0" fontId="16" fillId="7" borderId="8" xfId="5" applyFont="1" applyFill="1" applyBorder="1" applyAlignment="1" applyProtection="1">
      <alignment horizontal="center" vertical="center" wrapText="1"/>
      <protection hidden="1"/>
    </xf>
    <xf numFmtId="0" fontId="32" fillId="0" borderId="0" xfId="5" applyFont="1" applyAlignment="1" applyProtection="1">
      <alignment horizontal="left" vertical="center"/>
      <protection hidden="1"/>
    </xf>
    <xf numFmtId="171" fontId="6" fillId="0" borderId="8" xfId="8" applyFont="1" applyFill="1" applyBorder="1" applyAlignment="1" applyProtection="1">
      <alignment horizontal="left" vertical="center" wrapText="1"/>
      <protection hidden="1"/>
    </xf>
    <xf numFmtId="0" fontId="0" fillId="0" borderId="0" xfId="0" applyProtection="1">
      <protection hidden="1"/>
    </xf>
    <xf numFmtId="0" fontId="8" fillId="0" borderId="0" xfId="0" applyFont="1" applyFill="1" applyProtection="1">
      <protection hidden="1"/>
    </xf>
    <xf numFmtId="0" fontId="25" fillId="4" borderId="13" xfId="9" applyFont="1" applyFill="1" applyBorder="1" applyAlignment="1" applyProtection="1">
      <alignment horizontal="center" vertical="center"/>
      <protection hidden="1"/>
    </xf>
    <xf numFmtId="0" fontId="4" fillId="0" borderId="8" xfId="9" applyFont="1" applyFill="1" applyBorder="1" applyAlignment="1" applyProtection="1">
      <alignment horizontal="center" vertical="center" textRotation="90" wrapText="1"/>
      <protection hidden="1"/>
    </xf>
    <xf numFmtId="0" fontId="6" fillId="0" borderId="0" xfId="0" applyFont="1" applyFill="1" applyBorder="1" applyAlignment="1" applyProtection="1">
      <protection hidden="1"/>
    </xf>
    <xf numFmtId="0" fontId="14" fillId="0" borderId="0" xfId="0" applyFont="1" applyFill="1" applyBorder="1" applyProtection="1">
      <protection hidden="1"/>
    </xf>
    <xf numFmtId="0" fontId="6" fillId="0" borderId="0" xfId="9" applyFont="1" applyFill="1" applyBorder="1" applyAlignment="1" applyProtection="1">
      <alignment vertical="center"/>
      <protection hidden="1"/>
    </xf>
    <xf numFmtId="0" fontId="14" fillId="0" borderId="0" xfId="0" applyFont="1" applyFill="1" applyProtection="1">
      <protection hidden="1"/>
    </xf>
    <xf numFmtId="0" fontId="14" fillId="0" borderId="0" xfId="0" applyFont="1" applyFill="1" applyAlignment="1" applyProtection="1">
      <protection hidden="1"/>
    </xf>
    <xf numFmtId="0" fontId="14" fillId="0" borderId="0" xfId="0" applyFont="1" applyProtection="1">
      <protection hidden="1"/>
    </xf>
    <xf numFmtId="0" fontId="37" fillId="0" borderId="0" xfId="17" applyFont="1" applyBorder="1" applyProtection="1">
      <protection hidden="1"/>
    </xf>
    <xf numFmtId="0" fontId="37" fillId="0" borderId="0" xfId="17" applyFont="1" applyProtection="1">
      <protection hidden="1"/>
    </xf>
    <xf numFmtId="0" fontId="37" fillId="4" borderId="0" xfId="17" applyFont="1" applyFill="1" applyProtection="1">
      <protection hidden="1"/>
    </xf>
    <xf numFmtId="0" fontId="35" fillId="3" borderId="30" xfId="17" applyFont="1" applyFill="1" applyBorder="1" applyAlignment="1" applyProtection="1">
      <alignment horizontal="center"/>
      <protection hidden="1"/>
    </xf>
    <xf numFmtId="166" fontId="35" fillId="7" borderId="31" xfId="13" applyFont="1" applyFill="1" applyBorder="1" applyAlignment="1" applyProtection="1">
      <alignment horizontal="center" vertical="center"/>
      <protection hidden="1"/>
    </xf>
    <xf numFmtId="0" fontId="35" fillId="3" borderId="32" xfId="17" applyFont="1" applyFill="1" applyBorder="1" applyAlignment="1" applyProtection="1">
      <alignment horizontal="center" vertical="center" wrapText="1"/>
      <protection hidden="1"/>
    </xf>
    <xf numFmtId="181" fontId="35" fillId="7" borderId="33" xfId="17" applyNumberFormat="1" applyFont="1" applyFill="1" applyBorder="1" applyAlignment="1" applyProtection="1">
      <alignment horizontal="center" vertical="center"/>
      <protection hidden="1"/>
    </xf>
    <xf numFmtId="0" fontId="37" fillId="4" borderId="0" xfId="17" applyFont="1" applyFill="1" applyBorder="1" applyProtection="1">
      <protection hidden="1"/>
    </xf>
    <xf numFmtId="164" fontId="37" fillId="4" borderId="0" xfId="17" applyNumberFormat="1" applyFont="1" applyFill="1" applyProtection="1">
      <protection hidden="1"/>
    </xf>
    <xf numFmtId="0" fontId="35" fillId="3" borderId="8" xfId="17" applyFont="1" applyFill="1" applyBorder="1" applyAlignment="1" applyProtection="1">
      <alignment horizontal="center" vertical="center"/>
      <protection hidden="1"/>
    </xf>
    <xf numFmtId="0" fontId="37" fillId="4" borderId="0" xfId="17" applyFont="1" applyFill="1" applyBorder="1" applyAlignment="1" applyProtection="1">
      <alignment horizontal="center"/>
      <protection hidden="1"/>
    </xf>
    <xf numFmtId="0" fontId="37" fillId="4" borderId="0" xfId="17" applyFont="1" applyFill="1" applyAlignment="1" applyProtection="1">
      <alignment horizontal="left"/>
      <protection hidden="1"/>
    </xf>
    <xf numFmtId="0" fontId="35" fillId="3" borderId="8" xfId="17" applyFont="1" applyFill="1" applyBorder="1" applyAlignment="1" applyProtection="1">
      <alignment horizontal="center" vertical="center" wrapText="1"/>
      <protection hidden="1"/>
    </xf>
    <xf numFmtId="0" fontId="35" fillId="3" borderId="8" xfId="17" applyFont="1" applyFill="1" applyBorder="1" applyAlignment="1" applyProtection="1">
      <alignment vertical="center" wrapText="1"/>
      <protection hidden="1"/>
    </xf>
    <xf numFmtId="0" fontId="35" fillId="3" borderId="14" xfId="17" applyFont="1" applyFill="1" applyBorder="1" applyAlignment="1" applyProtection="1">
      <alignment horizontal="center" vertical="center" wrapText="1"/>
      <protection hidden="1"/>
    </xf>
    <xf numFmtId="0" fontId="35" fillId="3" borderId="13" xfId="17" applyFont="1" applyFill="1" applyBorder="1" applyAlignment="1" applyProtection="1">
      <alignment horizontal="center" vertical="center" wrapText="1"/>
      <protection hidden="1"/>
    </xf>
    <xf numFmtId="0" fontId="35" fillId="4" borderId="8" xfId="17" applyFont="1" applyFill="1" applyBorder="1" applyAlignment="1" applyProtection="1">
      <alignment horizontal="center" vertical="center"/>
      <protection hidden="1"/>
    </xf>
    <xf numFmtId="0" fontId="35" fillId="9" borderId="8" xfId="17" applyFont="1" applyFill="1" applyBorder="1" applyAlignment="1" applyProtection="1">
      <alignment horizontal="center" vertical="center" wrapText="1"/>
      <protection hidden="1"/>
    </xf>
    <xf numFmtId="182" fontId="37" fillId="4" borderId="8" xfId="17" applyNumberFormat="1" applyFont="1" applyFill="1" applyBorder="1" applyAlignment="1" applyProtection="1">
      <alignment horizontal="center" vertical="center"/>
      <protection hidden="1"/>
    </xf>
    <xf numFmtId="10" fontId="37" fillId="4" borderId="8" xfId="15" applyNumberFormat="1" applyFont="1" applyFill="1" applyBorder="1" applyAlignment="1" applyProtection="1">
      <alignment horizontal="center" vertical="center"/>
      <protection hidden="1"/>
    </xf>
    <xf numFmtId="2" fontId="37" fillId="4" borderId="8" xfId="17" applyNumberFormat="1" applyFont="1" applyFill="1" applyBorder="1" applyAlignment="1" applyProtection="1">
      <alignment horizontal="center" vertical="center"/>
      <protection hidden="1"/>
    </xf>
    <xf numFmtId="2" fontId="35" fillId="4" borderId="8" xfId="17" applyNumberFormat="1" applyFont="1" applyFill="1" applyBorder="1" applyAlignment="1" applyProtection="1">
      <alignment horizontal="center" vertical="center"/>
      <protection hidden="1"/>
    </xf>
    <xf numFmtId="1" fontId="35" fillId="0" borderId="8" xfId="17" applyNumberFormat="1" applyFont="1" applyFill="1" applyBorder="1" applyAlignment="1" applyProtection="1">
      <alignment horizontal="center" vertical="center"/>
      <protection hidden="1"/>
    </xf>
    <xf numFmtId="0" fontId="37" fillId="0" borderId="0" xfId="17" applyFont="1" applyAlignment="1" applyProtection="1">
      <alignment vertical="center"/>
      <protection hidden="1"/>
    </xf>
    <xf numFmtId="180" fontId="37" fillId="0" borderId="0" xfId="17" applyNumberFormat="1" applyFont="1" applyBorder="1" applyAlignment="1" applyProtection="1">
      <alignment vertical="center"/>
      <protection hidden="1"/>
    </xf>
    <xf numFmtId="1" fontId="37" fillId="0" borderId="0" xfId="17" applyNumberFormat="1" applyFont="1" applyBorder="1" applyAlignment="1" applyProtection="1">
      <alignment horizontal="center" vertical="center"/>
      <protection hidden="1"/>
    </xf>
    <xf numFmtId="9" fontId="37" fillId="0" borderId="0" xfId="17" applyNumberFormat="1" applyFont="1" applyProtection="1">
      <protection hidden="1"/>
    </xf>
    <xf numFmtId="0" fontId="8" fillId="4" borderId="11" xfId="9" applyFill="1" applyBorder="1" applyAlignment="1" applyProtection="1">
      <alignment horizontal="center" vertical="center"/>
      <protection hidden="1"/>
    </xf>
    <xf numFmtId="177" fontId="39" fillId="0" borderId="11" xfId="13" applyNumberFormat="1" applyFont="1" applyBorder="1" applyAlignment="1" applyProtection="1">
      <alignment horizontal="center" vertical="center"/>
      <protection hidden="1"/>
    </xf>
    <xf numFmtId="170" fontId="39" fillId="0" borderId="11" xfId="0" applyNumberFormat="1" applyFont="1" applyBorder="1" applyAlignment="1" applyProtection="1">
      <alignment horizontal="center" vertical="center"/>
      <protection hidden="1"/>
    </xf>
    <xf numFmtId="0" fontId="25" fillId="0" borderId="0" xfId="0" applyFont="1" applyFill="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43" fillId="0" borderId="0" xfId="0" applyFont="1" applyProtection="1">
      <protection hidden="1"/>
    </xf>
    <xf numFmtId="0" fontId="14" fillId="0" borderId="8"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protection hidden="1"/>
    </xf>
    <xf numFmtId="0" fontId="6" fillId="9" borderId="8" xfId="0" applyFont="1" applyFill="1" applyBorder="1" applyAlignment="1" applyProtection="1">
      <alignment horizontal="center" vertical="center" wrapText="1"/>
      <protection hidden="1"/>
    </xf>
    <xf numFmtId="0" fontId="44" fillId="0" borderId="8" xfId="0" applyFont="1" applyBorder="1" applyAlignment="1" applyProtection="1">
      <alignment horizontal="left" vertical="center"/>
      <protection hidden="1"/>
    </xf>
    <xf numFmtId="0" fontId="14" fillId="0" borderId="8"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10" fontId="4" fillId="0" borderId="8" xfId="15" applyNumberFormat="1" applyFont="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8" fillId="0" borderId="0" xfId="0" applyFont="1" applyProtection="1">
      <protection hidden="1"/>
    </xf>
    <xf numFmtId="0" fontId="14" fillId="15" borderId="8" xfId="0"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protection hidden="1"/>
    </xf>
    <xf numFmtId="0" fontId="14" fillId="15" borderId="8" xfId="0" applyFont="1" applyFill="1" applyBorder="1" applyAlignment="1" applyProtection="1">
      <alignment horizontal="center" vertical="center"/>
      <protection hidden="1"/>
    </xf>
    <xf numFmtId="169" fontId="14" fillId="0" borderId="8" xfId="0" applyNumberFormat="1" applyFont="1" applyBorder="1" applyAlignment="1" applyProtection="1">
      <alignment horizontal="center" vertical="center"/>
      <protection hidden="1"/>
    </xf>
    <xf numFmtId="2" fontId="14" fillId="0" borderId="8" xfId="0" applyNumberFormat="1" applyFont="1" applyFill="1" applyBorder="1" applyAlignment="1" applyProtection="1">
      <alignment horizontal="center" vertical="center"/>
      <protection hidden="1"/>
    </xf>
    <xf numFmtId="0" fontId="6" fillId="9" borderId="8" xfId="0" applyFont="1" applyFill="1" applyBorder="1" applyAlignment="1" applyProtection="1">
      <alignment vertical="center"/>
      <protection hidden="1"/>
    </xf>
    <xf numFmtId="0" fontId="20" fillId="9" borderId="15" xfId="0" applyFont="1" applyFill="1" applyBorder="1" applyAlignment="1" applyProtection="1">
      <alignment vertical="center"/>
      <protection hidden="1"/>
    </xf>
    <xf numFmtId="0" fontId="20" fillId="9" borderId="7" xfId="0" applyFont="1" applyFill="1" applyBorder="1" applyAlignment="1" applyProtection="1">
      <alignment vertical="center"/>
      <protection hidden="1"/>
    </xf>
    <xf numFmtId="0" fontId="20" fillId="9" borderId="16" xfId="0" applyFont="1" applyFill="1" applyBorder="1" applyAlignment="1" applyProtection="1">
      <alignment vertical="center"/>
      <protection hidden="1"/>
    </xf>
    <xf numFmtId="0" fontId="19" fillId="9" borderId="11" xfId="0" applyFont="1" applyFill="1" applyBorder="1" applyAlignment="1" applyProtection="1">
      <alignment horizontal="center" vertical="center" wrapText="1"/>
      <protection hidden="1"/>
    </xf>
    <xf numFmtId="0" fontId="19" fillId="9" borderId="11" xfId="3" applyFont="1" applyFill="1" applyBorder="1" applyAlignment="1" applyProtection="1">
      <alignment horizontal="center" vertical="center" wrapText="1"/>
      <protection hidden="1"/>
    </xf>
    <xf numFmtId="0" fontId="19" fillId="12" borderId="14" xfId="0" applyFont="1" applyFill="1" applyBorder="1" applyAlignment="1" applyProtection="1">
      <alignment horizontal="center" vertical="center" wrapText="1"/>
      <protection hidden="1"/>
    </xf>
    <xf numFmtId="0" fontId="19" fillId="0" borderId="8" xfId="0" applyNumberFormat="1" applyFont="1" applyFill="1" applyBorder="1" applyAlignment="1" applyProtection="1">
      <alignment horizontal="center" vertical="center" wrapText="1"/>
      <protection hidden="1"/>
    </xf>
    <xf numFmtId="0" fontId="19" fillId="0" borderId="8" xfId="0" applyFont="1" applyBorder="1" applyAlignment="1" applyProtection="1">
      <alignment vertical="center"/>
      <protection hidden="1"/>
    </xf>
    <xf numFmtId="0" fontId="19" fillId="0" borderId="8" xfId="0" applyFont="1" applyBorder="1" applyAlignment="1" applyProtection="1">
      <alignment horizontal="center"/>
      <protection hidden="1"/>
    </xf>
    <xf numFmtId="0" fontId="29" fillId="0" borderId="8"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29" fillId="2" borderId="0" xfId="3" applyFont="1" applyFill="1" applyBorder="1" applyAlignment="1" applyProtection="1">
      <alignment horizontal="left" vertical="center" wrapText="1"/>
      <protection hidden="1"/>
    </xf>
    <xf numFmtId="0" fontId="45" fillId="0" borderId="0" xfId="17" applyFont="1" applyProtection="1">
      <protection hidden="1"/>
    </xf>
    <xf numFmtId="0" fontId="0" fillId="0" borderId="0" xfId="0" applyAlignment="1" applyProtection="1">
      <alignment vertical="center"/>
      <protection hidden="1"/>
    </xf>
    <xf numFmtId="170" fontId="0" fillId="0" borderId="0" xfId="0" applyNumberFormat="1" applyProtection="1">
      <protection hidden="1"/>
    </xf>
    <xf numFmtId="0" fontId="5" fillId="0" borderId="0" xfId="0" applyFont="1" applyAlignment="1" applyProtection="1">
      <alignment vertical="center"/>
      <protection hidden="1"/>
    </xf>
    <xf numFmtId="0" fontId="9" fillId="3" borderId="8" xfId="0" applyFont="1" applyFill="1" applyBorder="1" applyAlignment="1" applyProtection="1">
      <alignment horizontal="center" vertical="center" wrapText="1"/>
      <protection hidden="1"/>
    </xf>
    <xf numFmtId="0" fontId="6" fillId="3" borderId="8" xfId="0" applyFont="1" applyFill="1" applyBorder="1" applyAlignment="1" applyProtection="1">
      <alignment vertical="center"/>
      <protection hidden="1"/>
    </xf>
    <xf numFmtId="0" fontId="9" fillId="9" borderId="8" xfId="0" applyNumberFormat="1" applyFont="1" applyFill="1" applyBorder="1" applyAlignment="1" applyProtection="1">
      <alignment horizontal="center" vertical="center"/>
      <protection hidden="1"/>
    </xf>
    <xf numFmtId="177" fontId="9" fillId="3" borderId="8" xfId="0" applyNumberFormat="1" applyFont="1" applyFill="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84" fontId="0" fillId="9" borderId="8" xfId="1" applyNumberFormat="1" applyFont="1" applyFill="1" applyBorder="1" applyAlignment="1" applyProtection="1">
      <alignment horizontal="center" vertical="center"/>
      <protection hidden="1"/>
    </xf>
    <xf numFmtId="0" fontId="6" fillId="3" borderId="8" xfId="0" applyFont="1" applyFill="1" applyBorder="1" applyAlignment="1" applyProtection="1">
      <alignment horizontal="centerContinuous" vertical="center"/>
      <protection hidden="1"/>
    </xf>
    <xf numFmtId="10" fontId="35" fillId="7" borderId="29" xfId="2" applyNumberFormat="1" applyFont="1" applyFill="1" applyBorder="1" applyAlignment="1" applyProtection="1">
      <alignment horizontal="center" vertical="center"/>
      <protection hidden="1"/>
    </xf>
    <xf numFmtId="166" fontId="37" fillId="0" borderId="0" xfId="17" applyNumberFormat="1" applyFont="1" applyProtection="1">
      <protection hidden="1"/>
    </xf>
    <xf numFmtId="10" fontId="37" fillId="0" borderId="0" xfId="2" applyNumberFormat="1" applyFont="1" applyBorder="1" applyProtection="1">
      <protection hidden="1"/>
    </xf>
    <xf numFmtId="0" fontId="6" fillId="9" borderId="8"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5" fillId="4" borderId="8" xfId="0" applyFont="1" applyFill="1" applyBorder="1" applyAlignment="1" applyProtection="1">
      <protection hidden="1"/>
    </xf>
    <xf numFmtId="0" fontId="5" fillId="4" borderId="8" xfId="0" applyFont="1" applyFill="1" applyBorder="1" applyAlignment="1" applyProtection="1">
      <alignment wrapText="1"/>
      <protection hidden="1"/>
    </xf>
    <xf numFmtId="0" fontId="10" fillId="0" borderId="0" xfId="4" applyFont="1" applyFill="1" applyProtection="1">
      <protection hidden="1"/>
    </xf>
    <xf numFmtId="0" fontId="7" fillId="4" borderId="5" xfId="4" applyFont="1" applyFill="1" applyBorder="1" applyAlignment="1" applyProtection="1">
      <alignment horizontal="center" vertical="center" wrapText="1"/>
      <protection hidden="1"/>
    </xf>
    <xf numFmtId="0" fontId="12" fillId="2" borderId="0" xfId="5" applyFont="1" applyFill="1" applyAlignment="1" applyProtection="1">
      <alignment vertical="center"/>
      <protection hidden="1"/>
    </xf>
    <xf numFmtId="0" fontId="6" fillId="4" borderId="12" xfId="5" applyFont="1" applyFill="1" applyBorder="1" applyAlignment="1" applyProtection="1">
      <alignment horizontal="center" vertical="center" wrapText="1"/>
      <protection hidden="1"/>
    </xf>
    <xf numFmtId="0" fontId="6" fillId="4" borderId="0" xfId="5" applyFont="1" applyFill="1" applyBorder="1" applyAlignment="1" applyProtection="1">
      <alignment horizontal="center" vertical="center" wrapText="1"/>
      <protection hidden="1"/>
    </xf>
    <xf numFmtId="0" fontId="13" fillId="7" borderId="8" xfId="5" applyFont="1" applyFill="1" applyBorder="1" applyAlignment="1" applyProtection="1">
      <alignment horizontal="center" vertical="center" wrapText="1"/>
      <protection hidden="1"/>
    </xf>
    <xf numFmtId="0" fontId="12" fillId="7" borderId="8" xfId="5" applyFont="1" applyFill="1" applyBorder="1" applyAlignment="1" applyProtection="1">
      <alignment horizontal="center" vertical="center" wrapText="1"/>
      <protection hidden="1"/>
    </xf>
    <xf numFmtId="0" fontId="6" fillId="4" borderId="8" xfId="5" applyFont="1" applyFill="1" applyBorder="1" applyAlignment="1" applyProtection="1">
      <alignment vertical="center" wrapText="1"/>
      <protection hidden="1"/>
    </xf>
    <xf numFmtId="0" fontId="12" fillId="4" borderId="8" xfId="5" applyFont="1" applyFill="1" applyBorder="1" applyAlignment="1" applyProtection="1">
      <alignment horizontal="center" vertical="center" wrapText="1"/>
      <protection hidden="1"/>
    </xf>
    <xf numFmtId="0" fontId="12" fillId="6" borderId="8" xfId="5" applyFont="1" applyFill="1" applyBorder="1" applyAlignment="1" applyProtection="1">
      <alignment horizontal="center" vertical="center" wrapText="1"/>
      <protection hidden="1"/>
    </xf>
    <xf numFmtId="0" fontId="6" fillId="6" borderId="8" xfId="5" applyFont="1" applyFill="1" applyBorder="1" applyAlignment="1" applyProtection="1">
      <alignment vertical="center"/>
      <protection hidden="1"/>
    </xf>
    <xf numFmtId="0" fontId="14" fillId="6" borderId="8" xfId="5" applyFont="1" applyFill="1" applyBorder="1" applyAlignment="1" applyProtection="1">
      <alignment horizontal="justify" vertical="center" wrapText="1"/>
      <protection hidden="1"/>
    </xf>
    <xf numFmtId="0" fontId="15" fillId="0" borderId="8" xfId="5" applyFont="1" applyFill="1" applyBorder="1" applyAlignment="1" applyProtection="1">
      <alignment horizontal="center" vertical="center" wrapText="1"/>
      <protection hidden="1"/>
    </xf>
    <xf numFmtId="0" fontId="12" fillId="0" borderId="8" xfId="5" applyFont="1" applyFill="1" applyBorder="1" applyAlignment="1" applyProtection="1">
      <alignment horizontal="center" vertical="center" wrapText="1"/>
      <protection hidden="1"/>
    </xf>
    <xf numFmtId="0" fontId="6" fillId="6" borderId="8" xfId="5" applyFont="1" applyFill="1" applyBorder="1" applyAlignment="1" applyProtection="1">
      <alignment horizontal="right" vertical="center" wrapText="1"/>
      <protection hidden="1"/>
    </xf>
    <xf numFmtId="0" fontId="17" fillId="0" borderId="8" xfId="5" applyFont="1" applyFill="1" applyBorder="1" applyAlignment="1" applyProtection="1">
      <alignment horizontal="left" vertical="center"/>
      <protection hidden="1"/>
    </xf>
    <xf numFmtId="0" fontId="12" fillId="8" borderId="8" xfId="5" applyFont="1" applyFill="1" applyBorder="1" applyAlignment="1" applyProtection="1">
      <alignment horizontal="center" vertical="center"/>
      <protection hidden="1"/>
    </xf>
    <xf numFmtId="0" fontId="6" fillId="8" borderId="8" xfId="5" applyFont="1" applyFill="1" applyBorder="1" applyAlignment="1" applyProtection="1">
      <alignment vertical="center"/>
      <protection hidden="1"/>
    </xf>
    <xf numFmtId="0" fontId="14" fillId="0" borderId="8" xfId="5" applyFont="1" applyFill="1" applyBorder="1" applyAlignment="1" applyProtection="1">
      <alignment horizontal="center" vertical="center"/>
      <protection hidden="1"/>
    </xf>
    <xf numFmtId="0" fontId="14" fillId="8" borderId="8" xfId="0" applyFont="1" applyFill="1" applyBorder="1" applyAlignment="1" applyProtection="1">
      <alignment horizontal="justify" vertical="center" wrapText="1"/>
      <protection hidden="1"/>
    </xf>
    <xf numFmtId="0" fontId="12" fillId="8" borderId="8" xfId="5" applyFont="1" applyFill="1" applyBorder="1" applyAlignment="1" applyProtection="1">
      <alignment horizontal="right" vertical="center"/>
      <protection hidden="1"/>
    </xf>
    <xf numFmtId="0" fontId="12" fillId="0" borderId="0" xfId="5" applyFont="1" applyFill="1" applyAlignment="1" applyProtection="1">
      <alignment vertical="center"/>
      <protection hidden="1"/>
    </xf>
    <xf numFmtId="173" fontId="4" fillId="9" borderId="8" xfId="8" applyNumberFormat="1" applyFont="1" applyFill="1" applyBorder="1" applyAlignment="1" applyProtection="1">
      <alignment horizontal="center" vertical="center" wrapText="1"/>
      <protection hidden="1"/>
    </xf>
    <xf numFmtId="9" fontId="7" fillId="5" borderId="8" xfId="3" applyNumberFormat="1" applyFont="1" applyFill="1" applyBorder="1" applyAlignment="1" applyProtection="1">
      <alignment horizontal="center" vertical="center" wrapText="1"/>
      <protection hidden="1"/>
    </xf>
    <xf numFmtId="4" fontId="8" fillId="9" borderId="8" xfId="8" applyNumberFormat="1" applyFont="1" applyFill="1" applyBorder="1" applyAlignment="1" applyProtection="1">
      <alignment horizontal="center" vertical="center" wrapText="1"/>
      <protection hidden="1"/>
    </xf>
    <xf numFmtId="0" fontId="32" fillId="0" borderId="8" xfId="5" applyFont="1" applyFill="1" applyBorder="1" applyAlignment="1" applyProtection="1">
      <alignment horizontal="center" vertical="center" wrapText="1"/>
      <protection hidden="1"/>
    </xf>
    <xf numFmtId="0" fontId="34" fillId="4" borderId="0" xfId="10" applyFont="1" applyFill="1" applyAlignment="1" applyProtection="1">
      <alignment vertical="center"/>
      <protection hidden="1"/>
    </xf>
    <xf numFmtId="0" fontId="34" fillId="0" borderId="0" xfId="10" applyFont="1" applyAlignment="1" applyProtection="1">
      <alignment vertical="center"/>
      <protection hidden="1"/>
    </xf>
    <xf numFmtId="0" fontId="34" fillId="0" borderId="0" xfId="10" applyFont="1" applyFill="1" applyAlignment="1" applyProtection="1">
      <alignment vertical="center"/>
      <protection hidden="1"/>
    </xf>
    <xf numFmtId="0" fontId="37" fillId="0" borderId="0" xfId="10" applyFont="1" applyFill="1" applyAlignment="1" applyProtection="1">
      <alignment vertical="center"/>
      <protection hidden="1"/>
    </xf>
    <xf numFmtId="0" fontId="19" fillId="9"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179" fontId="40" fillId="9" borderId="29" xfId="18" applyNumberFormat="1" applyFont="1" applyFill="1" applyBorder="1" applyAlignment="1" applyProtection="1">
      <alignment horizontal="center" vertical="center"/>
      <protection hidden="1"/>
    </xf>
    <xf numFmtId="14" fontId="35" fillId="9" borderId="29" xfId="17" applyNumberFormat="1" applyFont="1" applyFill="1" applyBorder="1" applyAlignment="1" applyProtection="1">
      <alignment horizontal="center" vertical="center" wrapText="1"/>
      <protection hidden="1"/>
    </xf>
    <xf numFmtId="0" fontId="35" fillId="9" borderId="29" xfId="17" applyFont="1" applyFill="1" applyBorder="1" applyAlignment="1" applyProtection="1">
      <alignment horizontal="center" vertical="center"/>
      <protection hidden="1"/>
    </xf>
    <xf numFmtId="164" fontId="35" fillId="9" borderId="29" xfId="17" applyNumberFormat="1" applyFont="1" applyFill="1" applyBorder="1" applyAlignment="1" applyProtection="1">
      <alignment horizontal="center" vertical="center" wrapText="1"/>
      <protection hidden="1"/>
    </xf>
    <xf numFmtId="0" fontId="35" fillId="9" borderId="8" xfId="18" applyNumberFormat="1" applyFont="1" applyFill="1" applyBorder="1" applyAlignment="1" applyProtection="1">
      <alignment horizontal="center" vertical="center" wrapText="1"/>
      <protection hidden="1"/>
    </xf>
    <xf numFmtId="0" fontId="35" fillId="9" borderId="15" xfId="17" applyFont="1" applyFill="1" applyBorder="1" applyAlignment="1" applyProtection="1">
      <alignment horizontal="center" vertical="center" wrapText="1"/>
      <protection hidden="1"/>
    </xf>
    <xf numFmtId="0" fontId="35" fillId="9" borderId="7" xfId="17" applyFont="1" applyFill="1" applyBorder="1" applyAlignment="1" applyProtection="1">
      <alignment horizontal="center" vertical="center" wrapText="1"/>
      <protection hidden="1"/>
    </xf>
    <xf numFmtId="0" fontId="35" fillId="9" borderId="16" xfId="17" applyFont="1" applyFill="1" applyBorder="1" applyAlignment="1" applyProtection="1">
      <alignment horizontal="center" vertical="center" wrapText="1"/>
      <protection hidden="1"/>
    </xf>
    <xf numFmtId="0" fontId="6" fillId="9" borderId="8" xfId="0" applyFont="1" applyFill="1" applyBorder="1" applyAlignment="1" applyProtection="1">
      <alignment horizontal="center" vertical="center"/>
      <protection hidden="1"/>
    </xf>
    <xf numFmtId="0" fontId="5" fillId="4" borderId="8" xfId="0" applyNumberFormat="1" applyFont="1" applyFill="1" applyBorder="1" applyAlignment="1" applyProtection="1">
      <alignment horizontal="left" wrapText="1"/>
      <protection hidden="1"/>
    </xf>
    <xf numFmtId="22" fontId="10" fillId="0" borderId="0" xfId="4" applyNumberFormat="1" applyFont="1" applyProtection="1">
      <protection hidden="1"/>
    </xf>
    <xf numFmtId="0" fontId="5" fillId="0" borderId="8" xfId="4" applyFont="1" applyBorder="1" applyAlignment="1" applyProtection="1">
      <alignment horizontal="left" vertical="center" wrapText="1"/>
      <protection hidden="1"/>
    </xf>
    <xf numFmtId="0" fontId="14" fillId="8" borderId="8" xfId="5" applyFont="1" applyFill="1" applyBorder="1" applyAlignment="1" applyProtection="1">
      <alignment horizontal="left" vertical="center" wrapText="1"/>
      <protection hidden="1"/>
    </xf>
    <xf numFmtId="3" fontId="37" fillId="0" borderId="0" xfId="17" applyNumberFormat="1" applyFont="1" applyProtection="1">
      <protection hidden="1"/>
    </xf>
    <xf numFmtId="41" fontId="37" fillId="0" borderId="0" xfId="22" applyFont="1" applyProtection="1">
      <protection hidden="1"/>
    </xf>
    <xf numFmtId="41" fontId="37" fillId="0" borderId="0" xfId="17" applyNumberFormat="1" applyFont="1" applyProtection="1">
      <protection hidden="1"/>
    </xf>
    <xf numFmtId="170" fontId="14" fillId="0" borderId="0" xfId="0" applyNumberFormat="1" applyFont="1" applyFill="1" applyAlignment="1" applyProtection="1">
      <protection hidden="1"/>
    </xf>
    <xf numFmtId="169" fontId="14" fillId="0" borderId="0" xfId="0" applyNumberFormat="1" applyFont="1" applyFill="1" applyAlignment="1" applyProtection="1">
      <protection hidden="1"/>
    </xf>
    <xf numFmtId="182" fontId="37" fillId="0" borderId="0" xfId="17" applyNumberFormat="1" applyFont="1" applyProtection="1">
      <protection hidden="1"/>
    </xf>
    <xf numFmtId="177" fontId="0" fillId="0" borderId="0" xfId="0" applyNumberFormat="1" applyProtection="1">
      <protection hidden="1"/>
    </xf>
    <xf numFmtId="0" fontId="7" fillId="4" borderId="3" xfId="4" applyFont="1" applyFill="1" applyBorder="1" applyAlignment="1" applyProtection="1">
      <alignment horizontal="center" vertical="center" wrapText="1"/>
      <protection hidden="1"/>
    </xf>
    <xf numFmtId="0" fontId="7" fillId="4" borderId="0" xfId="4" applyFont="1" applyFill="1" applyBorder="1" applyAlignment="1" applyProtection="1">
      <alignment vertical="center" wrapText="1"/>
      <protection hidden="1"/>
    </xf>
    <xf numFmtId="0" fontId="7" fillId="4" borderId="4" xfId="4" applyFont="1" applyFill="1" applyBorder="1" applyAlignment="1" applyProtection="1">
      <alignment vertical="center" wrapText="1"/>
      <protection hidden="1"/>
    </xf>
    <xf numFmtId="166" fontId="5" fillId="5" borderId="56" xfId="23" applyFont="1" applyFill="1" applyBorder="1" applyAlignment="1" applyProtection="1">
      <alignment horizontal="center" vertical="center" wrapText="1"/>
      <protection hidden="1"/>
    </xf>
    <xf numFmtId="9" fontId="5" fillId="5" borderId="56" xfId="2" applyFont="1" applyFill="1" applyBorder="1" applyAlignment="1" applyProtection="1">
      <alignment horizontal="center" vertical="center" wrapText="1"/>
      <protection hidden="1"/>
    </xf>
    <xf numFmtId="0" fontId="5" fillId="0" borderId="58" xfId="4" applyFont="1" applyBorder="1" applyAlignment="1" applyProtection="1">
      <alignment horizontal="left" vertical="center" wrapText="1"/>
      <protection hidden="1"/>
    </xf>
    <xf numFmtId="0" fontId="5" fillId="0" borderId="33" xfId="4" applyFont="1" applyBorder="1" applyAlignment="1" applyProtection="1">
      <alignment horizontal="left" vertical="center" wrapText="1"/>
      <protection hidden="1"/>
    </xf>
    <xf numFmtId="0" fontId="7" fillId="3" borderId="61" xfId="4" applyFont="1" applyFill="1" applyBorder="1" applyAlignment="1" applyProtection="1">
      <alignment horizontal="center" vertical="center"/>
      <protection hidden="1"/>
    </xf>
    <xf numFmtId="0" fontId="5" fillId="0" borderId="62" xfId="4" applyNumberFormat="1" applyFont="1" applyBorder="1" applyAlignment="1" applyProtection="1">
      <alignment horizontal="center" vertical="center"/>
      <protection hidden="1"/>
    </xf>
    <xf numFmtId="0" fontId="5" fillId="0" borderId="48" xfId="4" applyNumberFormat="1" applyFont="1" applyBorder="1" applyAlignment="1" applyProtection="1">
      <alignment horizontal="center" vertical="center"/>
      <protection hidden="1"/>
    </xf>
    <xf numFmtId="1" fontId="5" fillId="5" borderId="8" xfId="23" applyNumberFormat="1" applyFont="1" applyFill="1" applyBorder="1" applyAlignment="1" applyProtection="1">
      <alignment horizontal="center" vertical="center" wrapText="1"/>
      <protection hidden="1"/>
    </xf>
    <xf numFmtId="0" fontId="7" fillId="3" borderId="63" xfId="4" applyFont="1" applyFill="1" applyBorder="1" applyAlignment="1" applyProtection="1">
      <alignment horizontal="center" vertical="center" wrapText="1"/>
      <protection hidden="1"/>
    </xf>
    <xf numFmtId="0" fontId="7" fillId="3" borderId="64" xfId="4" applyFont="1" applyFill="1" applyBorder="1" applyAlignment="1" applyProtection="1">
      <alignment horizontal="center" vertical="center" wrapText="1"/>
      <protection hidden="1"/>
    </xf>
    <xf numFmtId="0" fontId="7" fillId="3" borderId="63" xfId="4" applyFont="1" applyFill="1" applyBorder="1" applyAlignment="1" applyProtection="1">
      <alignment horizontal="center" vertical="center"/>
      <protection hidden="1"/>
    </xf>
    <xf numFmtId="0" fontId="7" fillId="3" borderId="65" xfId="4" applyFont="1" applyFill="1" applyBorder="1" applyAlignment="1" applyProtection="1">
      <alignment horizontal="center" vertical="center" wrapText="1"/>
      <protection hidden="1"/>
    </xf>
    <xf numFmtId="22" fontId="32" fillId="0" borderId="50" xfId="0" applyNumberFormat="1" applyFont="1" applyBorder="1" applyAlignment="1">
      <alignment horizontal="center" vertical="center" wrapText="1"/>
    </xf>
    <xf numFmtId="22" fontId="32" fillId="0" borderId="32" xfId="0" applyNumberFormat="1" applyFont="1" applyBorder="1" applyAlignment="1">
      <alignment horizontal="center" vertical="center" wrapText="1"/>
    </xf>
    <xf numFmtId="0" fontId="5" fillId="0" borderId="59" xfId="4" applyFont="1" applyBorder="1" applyAlignment="1" applyProtection="1">
      <alignment horizontal="left" vertical="center" wrapText="1"/>
      <protection hidden="1"/>
    </xf>
    <xf numFmtId="1" fontId="5" fillId="5" borderId="59" xfId="23" applyNumberFormat="1" applyFont="1" applyFill="1" applyBorder="1" applyAlignment="1" applyProtection="1">
      <alignment horizontal="center" vertical="center" wrapText="1"/>
      <protection hidden="1"/>
    </xf>
    <xf numFmtId="9" fontId="5" fillId="0" borderId="56" xfId="2" applyFont="1" applyFill="1" applyBorder="1" applyAlignment="1" applyProtection="1">
      <alignment horizontal="center" vertical="center" wrapText="1"/>
      <protection hidden="1"/>
    </xf>
    <xf numFmtId="0" fontId="32" fillId="0" borderId="53" xfId="0" applyFont="1" applyBorder="1" applyAlignment="1">
      <alignment horizontal="center" vertical="center" wrapText="1"/>
    </xf>
    <xf numFmtId="1" fontId="32" fillId="0" borderId="53" xfId="0" applyNumberFormat="1" applyFont="1" applyBorder="1" applyAlignment="1">
      <alignment horizontal="center" vertical="center" wrapText="1"/>
    </xf>
    <xf numFmtId="0" fontId="6" fillId="0" borderId="50" xfId="8" applyNumberFormat="1" applyFont="1" applyFill="1" applyBorder="1" applyAlignment="1" applyProtection="1">
      <alignment horizontal="center" vertical="center" wrapText="1"/>
      <protection hidden="1"/>
    </xf>
    <xf numFmtId="171" fontId="6" fillId="0" borderId="58" xfId="8" applyFont="1" applyFill="1" applyBorder="1" applyAlignment="1" applyProtection="1">
      <alignment horizontal="center" vertical="center" wrapText="1"/>
      <protection hidden="1"/>
    </xf>
    <xf numFmtId="0" fontId="6" fillId="0" borderId="32" xfId="8" applyNumberFormat="1" applyFont="1" applyFill="1" applyBorder="1" applyAlignment="1" applyProtection="1">
      <alignment horizontal="center" vertical="center" wrapText="1"/>
      <protection hidden="1"/>
    </xf>
    <xf numFmtId="171" fontId="6" fillId="0" borderId="59" xfId="8" applyFont="1" applyFill="1" applyBorder="1" applyAlignment="1" applyProtection="1">
      <alignment vertical="center" wrapText="1"/>
      <protection hidden="1"/>
    </xf>
    <xf numFmtId="171" fontId="6" fillId="0" borderId="33" xfId="8" applyFont="1" applyFill="1" applyBorder="1" applyAlignment="1" applyProtection="1">
      <alignment horizontal="center" vertical="center" wrapText="1"/>
      <protection hidden="1"/>
    </xf>
    <xf numFmtId="0" fontId="6" fillId="0" borderId="66" xfId="8" applyNumberFormat="1" applyFont="1" applyFill="1" applyBorder="1" applyAlignment="1" applyProtection="1">
      <alignment horizontal="center" vertical="center" wrapText="1"/>
      <protection hidden="1"/>
    </xf>
    <xf numFmtId="171" fontId="6" fillId="0" borderId="11" xfId="8" applyFont="1" applyFill="1" applyBorder="1" applyAlignment="1" applyProtection="1">
      <alignment vertical="center" wrapText="1"/>
      <protection hidden="1"/>
    </xf>
    <xf numFmtId="171" fontId="6" fillId="0" borderId="67" xfId="8" applyFont="1" applyFill="1" applyBorder="1" applyAlignment="1" applyProtection="1">
      <alignment horizontal="center" vertical="center" wrapText="1"/>
      <protection hidden="1"/>
    </xf>
    <xf numFmtId="171" fontId="6" fillId="9" borderId="52" xfId="8" applyFont="1" applyFill="1" applyBorder="1" applyAlignment="1" applyProtection="1">
      <alignment horizontal="center" vertical="center" wrapText="1"/>
      <protection hidden="1"/>
    </xf>
    <xf numFmtId="0" fontId="30" fillId="7" borderId="59" xfId="3" applyFont="1" applyFill="1" applyBorder="1" applyAlignment="1" applyProtection="1">
      <alignment horizontal="center" vertical="center" wrapText="1"/>
      <protection hidden="1"/>
    </xf>
    <xf numFmtId="0" fontId="30" fillId="13" borderId="59" xfId="3" applyFont="1" applyFill="1" applyBorder="1" applyAlignment="1" applyProtection="1">
      <alignment horizontal="center" vertical="center" wrapText="1"/>
      <protection hidden="1"/>
    </xf>
    <xf numFmtId="9" fontId="5" fillId="9" borderId="15" xfId="3" applyNumberFormat="1" applyFont="1" applyFill="1" applyBorder="1" applyAlignment="1" applyProtection="1">
      <alignment horizontal="center" vertical="center" wrapText="1"/>
      <protection hidden="1"/>
    </xf>
    <xf numFmtId="0" fontId="30" fillId="7" borderId="69" xfId="3" applyFont="1" applyFill="1" applyBorder="1" applyAlignment="1" applyProtection="1">
      <alignment horizontal="center" vertical="center" wrapText="1"/>
      <protection hidden="1"/>
    </xf>
    <xf numFmtId="0" fontId="30" fillId="13" borderId="50" xfId="0" applyFont="1" applyFill="1" applyBorder="1" applyAlignment="1" applyProtection="1">
      <alignment horizontal="center" vertical="center" wrapText="1"/>
      <protection hidden="1"/>
    </xf>
    <xf numFmtId="0" fontId="30" fillId="13" borderId="32" xfId="3" applyFont="1" applyFill="1" applyBorder="1" applyAlignment="1" applyProtection="1">
      <alignment horizontal="center" vertical="center" wrapText="1"/>
      <protection hidden="1"/>
    </xf>
    <xf numFmtId="4" fontId="8" fillId="9" borderId="56" xfId="8" applyNumberFormat="1" applyFont="1" applyFill="1" applyBorder="1" applyAlignment="1" applyProtection="1">
      <alignment horizontal="center" vertical="center" wrapText="1"/>
      <protection hidden="1"/>
    </xf>
    <xf numFmtId="9" fontId="8" fillId="0" borderId="56" xfId="2" applyFont="1" applyFill="1" applyBorder="1" applyAlignment="1" applyProtection="1">
      <alignment horizontal="center" vertical="center"/>
      <protection hidden="1"/>
    </xf>
    <xf numFmtId="4" fontId="7" fillId="6" borderId="56" xfId="3" applyNumberFormat="1" applyFont="1" applyFill="1" applyBorder="1" applyAlignment="1" applyProtection="1">
      <alignment horizontal="center" vertical="center"/>
      <protection hidden="1"/>
    </xf>
    <xf numFmtId="4" fontId="8" fillId="9" borderId="56" xfId="3" applyNumberFormat="1" applyFont="1" applyFill="1" applyBorder="1" applyAlignment="1" applyProtection="1">
      <alignment horizontal="center" vertical="center"/>
      <protection hidden="1"/>
    </xf>
    <xf numFmtId="4" fontId="8" fillId="0" borderId="56" xfId="3" applyNumberFormat="1" applyFont="1" applyFill="1" applyBorder="1" applyAlignment="1" applyProtection="1">
      <alignment horizontal="center" vertical="center"/>
      <protection hidden="1"/>
    </xf>
    <xf numFmtId="4" fontId="8" fillId="9" borderId="59" xfId="8" applyNumberFormat="1" applyFont="1" applyFill="1" applyBorder="1" applyAlignment="1" applyProtection="1">
      <alignment horizontal="center" vertical="center" wrapText="1"/>
      <protection hidden="1"/>
    </xf>
    <xf numFmtId="9" fontId="8" fillId="0" borderId="59" xfId="2" applyFont="1" applyFill="1" applyBorder="1" applyAlignment="1" applyProtection="1">
      <alignment horizontal="center" vertical="center"/>
      <protection hidden="1"/>
    </xf>
    <xf numFmtId="4" fontId="7" fillId="6" borderId="59" xfId="3" applyNumberFormat="1" applyFont="1" applyFill="1" applyBorder="1" applyAlignment="1" applyProtection="1">
      <alignment horizontal="center" vertical="center"/>
      <protection hidden="1"/>
    </xf>
    <xf numFmtId="4" fontId="8" fillId="9" borderId="59" xfId="3" applyNumberFormat="1" applyFont="1" applyFill="1" applyBorder="1" applyAlignment="1" applyProtection="1">
      <alignment horizontal="center" vertical="center"/>
      <protection hidden="1"/>
    </xf>
    <xf numFmtId="4" fontId="8" fillId="0" borderId="59" xfId="3" applyNumberFormat="1" applyFont="1" applyFill="1" applyBorder="1" applyAlignment="1" applyProtection="1">
      <alignment horizontal="center" vertical="center"/>
      <protection hidden="1"/>
    </xf>
    <xf numFmtId="4" fontId="5" fillId="0" borderId="57" xfId="8" applyNumberFormat="1" applyFont="1" applyFill="1" applyBorder="1" applyAlignment="1" applyProtection="1">
      <alignment horizontal="left" vertical="center" wrapText="1"/>
      <protection hidden="1"/>
    </xf>
    <xf numFmtId="4" fontId="5" fillId="0" borderId="16" xfId="8" applyNumberFormat="1" applyFont="1" applyFill="1" applyBorder="1" applyAlignment="1" applyProtection="1">
      <alignment horizontal="left" vertical="center" wrapText="1"/>
      <protection hidden="1"/>
    </xf>
    <xf numFmtId="4" fontId="5" fillId="0" borderId="60" xfId="8" applyNumberFormat="1" applyFont="1" applyFill="1" applyBorder="1" applyAlignment="1" applyProtection="1">
      <alignment horizontal="left" vertical="center" wrapText="1"/>
      <protection hidden="1"/>
    </xf>
    <xf numFmtId="1" fontId="5" fillId="0" borderId="70" xfId="0" applyNumberFormat="1" applyFont="1" applyFill="1" applyBorder="1" applyAlignment="1" applyProtection="1">
      <alignment horizontal="center" vertical="center" wrapText="1"/>
      <protection hidden="1"/>
    </xf>
    <xf numFmtId="1" fontId="5" fillId="0" borderId="71" xfId="0" applyNumberFormat="1" applyFont="1" applyFill="1" applyBorder="1" applyAlignment="1" applyProtection="1">
      <alignment horizontal="center" vertical="center" wrapText="1"/>
      <protection hidden="1"/>
    </xf>
    <xf numFmtId="1" fontId="5" fillId="0" borderId="54" xfId="0" applyNumberFormat="1" applyFont="1" applyFill="1" applyBorder="1" applyAlignment="1" applyProtection="1">
      <alignment horizontal="center" vertical="center" wrapText="1"/>
      <protection hidden="1"/>
    </xf>
    <xf numFmtId="41" fontId="5" fillId="9" borderId="0" xfId="22" applyFont="1" applyFill="1" applyBorder="1" applyAlignment="1" applyProtection="1">
      <alignment horizontal="center" vertical="center"/>
      <protection hidden="1"/>
    </xf>
    <xf numFmtId="0" fontId="30" fillId="13" borderId="69" xfId="3" applyFont="1" applyFill="1" applyBorder="1" applyAlignment="1" applyProtection="1">
      <alignment horizontal="center" vertical="center" wrapText="1"/>
      <protection hidden="1"/>
    </xf>
    <xf numFmtId="4" fontId="7" fillId="6" borderId="68" xfId="3" applyNumberFormat="1" applyFont="1" applyFill="1" applyBorder="1" applyAlignment="1" applyProtection="1">
      <alignment horizontal="center" vertical="center"/>
      <protection hidden="1"/>
    </xf>
    <xf numFmtId="4" fontId="7" fillId="6" borderId="15" xfId="3" applyNumberFormat="1" applyFont="1" applyFill="1" applyBorder="1" applyAlignment="1" applyProtection="1">
      <alignment horizontal="center" vertical="center"/>
      <protection hidden="1"/>
    </xf>
    <xf numFmtId="4" fontId="7" fillId="6" borderId="69" xfId="3" applyNumberFormat="1" applyFont="1" applyFill="1" applyBorder="1" applyAlignment="1" applyProtection="1">
      <alignment horizontal="center" vertical="center"/>
      <protection hidden="1"/>
    </xf>
    <xf numFmtId="171" fontId="6" fillId="0" borderId="71" xfId="8" applyFont="1" applyFill="1" applyBorder="1" applyAlignment="1" applyProtection="1">
      <alignment vertical="center" wrapText="1"/>
      <protection hidden="1"/>
    </xf>
    <xf numFmtId="0" fontId="14" fillId="0" borderId="71" xfId="3" applyFont="1" applyFill="1" applyBorder="1" applyAlignment="1" applyProtection="1">
      <alignment vertical="center" wrapText="1"/>
      <protection hidden="1"/>
    </xf>
    <xf numFmtId="0" fontId="14" fillId="0" borderId="54" xfId="3" applyFont="1" applyFill="1" applyBorder="1" applyAlignment="1" applyProtection="1">
      <alignment vertical="center" wrapText="1"/>
      <protection hidden="1"/>
    </xf>
    <xf numFmtId="0" fontId="46" fillId="4" borderId="8" xfId="28" applyFill="1" applyBorder="1" applyAlignment="1">
      <alignment horizontal="center" vertical="center"/>
    </xf>
    <xf numFmtId="0" fontId="46" fillId="0" borderId="8" xfId="28" applyFill="1" applyBorder="1" applyAlignment="1">
      <alignment horizontal="center" vertical="center"/>
    </xf>
    <xf numFmtId="2" fontId="46" fillId="0" borderId="8" xfId="28" applyNumberFormat="1" applyFill="1" applyBorder="1" applyAlignment="1">
      <alignment horizontal="center" vertical="center"/>
    </xf>
    <xf numFmtId="41" fontId="0" fillId="0" borderId="0" xfId="22" applyFont="1" applyProtection="1">
      <protection hidden="1"/>
    </xf>
    <xf numFmtId="0" fontId="46" fillId="4" borderId="8" xfId="28" applyFill="1" applyBorder="1" applyAlignment="1">
      <alignment horizontal="center" vertical="center"/>
    </xf>
    <xf numFmtId="3" fontId="15" fillId="0" borderId="8" xfId="5" applyNumberFormat="1" applyFont="1" applyFill="1" applyBorder="1" applyAlignment="1" applyProtection="1">
      <alignment horizontal="center" vertical="center" wrapText="1"/>
      <protection hidden="1"/>
    </xf>
    <xf numFmtId="3" fontId="14" fillId="0" borderId="8" xfId="5" applyNumberFormat="1" applyFont="1" applyFill="1" applyBorder="1" applyAlignment="1" applyProtection="1">
      <alignment horizontal="center" vertical="center"/>
      <protection hidden="1"/>
    </xf>
    <xf numFmtId="164" fontId="15" fillId="0" borderId="8" xfId="5" applyNumberFormat="1" applyFont="1" applyFill="1" applyBorder="1" applyAlignment="1" applyProtection="1">
      <alignment horizontal="center" vertical="center" wrapText="1"/>
      <protection hidden="1"/>
    </xf>
    <xf numFmtId="41" fontId="14" fillId="0" borderId="0" xfId="22" applyFont="1" applyFill="1" applyAlignment="1" applyProtection="1">
      <alignment vertical="center" wrapText="1"/>
      <protection hidden="1"/>
    </xf>
    <xf numFmtId="0" fontId="19" fillId="9" borderId="8" xfId="0" applyFont="1" applyFill="1" applyBorder="1" applyAlignment="1" applyProtection="1">
      <alignment horizontal="left" vertical="center" wrapText="1"/>
      <protection hidden="1"/>
    </xf>
    <xf numFmtId="0" fontId="19" fillId="9" borderId="8" xfId="0" applyFont="1" applyFill="1" applyBorder="1" applyAlignment="1" applyProtection="1">
      <alignment vertical="center" wrapText="1"/>
      <protection hidden="1"/>
    </xf>
    <xf numFmtId="0" fontId="19" fillId="0" borderId="8" xfId="0" applyFont="1" applyBorder="1" applyAlignment="1" applyProtection="1">
      <alignment horizontal="center" vertical="center"/>
      <protection hidden="1"/>
    </xf>
    <xf numFmtId="164" fontId="37" fillId="0" borderId="0" xfId="17" applyNumberFormat="1" applyFont="1" applyProtection="1">
      <protection hidden="1"/>
    </xf>
    <xf numFmtId="0" fontId="47" fillId="0" borderId="8" xfId="5" applyFont="1" applyFill="1" applyBorder="1" applyAlignment="1" applyProtection="1">
      <alignment horizontal="left" vertical="center" wrapText="1"/>
      <protection hidden="1"/>
    </xf>
    <xf numFmtId="171" fontId="4" fillId="7" borderId="8" xfId="8" applyFont="1" applyFill="1" applyBorder="1" applyAlignment="1" applyProtection="1">
      <alignment horizontal="center" vertical="center" wrapText="1"/>
      <protection hidden="1"/>
    </xf>
    <xf numFmtId="0" fontId="29" fillId="2" borderId="0" xfId="3" applyFont="1" applyFill="1" applyBorder="1" applyAlignment="1" applyProtection="1">
      <alignment horizontal="center" vertical="center" wrapText="1"/>
      <protection hidden="1"/>
    </xf>
    <xf numFmtId="0" fontId="35" fillId="3" borderId="16" xfId="17" applyFont="1" applyFill="1" applyBorder="1" applyAlignment="1" applyProtection="1">
      <alignment horizontal="center" vertical="center" wrapText="1"/>
      <protection hidden="1"/>
    </xf>
    <xf numFmtId="22" fontId="32" fillId="0" borderId="66" xfId="0" applyNumberFormat="1" applyFont="1" applyBorder="1" applyAlignment="1">
      <alignment horizontal="center" vertical="center" wrapText="1"/>
    </xf>
    <xf numFmtId="0" fontId="5" fillId="0" borderId="11" xfId="4" applyFont="1" applyBorder="1" applyAlignment="1" applyProtection="1">
      <alignment horizontal="left" vertical="center" wrapText="1"/>
      <protection hidden="1"/>
    </xf>
    <xf numFmtId="1" fontId="5" fillId="5" borderId="11" xfId="23" applyNumberFormat="1" applyFont="1" applyFill="1" applyBorder="1" applyAlignment="1" applyProtection="1">
      <alignment horizontal="center" vertical="center" wrapText="1"/>
      <protection hidden="1"/>
    </xf>
    <xf numFmtId="166" fontId="5" fillId="5" borderId="11" xfId="23" applyFont="1" applyFill="1" applyBorder="1" applyAlignment="1" applyProtection="1">
      <alignment horizontal="center" vertical="center" wrapText="1"/>
      <protection hidden="1"/>
    </xf>
    <xf numFmtId="9" fontId="5" fillId="0" borderId="11" xfId="2" applyFont="1" applyFill="1" applyBorder="1" applyAlignment="1" applyProtection="1">
      <alignment horizontal="center" vertical="center" wrapText="1"/>
      <protection hidden="1"/>
    </xf>
    <xf numFmtId="9" fontId="5" fillId="5" borderId="11" xfId="2" applyFont="1" applyFill="1" applyBorder="1" applyAlignment="1" applyProtection="1">
      <alignment horizontal="center" vertical="center" wrapText="1"/>
      <protection hidden="1"/>
    </xf>
    <xf numFmtId="0" fontId="5" fillId="0" borderId="67" xfId="4" applyFont="1" applyBorder="1" applyAlignment="1" applyProtection="1">
      <alignment horizontal="left" vertical="center" wrapText="1"/>
      <protection hidden="1"/>
    </xf>
    <xf numFmtId="0" fontId="32" fillId="0" borderId="8" xfId="0" applyFont="1" applyBorder="1" applyAlignment="1">
      <alignment horizontal="center" vertical="center" wrapText="1"/>
    </xf>
    <xf numFmtId="166" fontId="5" fillId="5" borderId="8" xfId="23" applyFont="1" applyFill="1" applyBorder="1" applyAlignment="1" applyProtection="1">
      <alignment horizontal="center" vertical="center" wrapText="1"/>
      <protection hidden="1"/>
    </xf>
    <xf numFmtId="165" fontId="5" fillId="5" borderId="8" xfId="23" applyNumberFormat="1" applyFont="1" applyFill="1" applyBorder="1" applyAlignment="1" applyProtection="1">
      <alignment horizontal="right" vertical="center" wrapText="1"/>
      <protection hidden="1"/>
    </xf>
    <xf numFmtId="0" fontId="5" fillId="0" borderId="8" xfId="4" applyFont="1" applyBorder="1" applyAlignment="1" applyProtection="1">
      <alignment horizontal="center" vertical="center" wrapText="1"/>
      <protection hidden="1"/>
    </xf>
    <xf numFmtId="22" fontId="32" fillId="5" borderId="8" xfId="0" applyNumberFormat="1" applyFont="1" applyFill="1" applyBorder="1" applyAlignment="1">
      <alignment horizontal="center" vertical="center" wrapText="1"/>
    </xf>
    <xf numFmtId="4" fontId="7" fillId="6" borderId="7" xfId="3" applyNumberFormat="1" applyFont="1" applyFill="1" applyBorder="1" applyAlignment="1" applyProtection="1">
      <alignment horizontal="center" vertical="center"/>
      <protection hidden="1"/>
    </xf>
    <xf numFmtId="4" fontId="7" fillId="6" borderId="72" xfId="3" applyNumberFormat="1" applyFont="1" applyFill="1" applyBorder="1" applyAlignment="1" applyProtection="1">
      <alignment horizontal="center" vertical="center"/>
      <protection hidden="1"/>
    </xf>
    <xf numFmtId="9" fontId="5" fillId="9" borderId="0" xfId="22" applyNumberFormat="1" applyFont="1" applyFill="1" applyBorder="1" applyAlignment="1" applyProtection="1">
      <alignment horizontal="center" vertical="center"/>
      <protection hidden="1"/>
    </xf>
    <xf numFmtId="9" fontId="14" fillId="0" borderId="0" xfId="3" applyNumberFormat="1" applyFont="1" applyFill="1" applyAlignment="1" applyProtection="1">
      <alignment vertical="center" wrapText="1"/>
      <protection hidden="1"/>
    </xf>
    <xf numFmtId="4" fontId="8" fillId="9" borderId="11" xfId="8" applyNumberFormat="1" applyFont="1" applyFill="1" applyBorder="1" applyAlignment="1" applyProtection="1">
      <alignment horizontal="center" vertical="center" wrapText="1"/>
      <protection hidden="1"/>
    </xf>
    <xf numFmtId="9" fontId="8" fillId="0" borderId="11" xfId="2" applyFont="1" applyFill="1" applyBorder="1" applyAlignment="1" applyProtection="1">
      <alignment horizontal="center" vertical="center"/>
      <protection hidden="1"/>
    </xf>
    <xf numFmtId="0" fontId="30" fillId="7" borderId="30" xfId="3" applyFont="1" applyFill="1" applyBorder="1" applyAlignment="1" applyProtection="1">
      <alignment horizontal="center" wrapText="1"/>
      <protection hidden="1"/>
    </xf>
    <xf numFmtId="0" fontId="30" fillId="7" borderId="56" xfId="3" applyFont="1" applyFill="1" applyBorder="1" applyAlignment="1" applyProtection="1">
      <alignment horizontal="center" wrapText="1"/>
      <protection hidden="1"/>
    </xf>
    <xf numFmtId="0" fontId="30" fillId="7" borderId="31" xfId="3" applyFont="1" applyFill="1" applyBorder="1" applyAlignment="1" applyProtection="1">
      <alignment horizontal="center" wrapText="1"/>
      <protection hidden="1"/>
    </xf>
    <xf numFmtId="0" fontId="7" fillId="7" borderId="32" xfId="3" applyFont="1" applyFill="1" applyBorder="1" applyAlignment="1" applyProtection="1">
      <alignment horizontal="center" vertical="center" wrapText="1"/>
      <protection hidden="1"/>
    </xf>
    <xf numFmtId="0" fontId="7" fillId="7" borderId="59" xfId="3" applyFont="1" applyFill="1" applyBorder="1" applyAlignment="1" applyProtection="1">
      <alignment horizontal="center" vertical="center" wrapText="1"/>
      <protection hidden="1"/>
    </xf>
    <xf numFmtId="0" fontId="7" fillId="7" borderId="33" xfId="3" applyFont="1" applyFill="1" applyBorder="1" applyAlignment="1" applyProtection="1">
      <alignment horizontal="center" vertical="center" wrapText="1"/>
      <protection hidden="1"/>
    </xf>
    <xf numFmtId="0" fontId="6" fillId="10" borderId="0" xfId="0" applyFont="1" applyFill="1" applyBorder="1" applyAlignment="1" applyProtection="1">
      <alignment horizontal="center" vertical="center" wrapText="1"/>
      <protection hidden="1"/>
    </xf>
    <xf numFmtId="0" fontId="14" fillId="15" borderId="0" xfId="0" applyFont="1" applyFill="1" applyBorder="1" applyAlignment="1" applyProtection="1">
      <alignment horizontal="center" vertical="center" wrapText="1"/>
      <protection hidden="1"/>
    </xf>
    <xf numFmtId="0" fontId="14" fillId="15"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vertical="center"/>
      <protection hidden="1"/>
    </xf>
    <xf numFmtId="0" fontId="49" fillId="16" borderId="75" xfId="0" applyFont="1" applyFill="1" applyBorder="1" applyAlignment="1">
      <alignment horizontal="center" vertical="center" wrapText="1"/>
    </xf>
    <xf numFmtId="0" fontId="49" fillId="16" borderId="76" xfId="0" applyFont="1" applyFill="1" applyBorder="1" applyAlignment="1">
      <alignment horizontal="center" vertical="center" wrapText="1"/>
    </xf>
    <xf numFmtId="0" fontId="49" fillId="16" borderId="77" xfId="0" applyFont="1" applyFill="1" applyBorder="1" applyAlignment="1">
      <alignment horizontal="center" vertical="center" wrapText="1"/>
    </xf>
    <xf numFmtId="3" fontId="49" fillId="16" borderId="77" xfId="0" applyNumberFormat="1" applyFont="1" applyFill="1" applyBorder="1" applyAlignment="1">
      <alignment horizontal="center" vertical="center" wrapText="1"/>
    </xf>
    <xf numFmtId="4" fontId="49" fillId="16" borderId="77" xfId="0" applyNumberFormat="1" applyFont="1" applyFill="1" applyBorder="1" applyAlignment="1">
      <alignment horizontal="center" vertical="center" wrapText="1"/>
    </xf>
    <xf numFmtId="3" fontId="49" fillId="16" borderId="78" xfId="0" applyNumberFormat="1" applyFont="1" applyFill="1" applyBorder="1" applyAlignment="1">
      <alignment horizontal="center" vertical="center" wrapText="1"/>
    </xf>
    <xf numFmtId="0" fontId="12" fillId="0" borderId="8" xfId="0" applyFont="1" applyBorder="1" applyAlignment="1">
      <alignment horizontal="center" vertical="center"/>
    </xf>
    <xf numFmtId="0" fontId="11" fillId="0" borderId="79" xfId="0" applyFont="1" applyBorder="1" applyAlignment="1">
      <alignment horizontal="left" vertical="center" wrapText="1"/>
    </xf>
    <xf numFmtId="0" fontId="14" fillId="4" borderId="80" xfId="0" applyFont="1" applyFill="1" applyBorder="1" applyAlignment="1">
      <alignment horizontal="center" vertical="center"/>
    </xf>
    <xf numFmtId="185" fontId="14" fillId="9" borderId="81" xfId="0" applyNumberFormat="1" applyFont="1" applyFill="1" applyBorder="1" applyAlignment="1">
      <alignment horizontal="center" vertical="center"/>
    </xf>
    <xf numFmtId="185" fontId="14" fillId="4" borderId="81" xfId="0" applyNumberFormat="1" applyFont="1" applyFill="1" applyBorder="1" applyAlignment="1">
      <alignment horizontal="center" vertical="center"/>
    </xf>
    <xf numFmtId="2" fontId="14" fillId="4" borderId="80" xfId="0" applyNumberFormat="1" applyFont="1" applyFill="1" applyBorder="1" applyAlignment="1">
      <alignment horizontal="center" vertical="center"/>
    </xf>
    <xf numFmtId="173" fontId="14" fillId="4" borderId="80" xfId="0" applyNumberFormat="1" applyFont="1" applyFill="1" applyBorder="1" applyAlignment="1">
      <alignment horizontal="center" vertical="center"/>
    </xf>
    <xf numFmtId="173" fontId="14" fillId="4" borderId="82" xfId="0" applyNumberFormat="1" applyFont="1" applyFill="1" applyBorder="1" applyAlignment="1">
      <alignment horizontal="center" vertical="center"/>
    </xf>
    <xf numFmtId="186" fontId="6" fillId="17" borderId="83" xfId="0" applyNumberFormat="1" applyFont="1" applyFill="1" applyBorder="1" applyAlignment="1">
      <alignment vertical="center"/>
    </xf>
    <xf numFmtId="0" fontId="12" fillId="18" borderId="79" xfId="0" applyFont="1" applyFill="1" applyBorder="1" applyAlignment="1">
      <alignment horizontal="left" vertical="center" wrapText="1"/>
    </xf>
    <xf numFmtId="2" fontId="14" fillId="18" borderId="80" xfId="0" applyNumberFormat="1" applyFont="1" applyFill="1" applyBorder="1" applyAlignment="1">
      <alignment horizontal="center" vertical="center"/>
    </xf>
    <xf numFmtId="0" fontId="11" fillId="18" borderId="79" xfId="0" applyFont="1" applyFill="1" applyBorder="1" applyAlignment="1">
      <alignment horizontal="left" vertical="center" wrapText="1"/>
    </xf>
    <xf numFmtId="0" fontId="49" fillId="0" borderId="84" xfId="0" applyFont="1" applyBorder="1" applyAlignment="1">
      <alignment horizontal="center" vertical="center"/>
    </xf>
    <xf numFmtId="0" fontId="49" fillId="0" borderId="85" xfId="0" applyFont="1" applyBorder="1" applyAlignment="1">
      <alignment horizontal="center" vertical="center"/>
    </xf>
    <xf numFmtId="0" fontId="51" fillId="0" borderId="85" xfId="0" applyFont="1" applyBorder="1" applyAlignment="1">
      <alignment horizontal="center"/>
    </xf>
    <xf numFmtId="0" fontId="51" fillId="0" borderId="79" xfId="0" applyFont="1" applyBorder="1" applyAlignment="1">
      <alignment horizontal="center"/>
    </xf>
    <xf numFmtId="186" fontId="49" fillId="0" borderId="86" xfId="0" applyNumberFormat="1" applyFont="1" applyBorder="1" applyAlignment="1">
      <alignment vertical="center"/>
    </xf>
    <xf numFmtId="0" fontId="51" fillId="19" borderId="87" xfId="0" applyFont="1" applyFill="1" applyBorder="1" applyAlignment="1">
      <alignment horizontal="center" vertical="center"/>
    </xf>
    <xf numFmtId="0" fontId="51" fillId="19" borderId="85" xfId="0" applyFont="1" applyFill="1" applyBorder="1" applyAlignment="1">
      <alignment horizontal="center" vertical="center"/>
    </xf>
    <xf numFmtId="0" fontId="52" fillId="0" borderId="85" xfId="0" applyFont="1" applyBorder="1"/>
    <xf numFmtId="186" fontId="49" fillId="20" borderId="86" xfId="0" applyNumberFormat="1" applyFont="1" applyFill="1" applyBorder="1" applyAlignment="1">
      <alignment horizontal="right" vertical="center"/>
    </xf>
    <xf numFmtId="0" fontId="51" fillId="0" borderId="87" xfId="0" applyFont="1" applyBorder="1" applyAlignment="1">
      <alignment horizontal="center" vertical="center"/>
    </xf>
    <xf numFmtId="0" fontId="51" fillId="0" borderId="85" xfId="0" applyFont="1" applyBorder="1" applyAlignment="1">
      <alignment horizontal="center" vertical="center"/>
    </xf>
    <xf numFmtId="0" fontId="51" fillId="0" borderId="82" xfId="0" applyFont="1" applyBorder="1" applyAlignment="1">
      <alignment vertical="center"/>
    </xf>
    <xf numFmtId="186" fontId="51" fillId="0" borderId="79" xfId="0" applyNumberFormat="1" applyFont="1" applyBorder="1" applyAlignment="1">
      <alignment horizontal="right" vertical="center"/>
    </xf>
    <xf numFmtId="186" fontId="51" fillId="0" borderId="85" xfId="0" applyNumberFormat="1" applyFont="1" applyBorder="1" applyAlignment="1">
      <alignment horizontal="right" vertical="center"/>
    </xf>
    <xf numFmtId="4" fontId="49" fillId="21" borderId="86" xfId="0" applyNumberFormat="1" applyFont="1" applyFill="1" applyBorder="1" applyAlignment="1">
      <alignment vertical="center"/>
    </xf>
    <xf numFmtId="0" fontId="51" fillId="20" borderId="87" xfId="0" applyFont="1" applyFill="1" applyBorder="1" applyAlignment="1">
      <alignment horizontal="center" vertical="center"/>
    </xf>
    <xf numFmtId="0" fontId="51" fillId="20" borderId="85" xfId="0" applyFont="1" applyFill="1" applyBorder="1" applyAlignment="1">
      <alignment horizontal="center" vertical="center"/>
    </xf>
    <xf numFmtId="0" fontId="51" fillId="0" borderId="0" xfId="0" applyFont="1" applyAlignment="1">
      <alignment vertical="center" wrapText="1"/>
    </xf>
    <xf numFmtId="0" fontId="51" fillId="0" borderId="89" xfId="0" applyFont="1" applyBorder="1" applyAlignment="1">
      <alignment vertical="center" wrapText="1"/>
    </xf>
    <xf numFmtId="0" fontId="49" fillId="22" borderId="87" xfId="0" applyFont="1" applyFill="1" applyBorder="1" applyAlignment="1">
      <alignment horizontal="center" vertical="center" wrapText="1"/>
    </xf>
    <xf numFmtId="0" fontId="49" fillId="22" borderId="79" xfId="0" applyFont="1" applyFill="1" applyBorder="1" applyAlignment="1">
      <alignment horizontal="center" vertical="center" wrapText="1"/>
    </xf>
    <xf numFmtId="0" fontId="49" fillId="22" borderId="80" xfId="0" applyFont="1" applyFill="1" applyBorder="1" applyAlignment="1">
      <alignment horizontal="center" vertical="center" wrapText="1"/>
    </xf>
    <xf numFmtId="3" fontId="49" fillId="22" borderId="80" xfId="0" applyNumberFormat="1" applyFont="1" applyFill="1" applyBorder="1" applyAlignment="1">
      <alignment horizontal="center" vertical="center" wrapText="1"/>
    </xf>
    <xf numFmtId="4" fontId="49" fillId="22" borderId="80" xfId="0" applyNumberFormat="1" applyFont="1" applyFill="1" applyBorder="1" applyAlignment="1">
      <alignment horizontal="center" vertical="center" wrapText="1"/>
    </xf>
    <xf numFmtId="4" fontId="49" fillId="22" borderId="82" xfId="0" applyNumberFormat="1" applyFont="1" applyFill="1" applyBorder="1" applyAlignment="1">
      <alignment horizontal="center" vertical="center" wrapText="1"/>
    </xf>
    <xf numFmtId="3" fontId="49" fillId="22" borderId="86" xfId="0" applyNumberFormat="1" applyFont="1" applyFill="1" applyBorder="1" applyAlignment="1">
      <alignment horizontal="center" vertical="center" wrapText="1"/>
    </xf>
    <xf numFmtId="0" fontId="49" fillId="20" borderId="87" xfId="0" applyFont="1" applyFill="1" applyBorder="1" applyAlignment="1">
      <alignment horizontal="center" vertical="center"/>
    </xf>
    <xf numFmtId="0" fontId="49" fillId="20" borderId="85" xfId="0" applyFont="1" applyFill="1" applyBorder="1" applyAlignment="1">
      <alignment horizontal="center" vertical="center"/>
    </xf>
    <xf numFmtId="0" fontId="49" fillId="0" borderId="82" xfId="0" applyFont="1" applyBorder="1" applyAlignment="1">
      <alignment vertical="center"/>
    </xf>
    <xf numFmtId="0" fontId="49" fillId="20" borderId="85" xfId="0" applyFont="1" applyFill="1" applyBorder="1" applyAlignment="1">
      <alignment vertical="center"/>
    </xf>
    <xf numFmtId="0" fontId="49" fillId="20" borderId="90" xfId="0" applyFont="1" applyFill="1" applyBorder="1" applyAlignment="1">
      <alignment vertical="center"/>
    </xf>
    <xf numFmtId="0" fontId="49" fillId="0" borderId="87" xfId="0" applyFont="1" applyBorder="1" applyAlignment="1">
      <alignment horizontal="center" vertical="center"/>
    </xf>
    <xf numFmtId="0" fontId="49" fillId="0" borderId="79" xfId="0" applyFont="1" applyBorder="1" applyAlignment="1">
      <alignment horizontal="center" vertical="center"/>
    </xf>
    <xf numFmtId="0" fontId="51" fillId="0" borderId="80" xfId="0" applyFont="1" applyBorder="1" applyAlignment="1">
      <alignment horizontal="left" vertical="center" wrapText="1"/>
    </xf>
    <xf numFmtId="0" fontId="51" fillId="0" borderId="80" xfId="0" applyFont="1" applyBorder="1" applyAlignment="1">
      <alignment horizontal="center" vertical="center"/>
    </xf>
    <xf numFmtId="186" fontId="51" fillId="18" borderId="80" xfId="0" applyNumberFormat="1" applyFont="1" applyFill="1" applyBorder="1" applyAlignment="1">
      <alignment vertical="center"/>
    </xf>
    <xf numFmtId="173" fontId="51" fillId="0" borderId="80" xfId="0" applyNumberFormat="1" applyFont="1" applyBorder="1" applyAlignment="1">
      <alignment horizontal="center" vertical="center"/>
    </xf>
    <xf numFmtId="173" fontId="51" fillId="0" borderId="82" xfId="0" applyNumberFormat="1" applyFont="1" applyBorder="1" applyAlignment="1">
      <alignment horizontal="center" vertical="center"/>
    </xf>
    <xf numFmtId="186" fontId="51" fillId="23" borderId="86" xfId="0" applyNumberFormat="1" applyFont="1" applyFill="1" applyBorder="1" applyAlignment="1">
      <alignment vertical="center"/>
    </xf>
    <xf numFmtId="0" fontId="51" fillId="4" borderId="80" xfId="0" applyFont="1" applyFill="1" applyBorder="1" applyAlignment="1">
      <alignment horizontal="center" vertical="center"/>
    </xf>
    <xf numFmtId="186" fontId="49" fillId="18" borderId="86" xfId="0" applyNumberFormat="1" applyFont="1" applyFill="1" applyBorder="1" applyAlignment="1">
      <alignment horizontal="right" vertical="center"/>
    </xf>
    <xf numFmtId="0" fontId="51" fillId="0" borderId="88" xfId="0" applyFont="1" applyBorder="1" applyAlignment="1">
      <alignment horizontal="center" vertical="center" wrapText="1"/>
    </xf>
    <xf numFmtId="0" fontId="51" fillId="0" borderId="0" xfId="0" applyFont="1" applyAlignment="1">
      <alignment horizontal="center" vertical="center" wrapText="1"/>
    </xf>
    <xf numFmtId="187" fontId="49" fillId="20" borderId="86" xfId="0" applyNumberFormat="1" applyFont="1" applyFill="1" applyBorder="1" applyAlignment="1">
      <alignment horizontal="right" vertical="center"/>
    </xf>
    <xf numFmtId="0" fontId="49" fillId="20" borderId="91" xfId="0" applyFont="1" applyFill="1" applyBorder="1" applyAlignment="1">
      <alignment horizontal="center" vertical="center"/>
    </xf>
    <xf numFmtId="0" fontId="49" fillId="20" borderId="92" xfId="0" applyFont="1" applyFill="1" applyBorder="1" applyAlignment="1">
      <alignment horizontal="center" vertical="center"/>
    </xf>
    <xf numFmtId="0" fontId="52" fillId="0" borderId="92" xfId="0" applyFont="1" applyBorder="1"/>
    <xf numFmtId="187" fontId="49" fillId="20" borderId="95" xfId="0" applyNumberFormat="1" applyFont="1" applyFill="1" applyBorder="1" applyAlignment="1">
      <alignment horizontal="right" vertical="center"/>
    </xf>
    <xf numFmtId="0" fontId="51" fillId="0" borderId="0" xfId="0" applyFont="1"/>
    <xf numFmtId="0" fontId="49" fillId="20" borderId="80" xfId="0" applyFont="1" applyFill="1" applyBorder="1" applyAlignment="1">
      <alignment horizontal="center" vertical="center"/>
    </xf>
    <xf numFmtId="0" fontId="49" fillId="20" borderId="82" xfId="0" applyFont="1" applyFill="1" applyBorder="1" applyAlignment="1">
      <alignment horizontal="center" vertical="center"/>
    </xf>
    <xf numFmtId="0" fontId="52" fillId="0" borderId="79" xfId="0" applyFont="1" applyBorder="1"/>
    <xf numFmtId="187" fontId="49" fillId="20" borderId="80" xfId="0" applyNumberFormat="1" applyFont="1" applyFill="1" applyBorder="1" applyAlignment="1">
      <alignment horizontal="right" vertical="center"/>
    </xf>
    <xf numFmtId="187" fontId="49" fillId="24" borderId="80" xfId="0" applyNumberFormat="1" applyFont="1" applyFill="1" applyBorder="1" applyAlignment="1">
      <alignment horizontal="right" vertical="center"/>
    </xf>
    <xf numFmtId="0" fontId="49" fillId="20" borderId="82" xfId="0" applyFont="1" applyFill="1" applyBorder="1" applyAlignment="1">
      <alignment horizontal="left" vertical="center"/>
    </xf>
    <xf numFmtId="0" fontId="53" fillId="19" borderId="8" xfId="0" applyFont="1" applyFill="1" applyBorder="1" applyAlignment="1">
      <alignment horizontal="center" vertical="center"/>
    </xf>
    <xf numFmtId="0" fontId="14" fillId="0" borderId="96" xfId="0" applyFont="1" applyBorder="1" applyAlignment="1">
      <alignment horizontal="left" vertical="center" wrapText="1"/>
    </xf>
    <xf numFmtId="0" fontId="14" fillId="4" borderId="81" xfId="0" applyFont="1" applyFill="1" applyBorder="1" applyAlignment="1">
      <alignment horizontal="center" vertical="center"/>
    </xf>
    <xf numFmtId="2" fontId="14" fillId="4" borderId="81" xfId="0" applyNumberFormat="1" applyFont="1" applyFill="1" applyBorder="1" applyAlignment="1">
      <alignment horizontal="center" vertical="center"/>
    </xf>
    <xf numFmtId="173" fontId="14" fillId="4" borderId="81" xfId="0" applyNumberFormat="1" applyFont="1" applyFill="1" applyBorder="1" applyAlignment="1">
      <alignment horizontal="center" vertical="center"/>
    </xf>
    <xf numFmtId="173" fontId="14" fillId="4" borderId="97" xfId="0" applyNumberFormat="1" applyFont="1" applyFill="1" applyBorder="1" applyAlignment="1">
      <alignment horizontal="center" vertical="center"/>
    </xf>
    <xf numFmtId="0" fontId="14" fillId="18" borderId="80" xfId="0" applyFont="1" applyFill="1" applyBorder="1" applyAlignment="1">
      <alignment horizontal="center" vertical="center"/>
    </xf>
    <xf numFmtId="0" fontId="50" fillId="0" borderId="79" xfId="0" applyFont="1" applyBorder="1" applyAlignment="1">
      <alignment horizontal="left" vertical="center" wrapText="1"/>
    </xf>
    <xf numFmtId="0" fontId="12" fillId="19" borderId="88" xfId="0" applyFont="1" applyFill="1" applyBorder="1" applyAlignment="1">
      <alignment horizontal="center" vertical="center"/>
    </xf>
    <xf numFmtId="0" fontId="12" fillId="19" borderId="0" xfId="0" applyFont="1" applyFill="1" applyAlignment="1">
      <alignment horizontal="center" vertical="center"/>
    </xf>
    <xf numFmtId="0" fontId="14" fillId="0" borderId="85" xfId="0" applyFont="1" applyBorder="1"/>
    <xf numFmtId="186" fontId="12" fillId="23" borderId="86" xfId="0" applyNumberFormat="1" applyFont="1" applyFill="1" applyBorder="1" applyAlignment="1">
      <alignment vertical="center"/>
    </xf>
    <xf numFmtId="0" fontId="49"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52" fillId="0" borderId="0" xfId="0" applyFont="1" applyFill="1" applyBorder="1"/>
    <xf numFmtId="187" fontId="49" fillId="0" borderId="0" xfId="0" applyNumberFormat="1" applyFont="1" applyFill="1" applyBorder="1" applyAlignment="1">
      <alignment horizontal="right" vertical="center"/>
    </xf>
    <xf numFmtId="179" fontId="35" fillId="9" borderId="29" xfId="22" applyNumberFormat="1" applyFont="1" applyFill="1" applyBorder="1" applyAlignment="1" applyProtection="1">
      <alignment horizontal="center" vertical="center" wrapText="1"/>
      <protection hidden="1"/>
    </xf>
    <xf numFmtId="0" fontId="49" fillId="16" borderId="100" xfId="0" applyFont="1" applyFill="1" applyBorder="1" applyAlignment="1">
      <alignment horizontal="center" vertical="center" wrapText="1"/>
    </xf>
    <xf numFmtId="3" fontId="49" fillId="16" borderId="101" xfId="0" applyNumberFormat="1" applyFont="1" applyFill="1" applyBorder="1" applyAlignment="1">
      <alignment horizontal="center" vertical="center" wrapText="1"/>
    </xf>
    <xf numFmtId="0" fontId="53" fillId="19" borderId="50" xfId="0" applyFont="1" applyFill="1" applyBorder="1" applyAlignment="1">
      <alignment horizontal="center" vertical="center"/>
    </xf>
    <xf numFmtId="0" fontId="12" fillId="0" borderId="50" xfId="0" applyFont="1" applyBorder="1" applyAlignment="1">
      <alignment horizontal="center" vertical="center"/>
    </xf>
    <xf numFmtId="186" fontId="6" fillId="17" borderId="102" xfId="0" applyNumberFormat="1" applyFont="1" applyFill="1" applyBorder="1" applyAlignment="1">
      <alignment vertical="center"/>
    </xf>
    <xf numFmtId="0" fontId="12" fillId="0" borderId="32" xfId="0" applyFont="1" applyBorder="1" applyAlignment="1">
      <alignment horizontal="center" vertical="center"/>
    </xf>
    <xf numFmtId="0" fontId="12" fillId="0" borderId="59" xfId="0" applyFont="1" applyBorder="1" applyAlignment="1">
      <alignment horizontal="center" vertical="center"/>
    </xf>
    <xf numFmtId="0" fontId="11" fillId="0" borderId="103" xfId="0" applyFont="1" applyBorder="1" applyAlignment="1">
      <alignment horizontal="left" vertical="center" wrapText="1"/>
    </xf>
    <xf numFmtId="0" fontId="14" fillId="4" borderId="104" xfId="0" applyFont="1" applyFill="1" applyBorder="1" applyAlignment="1">
      <alignment horizontal="center" vertical="center"/>
    </xf>
    <xf numFmtId="185" fontId="14" fillId="9" borderId="105" xfId="0" applyNumberFormat="1" applyFont="1" applyFill="1" applyBorder="1" applyAlignment="1">
      <alignment horizontal="center" vertical="center"/>
    </xf>
    <xf numFmtId="185" fontId="14" fillId="4" borderId="105" xfId="0" applyNumberFormat="1" applyFont="1" applyFill="1" applyBorder="1" applyAlignment="1">
      <alignment horizontal="center" vertical="center"/>
    </xf>
    <xf numFmtId="2" fontId="14" fillId="4" borderId="104" xfId="0" applyNumberFormat="1" applyFont="1" applyFill="1" applyBorder="1" applyAlignment="1">
      <alignment horizontal="center" vertical="center"/>
    </xf>
    <xf numFmtId="173" fontId="14" fillId="4" borderId="104" xfId="0" applyNumberFormat="1" applyFont="1" applyFill="1" applyBorder="1" applyAlignment="1">
      <alignment horizontal="center" vertical="center"/>
    </xf>
    <xf numFmtId="173" fontId="14" fillId="4" borderId="106" xfId="0" applyNumberFormat="1" applyFont="1" applyFill="1" applyBorder="1" applyAlignment="1">
      <alignment horizontal="center" vertical="center"/>
    </xf>
    <xf numFmtId="186" fontId="6" fillId="17" borderId="107" xfId="0" applyNumberFormat="1" applyFont="1" applyFill="1" applyBorder="1" applyAlignment="1">
      <alignment vertical="center"/>
    </xf>
    <xf numFmtId="0" fontId="12" fillId="19" borderId="46" xfId="0" applyFont="1" applyFill="1" applyBorder="1" applyAlignment="1">
      <alignment horizontal="center" vertical="center"/>
    </xf>
    <xf numFmtId="0" fontId="12" fillId="19" borderId="45" xfId="0" applyFont="1" applyFill="1" applyBorder="1" applyAlignment="1">
      <alignment horizontal="center" vertical="center"/>
    </xf>
    <xf numFmtId="186" fontId="12" fillId="23" borderId="112" xfId="0" applyNumberFormat="1" applyFont="1" applyFill="1" applyBorder="1" applyAlignment="1">
      <alignment vertical="center"/>
    </xf>
    <xf numFmtId="0" fontId="49" fillId="0" borderId="113" xfId="0" applyFont="1" applyBorder="1" applyAlignment="1">
      <alignment horizontal="center" vertical="center"/>
    </xf>
    <xf numFmtId="186" fontId="49" fillId="0" borderId="112" xfId="0" applyNumberFormat="1" applyFont="1" applyBorder="1" applyAlignment="1">
      <alignment vertical="center"/>
    </xf>
    <xf numFmtId="0" fontId="51" fillId="19" borderId="114" xfId="0" applyFont="1" applyFill="1" applyBorder="1" applyAlignment="1">
      <alignment horizontal="center" vertical="center"/>
    </xf>
    <xf numFmtId="186" fontId="49" fillId="20" borderId="112" xfId="0" applyNumberFormat="1" applyFont="1" applyFill="1" applyBorder="1" applyAlignment="1">
      <alignment horizontal="right" vertical="center"/>
    </xf>
    <xf numFmtId="0" fontId="51" fillId="0" borderId="114" xfId="0" applyFont="1" applyBorder="1" applyAlignment="1">
      <alignment horizontal="center" vertical="center"/>
    </xf>
    <xf numFmtId="4" fontId="49" fillId="21" borderId="112" xfId="0" applyNumberFormat="1" applyFont="1" applyFill="1" applyBorder="1" applyAlignment="1">
      <alignment vertical="center"/>
    </xf>
    <xf numFmtId="0" fontId="51" fillId="20" borderId="114" xfId="0" applyFont="1" applyFill="1" applyBorder="1" applyAlignment="1">
      <alignment horizontal="center" vertical="center"/>
    </xf>
    <xf numFmtId="0" fontId="51" fillId="0" borderId="0" xfId="0" applyFont="1" applyBorder="1" applyAlignment="1">
      <alignment vertical="center" wrapText="1"/>
    </xf>
    <xf numFmtId="0" fontId="51" fillId="0" borderId="73" xfId="0" applyFont="1" applyBorder="1" applyAlignment="1">
      <alignment vertical="center" wrapText="1"/>
    </xf>
    <xf numFmtId="0" fontId="49" fillId="22" borderId="114" xfId="0" applyFont="1" applyFill="1" applyBorder="1" applyAlignment="1">
      <alignment horizontal="center" vertical="center" wrapText="1"/>
    </xf>
    <xf numFmtId="3" fontId="49" fillId="22" borderId="112" xfId="0" applyNumberFormat="1" applyFont="1" applyFill="1" applyBorder="1" applyAlignment="1">
      <alignment horizontal="center" vertical="center" wrapText="1"/>
    </xf>
    <xf numFmtId="0" fontId="49" fillId="20" borderId="114" xfId="0" applyFont="1" applyFill="1" applyBorder="1" applyAlignment="1">
      <alignment horizontal="center" vertical="center"/>
    </xf>
    <xf numFmtId="0" fontId="49" fillId="20" borderId="115" xfId="0" applyFont="1" applyFill="1" applyBorder="1" applyAlignment="1">
      <alignment vertical="center"/>
    </xf>
    <xf numFmtId="0" fontId="49" fillId="0" borderId="114" xfId="0" applyFont="1" applyBorder="1" applyAlignment="1">
      <alignment horizontal="center" vertical="center"/>
    </xf>
    <xf numFmtId="186" fontId="51" fillId="23" borderId="112" xfId="0" applyNumberFormat="1" applyFont="1" applyFill="1" applyBorder="1" applyAlignment="1">
      <alignment vertical="center"/>
    </xf>
    <xf numFmtId="186" fontId="49" fillId="18" borderId="112" xfId="0" applyNumberFormat="1" applyFont="1" applyFill="1" applyBorder="1" applyAlignment="1">
      <alignment horizontal="right" vertical="center"/>
    </xf>
    <xf numFmtId="0" fontId="51" fillId="0" borderId="12" xfId="0" applyFont="1" applyBorder="1" applyAlignment="1">
      <alignment horizontal="center" vertical="center" wrapText="1"/>
    </xf>
    <xf numFmtId="0" fontId="51" fillId="0" borderId="0" xfId="0" applyFont="1" applyBorder="1" applyAlignment="1">
      <alignment horizontal="center" vertical="center" wrapText="1"/>
    </xf>
    <xf numFmtId="187" fontId="49" fillId="20" borderId="112" xfId="0" applyNumberFormat="1" applyFont="1" applyFill="1" applyBorder="1" applyAlignment="1">
      <alignment horizontal="right" vertical="center"/>
    </xf>
    <xf numFmtId="0" fontId="49" fillId="20" borderId="116" xfId="0" applyFont="1" applyFill="1" applyBorder="1" applyAlignment="1">
      <alignment horizontal="center" vertical="center"/>
    </xf>
    <xf numFmtId="187" fontId="49" fillId="20" borderId="117" xfId="0" applyNumberFormat="1" applyFont="1" applyFill="1" applyBorder="1" applyAlignment="1">
      <alignment horizontal="right" vertical="center"/>
    </xf>
    <xf numFmtId="0" fontId="51" fillId="0" borderId="12" xfId="0" applyFont="1" applyBorder="1"/>
    <xf numFmtId="0" fontId="51" fillId="0" borderId="0" xfId="0" applyFont="1" applyBorder="1"/>
    <xf numFmtId="0" fontId="51" fillId="0" borderId="73" xfId="0" applyFont="1" applyBorder="1"/>
    <xf numFmtId="187" fontId="49" fillId="24" borderId="112" xfId="0" applyNumberFormat="1" applyFont="1" applyFill="1" applyBorder="1" applyAlignment="1">
      <alignment horizontal="right" vertical="center"/>
    </xf>
    <xf numFmtId="0" fontId="6" fillId="0" borderId="0" xfId="0" applyFont="1" applyFill="1" applyAlignment="1" applyProtection="1">
      <protection hidden="1"/>
    </xf>
    <xf numFmtId="170" fontId="6" fillId="0" borderId="0" xfId="0" applyNumberFormat="1" applyFont="1" applyFill="1" applyAlignment="1" applyProtection="1">
      <protection hidden="1"/>
    </xf>
    <xf numFmtId="0" fontId="51" fillId="0" borderId="114" xfId="0" applyFont="1" applyFill="1" applyBorder="1" applyAlignment="1">
      <alignment horizontal="center" vertical="center"/>
    </xf>
    <xf numFmtId="0" fontId="51" fillId="0" borderId="85" xfId="0" applyFont="1" applyFill="1" applyBorder="1" applyAlignment="1">
      <alignment horizontal="center" vertical="center"/>
    </xf>
    <xf numFmtId="0" fontId="49" fillId="0" borderId="82" xfId="0" applyFont="1" applyFill="1" applyBorder="1" applyAlignment="1">
      <alignment horizontal="left" vertical="center"/>
    </xf>
    <xf numFmtId="0" fontId="52" fillId="0" borderId="85" xfId="0" applyFont="1" applyFill="1" applyBorder="1"/>
    <xf numFmtId="177" fontId="57" fillId="0" borderId="11" xfId="13" applyNumberFormat="1" applyFont="1" applyBorder="1" applyAlignment="1" applyProtection="1">
      <alignment horizontal="center" vertical="center"/>
      <protection hidden="1"/>
    </xf>
    <xf numFmtId="0" fontId="30" fillId="7" borderId="30" xfId="3" applyFont="1" applyFill="1" applyBorder="1" applyAlignment="1" applyProtection="1">
      <alignment horizontal="center" vertical="center" wrapText="1"/>
      <protection hidden="1"/>
    </xf>
    <xf numFmtId="17" fontId="0" fillId="0" borderId="0" xfId="0" applyNumberFormat="1"/>
    <xf numFmtId="0" fontId="30" fillId="7" borderId="47" xfId="3" applyFont="1" applyFill="1" applyBorder="1" applyAlignment="1" applyProtection="1">
      <alignment horizontal="center" wrapText="1"/>
      <protection hidden="1"/>
    </xf>
    <xf numFmtId="0" fontId="7" fillId="7" borderId="49" xfId="3" applyFont="1" applyFill="1" applyBorder="1" applyAlignment="1" applyProtection="1">
      <alignment horizontal="center" vertical="center" wrapText="1"/>
      <protection hidden="1"/>
    </xf>
    <xf numFmtId="0" fontId="15" fillId="0" borderId="8" xfId="5" applyFont="1" applyBorder="1" applyAlignment="1" applyProtection="1">
      <alignment horizontal="center" vertical="center" wrapText="1"/>
      <protection hidden="1"/>
    </xf>
    <xf numFmtId="4" fontId="8" fillId="0" borderId="14" xfId="8" applyNumberFormat="1" applyFont="1" applyFill="1" applyBorder="1" applyAlignment="1" applyProtection="1">
      <alignment horizontal="center" vertical="center" wrapText="1"/>
      <protection hidden="1"/>
    </xf>
    <xf numFmtId="0" fontId="6" fillId="9" borderId="8" xfId="8" applyNumberFormat="1" applyFont="1" applyFill="1" applyBorder="1" applyAlignment="1" applyProtection="1">
      <alignment horizontal="center" vertical="center" wrapText="1"/>
      <protection hidden="1"/>
    </xf>
    <xf numFmtId="0" fontId="61" fillId="3" borderId="0" xfId="17" applyFont="1" applyFill="1" applyBorder="1" applyAlignment="1" applyProtection="1">
      <alignment horizontal="center"/>
      <protection hidden="1"/>
    </xf>
    <xf numFmtId="180" fontId="61" fillId="7" borderId="29" xfId="17" applyNumberFormat="1" applyFont="1" applyFill="1" applyBorder="1" applyAlignment="1" applyProtection="1">
      <alignment horizontal="center" vertical="center"/>
      <protection hidden="1"/>
    </xf>
    <xf numFmtId="0" fontId="60" fillId="7" borderId="29" xfId="17" applyFont="1" applyFill="1" applyBorder="1" applyAlignment="1" applyProtection="1">
      <alignment horizontal="center" vertical="center"/>
      <protection hidden="1"/>
    </xf>
    <xf numFmtId="0" fontId="1" fillId="2" borderId="0" xfId="5" applyFont="1" applyFill="1" applyAlignment="1" applyProtection="1">
      <alignment vertical="center"/>
      <protection hidden="1"/>
    </xf>
    <xf numFmtId="0" fontId="1" fillId="0" borderId="0" xfId="5" applyFont="1" applyFill="1" applyAlignment="1" applyProtection="1">
      <alignment vertical="center"/>
      <protection hidden="1"/>
    </xf>
    <xf numFmtId="0" fontId="1" fillId="7" borderId="8" xfId="5" applyFont="1" applyFill="1" applyBorder="1" applyAlignment="1" applyProtection="1">
      <alignment horizontal="center" vertical="center" wrapText="1"/>
      <protection hidden="1"/>
    </xf>
    <xf numFmtId="0" fontId="1" fillId="4" borderId="8" xfId="5" applyFont="1" applyFill="1" applyBorder="1" applyAlignment="1" applyProtection="1">
      <alignment horizontal="center" vertical="center" wrapText="1"/>
      <protection hidden="1"/>
    </xf>
    <xf numFmtId="0" fontId="1" fillId="6" borderId="8" xfId="5" applyFont="1" applyFill="1" applyBorder="1" applyAlignment="1" applyProtection="1">
      <alignment vertical="center"/>
      <protection hidden="1"/>
    </xf>
    <xf numFmtId="0" fontId="1" fillId="6" borderId="8" xfId="5" applyFont="1" applyFill="1" applyBorder="1" applyAlignment="1" applyProtection="1">
      <alignment horizontal="center" vertical="center" wrapText="1"/>
      <protection hidden="1"/>
    </xf>
    <xf numFmtId="0" fontId="12" fillId="0" borderId="8" xfId="5" applyFont="1" applyBorder="1" applyAlignment="1" applyProtection="1">
      <alignment horizontal="center" vertical="center" wrapText="1"/>
      <protection hidden="1"/>
    </xf>
    <xf numFmtId="0" fontId="1" fillId="0" borderId="8" xfId="5" applyFont="1" applyBorder="1" applyAlignment="1" applyProtection="1">
      <alignment horizontal="center" vertical="center" wrapText="1"/>
      <protection hidden="1"/>
    </xf>
    <xf numFmtId="0" fontId="1" fillId="0" borderId="8" xfId="6" applyFont="1" applyFill="1" applyBorder="1" applyAlignment="1" applyProtection="1">
      <alignment horizontal="center" vertical="center" wrapText="1"/>
      <protection hidden="1"/>
    </xf>
    <xf numFmtId="165" fontId="1" fillId="0" borderId="8" xfId="5" applyNumberFormat="1" applyFont="1" applyBorder="1" applyAlignment="1" applyProtection="1">
      <alignment horizontal="center" vertical="center" wrapText="1"/>
      <protection hidden="1"/>
    </xf>
    <xf numFmtId="164" fontId="1" fillId="0" borderId="8" xfId="5" applyNumberFormat="1" applyFont="1" applyFill="1" applyBorder="1" applyAlignment="1" applyProtection="1">
      <alignment horizontal="center" vertical="center"/>
      <protection hidden="1"/>
    </xf>
    <xf numFmtId="0" fontId="1" fillId="6" borderId="11" xfId="5" applyFont="1" applyFill="1" applyBorder="1" applyAlignment="1" applyProtection="1">
      <alignment horizontal="center" vertical="center" wrapText="1"/>
      <protection hidden="1"/>
    </xf>
    <xf numFmtId="0" fontId="1" fillId="0" borderId="8" xfId="5" applyFont="1" applyFill="1" applyBorder="1" applyAlignment="1" applyProtection="1">
      <alignment horizontal="left" vertical="center" wrapText="1"/>
      <protection hidden="1"/>
    </xf>
    <xf numFmtId="0" fontId="1" fillId="0" borderId="0" xfId="6" applyFont="1" applyFill="1" applyAlignment="1" applyProtection="1">
      <alignment horizontal="justify" vertical="center"/>
      <protection hidden="1"/>
    </xf>
    <xf numFmtId="0" fontId="1" fillId="0" borderId="0" xfId="5" applyFont="1" applyFill="1" applyBorder="1" applyAlignment="1" applyProtection="1">
      <alignment vertical="center"/>
      <protection hidden="1"/>
    </xf>
    <xf numFmtId="0" fontId="1" fillId="8" borderId="8" xfId="5" applyFont="1" applyFill="1" applyBorder="1" applyAlignment="1" applyProtection="1">
      <alignment horizontal="justify" vertical="center"/>
      <protection hidden="1"/>
    </xf>
    <xf numFmtId="0" fontId="1" fillId="8" borderId="8" xfId="5" applyFont="1" applyFill="1" applyBorder="1" applyAlignment="1" applyProtection="1">
      <alignment horizontal="center" vertical="center"/>
      <protection hidden="1"/>
    </xf>
    <xf numFmtId="14" fontId="1" fillId="0" borderId="8" xfId="6" applyNumberFormat="1" applyFont="1" applyFill="1" applyBorder="1" applyAlignment="1" applyProtection="1">
      <alignment horizontal="center" vertical="center" wrapText="1"/>
      <protection hidden="1"/>
    </xf>
    <xf numFmtId="0" fontId="1" fillId="0" borderId="0" xfId="5" applyFont="1" applyAlignment="1" applyProtection="1">
      <alignment vertical="center"/>
      <protection hidden="1"/>
    </xf>
    <xf numFmtId="14" fontId="1" fillId="0" borderId="0" xfId="5" applyNumberFormat="1" applyFont="1" applyAlignment="1" applyProtection="1">
      <alignment vertical="center"/>
      <protection hidden="1"/>
    </xf>
    <xf numFmtId="173" fontId="6" fillId="9" borderId="8" xfId="8" applyNumberFormat="1" applyFont="1" applyFill="1" applyBorder="1" applyAlignment="1" applyProtection="1">
      <alignment horizontal="center" vertical="center" wrapText="1"/>
      <protection hidden="1"/>
    </xf>
    <xf numFmtId="174" fontId="6" fillId="7" borderId="8" xfId="8" applyNumberFormat="1" applyFont="1" applyFill="1" applyBorder="1" applyAlignment="1" applyProtection="1">
      <alignment horizontal="center" vertical="center" wrapText="1"/>
      <protection hidden="1"/>
    </xf>
    <xf numFmtId="0" fontId="64" fillId="9" borderId="8" xfId="0" applyNumberFormat="1" applyFont="1" applyFill="1" applyBorder="1" applyAlignment="1" applyProtection="1">
      <alignment horizontal="center" vertical="center" wrapText="1"/>
      <protection hidden="1"/>
    </xf>
    <xf numFmtId="0" fontId="6" fillId="9" borderId="8" xfId="3" applyFont="1" applyFill="1" applyBorder="1" applyAlignment="1" applyProtection="1">
      <alignment horizontal="center" vertical="center" wrapText="1"/>
      <protection hidden="1"/>
    </xf>
    <xf numFmtId="9" fontId="6" fillId="7" borderId="8" xfId="3" applyNumberFormat="1" applyFont="1" applyFill="1" applyBorder="1" applyAlignment="1" applyProtection="1">
      <alignment horizontal="center" vertical="center" wrapText="1"/>
      <protection hidden="1"/>
    </xf>
    <xf numFmtId="0" fontId="14" fillId="0" borderId="8" xfId="9" applyFont="1" applyBorder="1" applyAlignment="1" applyProtection="1">
      <alignment horizontal="center" vertical="center"/>
      <protection hidden="1"/>
    </xf>
    <xf numFmtId="0" fontId="14" fillId="0" borderId="8" xfId="9" applyFont="1" applyBorder="1" applyAlignment="1" applyProtection="1">
      <alignment vertical="center"/>
      <protection hidden="1"/>
    </xf>
    <xf numFmtId="2" fontId="6" fillId="0" borderId="8" xfId="8" applyNumberFormat="1" applyFont="1" applyFill="1" applyBorder="1" applyAlignment="1" applyProtection="1">
      <alignment horizontal="center" vertical="center" wrapText="1"/>
      <protection hidden="1"/>
    </xf>
    <xf numFmtId="175" fontId="6" fillId="0" borderId="8" xfId="8" applyNumberFormat="1" applyFont="1" applyFill="1" applyBorder="1" applyAlignment="1" applyProtection="1">
      <alignment vertical="center" wrapText="1"/>
      <protection hidden="1"/>
    </xf>
    <xf numFmtId="171" fontId="6" fillId="0" borderId="4" xfId="8" applyFont="1" applyFill="1" applyBorder="1" applyAlignment="1" applyProtection="1">
      <alignment vertical="center" wrapText="1"/>
      <protection hidden="1"/>
    </xf>
    <xf numFmtId="9" fontId="6" fillId="5" borderId="8" xfId="3" applyNumberFormat="1" applyFont="1" applyFill="1" applyBorder="1" applyAlignment="1" applyProtection="1">
      <alignment horizontal="center" vertical="center" wrapText="1"/>
      <protection hidden="1"/>
    </xf>
    <xf numFmtId="171" fontId="6" fillId="0" borderId="0" xfId="8" applyFont="1" applyFill="1" applyBorder="1" applyAlignment="1" applyProtection="1">
      <alignment vertical="center" wrapText="1"/>
      <protection hidden="1"/>
    </xf>
    <xf numFmtId="171" fontId="6" fillId="0" borderId="0" xfId="8" applyFont="1" applyFill="1" applyAlignment="1" applyProtection="1">
      <alignment horizontal="center" wrapText="1"/>
      <protection hidden="1"/>
    </xf>
    <xf numFmtId="171" fontId="63" fillId="0" borderId="0" xfId="8" applyFont="1" applyFill="1" applyAlignment="1" applyProtection="1">
      <alignment horizontal="center" wrapText="1"/>
      <protection hidden="1"/>
    </xf>
    <xf numFmtId="4" fontId="6" fillId="0" borderId="8" xfId="3" applyNumberFormat="1" applyFont="1" applyFill="1" applyBorder="1" applyAlignment="1" applyProtection="1">
      <alignment horizontal="center" vertical="center" wrapText="1"/>
      <protection hidden="1"/>
    </xf>
    <xf numFmtId="0" fontId="14" fillId="0" borderId="0" xfId="3" applyFont="1" applyFill="1" applyAlignment="1" applyProtection="1">
      <alignment horizontal="center" wrapText="1"/>
      <protection hidden="1"/>
    </xf>
    <xf numFmtId="0" fontId="8" fillId="4" borderId="0" xfId="0" applyFont="1" applyFill="1" applyAlignment="1" applyProtection="1">
      <alignment horizontal="justify" vertical="top"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5" fillId="0" borderId="41" xfId="4" applyFont="1" applyBorder="1" applyAlignment="1" applyProtection="1">
      <alignment horizontal="center" vertical="center" wrapText="1"/>
      <protection hidden="1"/>
    </xf>
    <xf numFmtId="0" fontId="5" fillId="0" borderId="42" xfId="4" applyFont="1" applyBorder="1" applyAlignment="1" applyProtection="1">
      <alignment horizontal="center" vertical="center" wrapText="1"/>
      <protection hidden="1"/>
    </xf>
    <xf numFmtId="0" fontId="5" fillId="0" borderId="42" xfId="4" applyFont="1" applyBorder="1" applyAlignment="1" applyProtection="1">
      <alignment horizontal="center" vertical="center"/>
      <protection hidden="1"/>
    </xf>
    <xf numFmtId="0" fontId="5" fillId="0" borderId="43" xfId="4" applyFont="1" applyBorder="1" applyAlignment="1" applyProtection="1">
      <alignment horizontal="center" vertical="center"/>
      <protection hidden="1"/>
    </xf>
    <xf numFmtId="0" fontId="5" fillId="5" borderId="1" xfId="4" applyFont="1" applyFill="1" applyBorder="1" applyAlignment="1" applyProtection="1">
      <alignment horizontal="center"/>
      <protection hidden="1"/>
    </xf>
    <xf numFmtId="0" fontId="5" fillId="5" borderId="3" xfId="4" applyFont="1" applyFill="1" applyBorder="1" applyAlignment="1" applyProtection="1">
      <alignment horizontal="center"/>
      <protection hidden="1"/>
    </xf>
    <xf numFmtId="0" fontId="3" fillId="5" borderId="9" xfId="4" applyFont="1" applyFill="1" applyBorder="1" applyAlignment="1" applyProtection="1">
      <alignment horizontal="center" wrapText="1"/>
      <protection hidden="1"/>
    </xf>
    <xf numFmtId="0" fontId="3" fillId="5" borderId="2" xfId="4" applyFont="1" applyFill="1" applyBorder="1" applyAlignment="1" applyProtection="1">
      <alignment horizontal="center" wrapText="1"/>
      <protection hidden="1"/>
    </xf>
    <xf numFmtId="0" fontId="4" fillId="5" borderId="0" xfId="4" applyFont="1" applyFill="1" applyBorder="1" applyAlignment="1" applyProtection="1">
      <alignment horizontal="center"/>
      <protection hidden="1"/>
    </xf>
    <xf numFmtId="0" fontId="4" fillId="5" borderId="4" xfId="4" applyFont="1" applyFill="1" applyBorder="1" applyAlignment="1" applyProtection="1">
      <alignment horizontal="center"/>
      <protection hidden="1"/>
    </xf>
    <xf numFmtId="0" fontId="7" fillId="5" borderId="0" xfId="4" applyFont="1" applyFill="1" applyBorder="1" applyAlignment="1" applyProtection="1">
      <alignment horizontal="center" vertical="center" wrapText="1"/>
      <protection hidden="1"/>
    </xf>
    <xf numFmtId="0" fontId="7" fillId="5" borderId="4" xfId="4" applyFont="1" applyFill="1" applyBorder="1" applyAlignment="1" applyProtection="1">
      <alignment horizontal="center" vertical="center" wrapText="1"/>
      <protection hidden="1"/>
    </xf>
    <xf numFmtId="0" fontId="6" fillId="5" borderId="5" xfId="4" applyFont="1" applyFill="1" applyBorder="1" applyAlignment="1" applyProtection="1">
      <alignment horizontal="center" vertical="center" wrapText="1"/>
      <protection hidden="1"/>
    </xf>
    <xf numFmtId="0" fontId="6" fillId="5" borderId="10" xfId="4" applyFont="1" applyFill="1" applyBorder="1" applyAlignment="1" applyProtection="1">
      <alignment horizontal="center" vertical="center" wrapText="1"/>
      <protection hidden="1"/>
    </xf>
    <xf numFmtId="0" fontId="6" fillId="5" borderId="6" xfId="4" applyFont="1" applyFill="1" applyBorder="1" applyAlignment="1" applyProtection="1">
      <alignment horizontal="center" vertical="center" wrapText="1"/>
      <protection hidden="1"/>
    </xf>
    <xf numFmtId="0" fontId="7" fillId="6" borderId="5" xfId="4" applyFont="1" applyFill="1" applyBorder="1" applyAlignment="1" applyProtection="1">
      <alignment horizontal="center" wrapText="1"/>
      <protection hidden="1"/>
    </xf>
    <xf numFmtId="0" fontId="7" fillId="6" borderId="10" xfId="4" applyFont="1" applyFill="1" applyBorder="1" applyAlignment="1" applyProtection="1">
      <alignment horizontal="center" wrapText="1"/>
      <protection hidden="1"/>
    </xf>
    <xf numFmtId="0" fontId="7" fillId="6" borderId="6" xfId="4" applyFont="1" applyFill="1" applyBorder="1" applyAlignment="1" applyProtection="1">
      <alignment horizontal="center" wrapText="1"/>
      <protection hidden="1"/>
    </xf>
    <xf numFmtId="0" fontId="7" fillId="6" borderId="3" xfId="4" applyFont="1" applyFill="1" applyBorder="1" applyAlignment="1" applyProtection="1">
      <alignment horizontal="center" vertical="center" wrapText="1"/>
      <protection hidden="1"/>
    </xf>
    <xf numFmtId="0" fontId="7" fillId="6" borderId="0" xfId="4" applyFont="1" applyFill="1" applyBorder="1" applyAlignment="1" applyProtection="1">
      <alignment horizontal="center" vertical="center" wrapText="1"/>
      <protection hidden="1"/>
    </xf>
    <xf numFmtId="0" fontId="7" fillId="6" borderId="4" xfId="4" applyFont="1" applyFill="1" applyBorder="1" applyAlignment="1" applyProtection="1">
      <alignment horizontal="center" vertical="center" wrapText="1"/>
      <protection hidden="1"/>
    </xf>
    <xf numFmtId="0" fontId="1" fillId="8" borderId="13" xfId="5" applyFont="1" applyFill="1" applyBorder="1" applyAlignment="1" applyProtection="1">
      <alignment horizontal="center" vertical="center"/>
      <protection hidden="1"/>
    </xf>
    <xf numFmtId="0" fontId="1" fillId="8" borderId="14" xfId="5" applyFont="1" applyFill="1" applyBorder="1" applyAlignment="1" applyProtection="1">
      <alignment horizontal="center" vertical="center"/>
      <protection hidden="1"/>
    </xf>
    <xf numFmtId="0" fontId="1" fillId="8" borderId="11" xfId="5" applyFont="1" applyFill="1" applyBorder="1" applyAlignment="1" applyProtection="1">
      <alignment horizontal="center" vertical="center"/>
      <protection hidden="1"/>
    </xf>
    <xf numFmtId="0" fontId="12" fillId="0" borderId="13" xfId="5" applyFont="1" applyBorder="1" applyAlignment="1" applyProtection="1">
      <alignment horizontal="center" vertical="center" wrapText="1"/>
      <protection hidden="1"/>
    </xf>
    <xf numFmtId="0" fontId="12" fillId="0" borderId="14" xfId="5" applyFont="1" applyBorder="1" applyAlignment="1" applyProtection="1">
      <alignment horizontal="center" vertical="center" wrapText="1"/>
      <protection hidden="1"/>
    </xf>
    <xf numFmtId="0" fontId="12" fillId="0" borderId="11" xfId="5" applyFont="1" applyBorder="1" applyAlignment="1" applyProtection="1">
      <alignment horizontal="center" vertical="center" wrapText="1"/>
      <protection hidden="1"/>
    </xf>
    <xf numFmtId="0" fontId="6" fillId="0" borderId="8" xfId="8" applyNumberFormat="1" applyFont="1" applyFill="1" applyBorder="1" applyAlignment="1" applyProtection="1">
      <alignment horizontal="center" vertical="center" wrapText="1"/>
      <protection hidden="1"/>
    </xf>
    <xf numFmtId="9" fontId="6" fillId="5" borderId="13" xfId="3" applyNumberFormat="1" applyFont="1" applyFill="1" applyBorder="1" applyAlignment="1" applyProtection="1">
      <alignment horizontal="center" vertical="center" wrapText="1"/>
      <protection hidden="1"/>
    </xf>
    <xf numFmtId="9" fontId="6" fillId="5" borderId="11" xfId="3" applyNumberFormat="1" applyFont="1" applyFill="1" applyBorder="1" applyAlignment="1" applyProtection="1">
      <alignment horizontal="center" vertical="center" wrapText="1"/>
      <protection hidden="1"/>
    </xf>
    <xf numFmtId="0" fontId="6" fillId="0" borderId="13" xfId="8" applyNumberFormat="1" applyFont="1" applyFill="1" applyBorder="1" applyAlignment="1" applyProtection="1">
      <alignment horizontal="center" vertical="center" wrapText="1"/>
      <protection hidden="1"/>
    </xf>
    <xf numFmtId="0" fontId="6" fillId="0" borderId="11" xfId="8" applyNumberFormat="1" applyFont="1" applyFill="1" applyBorder="1" applyAlignment="1" applyProtection="1">
      <alignment horizontal="center" vertical="center" wrapText="1"/>
      <protection hidden="1"/>
    </xf>
    <xf numFmtId="0" fontId="64" fillId="7" borderId="13" xfId="0" applyFont="1" applyFill="1" applyBorder="1" applyAlignment="1" applyProtection="1">
      <alignment horizontal="center" vertical="center" textRotation="255" wrapText="1"/>
      <protection hidden="1"/>
    </xf>
    <xf numFmtId="0" fontId="64" fillId="7" borderId="14" xfId="0" applyFont="1" applyFill="1" applyBorder="1" applyAlignment="1" applyProtection="1">
      <alignment horizontal="center" vertical="center" textRotation="255" wrapText="1"/>
      <protection hidden="1"/>
    </xf>
    <xf numFmtId="0" fontId="64" fillId="7" borderId="11" xfId="0" applyFont="1" applyFill="1" applyBorder="1" applyAlignment="1" applyProtection="1">
      <alignment horizontal="center" vertical="center" textRotation="255" wrapText="1"/>
      <protection hidden="1"/>
    </xf>
    <xf numFmtId="0" fontId="14" fillId="0" borderId="13" xfId="3" applyNumberFormat="1" applyFont="1" applyFill="1" applyBorder="1" applyAlignment="1" applyProtection="1">
      <alignment horizontal="center" vertical="center" wrapText="1"/>
      <protection hidden="1"/>
    </xf>
    <xf numFmtId="0" fontId="14" fillId="0" borderId="14" xfId="3" applyNumberFormat="1" applyFont="1" applyFill="1" applyBorder="1" applyAlignment="1" applyProtection="1">
      <alignment horizontal="center" vertical="center" wrapText="1"/>
      <protection hidden="1"/>
    </xf>
    <xf numFmtId="0" fontId="14" fillId="0" borderId="11" xfId="3" applyNumberFormat="1" applyFont="1" applyFill="1" applyBorder="1" applyAlignment="1" applyProtection="1">
      <alignment horizontal="center" vertical="center" wrapText="1"/>
      <protection hidden="1"/>
    </xf>
    <xf numFmtId="4" fontId="6" fillId="0" borderId="13" xfId="3" applyNumberFormat="1" applyFont="1" applyFill="1" applyBorder="1" applyAlignment="1" applyProtection="1">
      <alignment horizontal="center" vertical="center" wrapText="1"/>
      <protection hidden="1"/>
    </xf>
    <xf numFmtId="4" fontId="6" fillId="0" borderId="14" xfId="3" applyNumberFormat="1" applyFont="1" applyFill="1" applyBorder="1" applyAlignment="1" applyProtection="1">
      <alignment horizontal="center" vertical="center" wrapText="1"/>
      <protection hidden="1"/>
    </xf>
    <xf numFmtId="4" fontId="6" fillId="0" borderId="11" xfId="3" applyNumberFormat="1" applyFont="1" applyFill="1" applyBorder="1" applyAlignment="1" applyProtection="1">
      <alignment horizontal="center" vertical="center" wrapText="1"/>
      <protection hidden="1"/>
    </xf>
    <xf numFmtId="0" fontId="14" fillId="5" borderId="13" xfId="3" applyNumberFormat="1" applyFont="1" applyFill="1" applyBorder="1" applyAlignment="1" applyProtection="1">
      <alignment horizontal="center" vertical="center" wrapText="1"/>
      <protection hidden="1"/>
    </xf>
    <xf numFmtId="0" fontId="14" fillId="5" borderId="14" xfId="3" applyNumberFormat="1" applyFont="1" applyFill="1" applyBorder="1" applyAlignment="1" applyProtection="1">
      <alignment horizontal="center" vertical="center" wrapText="1"/>
      <protection hidden="1"/>
    </xf>
    <xf numFmtId="0" fontId="14" fillId="5" borderId="11" xfId="3" applyNumberFormat="1" applyFont="1" applyFill="1" applyBorder="1" applyAlignment="1" applyProtection="1">
      <alignment horizontal="center" vertical="center" wrapText="1"/>
      <protection hidden="1"/>
    </xf>
    <xf numFmtId="9" fontId="14" fillId="0" borderId="13" xfId="3" applyNumberFormat="1" applyFont="1" applyFill="1" applyBorder="1" applyAlignment="1" applyProtection="1">
      <alignment horizontal="center" vertical="center" wrapText="1"/>
      <protection hidden="1"/>
    </xf>
    <xf numFmtId="9" fontId="14" fillId="0" borderId="14" xfId="3" applyNumberFormat="1" applyFont="1" applyFill="1" applyBorder="1" applyAlignment="1" applyProtection="1">
      <alignment horizontal="center" vertical="center" wrapText="1"/>
      <protection hidden="1"/>
    </xf>
    <xf numFmtId="9" fontId="14" fillId="0" borderId="11" xfId="3" applyNumberFormat="1" applyFont="1" applyFill="1" applyBorder="1" applyAlignment="1" applyProtection="1">
      <alignment horizontal="center" vertical="center" wrapText="1"/>
      <protection hidden="1"/>
    </xf>
    <xf numFmtId="0" fontId="6" fillId="5" borderId="13" xfId="3" applyFont="1" applyFill="1" applyBorder="1" applyAlignment="1" applyProtection="1">
      <alignment horizontal="center" vertical="center" wrapText="1"/>
      <protection hidden="1"/>
    </xf>
    <xf numFmtId="0" fontId="6" fillId="5" borderId="14" xfId="3" applyFont="1" applyFill="1" applyBorder="1" applyAlignment="1" applyProtection="1">
      <alignment horizontal="center" vertical="center" wrapText="1"/>
      <protection hidden="1"/>
    </xf>
    <xf numFmtId="0" fontId="6" fillId="5" borderId="11" xfId="3" applyFont="1" applyFill="1" applyBorder="1" applyAlignment="1" applyProtection="1">
      <alignment horizontal="center" vertical="center" wrapText="1"/>
      <protection hidden="1"/>
    </xf>
    <xf numFmtId="0" fontId="14" fillId="0" borderId="13" xfId="3" quotePrefix="1" applyFont="1" applyFill="1" applyBorder="1" applyAlignment="1" applyProtection="1">
      <alignment horizontal="center" vertical="center" wrapText="1"/>
      <protection hidden="1"/>
    </xf>
    <xf numFmtId="0" fontId="14" fillId="0" borderId="14" xfId="3" applyFont="1" applyFill="1" applyBorder="1" applyAlignment="1" applyProtection="1">
      <alignment horizontal="center" vertical="center" wrapText="1"/>
      <protection hidden="1"/>
    </xf>
    <xf numFmtId="0" fontId="14" fillId="0" borderId="11" xfId="3" applyFont="1" applyFill="1" applyBorder="1" applyAlignment="1" applyProtection="1">
      <alignment horizontal="center" vertical="center" wrapText="1"/>
      <protection hidden="1"/>
    </xf>
    <xf numFmtId="0" fontId="6" fillId="0" borderId="14" xfId="8" applyNumberFormat="1" applyFont="1" applyFill="1" applyBorder="1" applyAlignment="1" applyProtection="1">
      <alignment horizontal="center" vertical="center" wrapText="1"/>
      <protection hidden="1"/>
    </xf>
    <xf numFmtId="4" fontId="6" fillId="10" borderId="13" xfId="3" applyNumberFormat="1" applyFont="1" applyFill="1" applyBorder="1" applyAlignment="1" applyProtection="1">
      <alignment horizontal="center" vertical="center" wrapText="1"/>
      <protection hidden="1"/>
    </xf>
    <xf numFmtId="4" fontId="6" fillId="10" borderId="14" xfId="3" applyNumberFormat="1" applyFont="1" applyFill="1" applyBorder="1" applyAlignment="1" applyProtection="1">
      <alignment horizontal="center" vertical="center" wrapText="1"/>
      <protection hidden="1"/>
    </xf>
    <xf numFmtId="4" fontId="6" fillId="10" borderId="11" xfId="3" applyNumberFormat="1" applyFont="1" applyFill="1" applyBorder="1" applyAlignment="1" applyProtection="1">
      <alignment horizontal="center" vertical="center" wrapText="1"/>
      <protection hidden="1"/>
    </xf>
    <xf numFmtId="0" fontId="14" fillId="2" borderId="13" xfId="3" applyNumberFormat="1" applyFont="1" applyFill="1" applyBorder="1" applyAlignment="1" applyProtection="1">
      <alignment horizontal="center" vertical="center" wrapText="1"/>
      <protection hidden="1"/>
    </xf>
    <xf numFmtId="0" fontId="14" fillId="2" borderId="14" xfId="3" applyNumberFormat="1" applyFont="1" applyFill="1" applyBorder="1" applyAlignment="1" applyProtection="1">
      <alignment horizontal="center" vertical="center" wrapText="1"/>
      <protection hidden="1"/>
    </xf>
    <xf numFmtId="0" fontId="14" fillId="2" borderId="11" xfId="3" applyNumberFormat="1" applyFont="1" applyFill="1" applyBorder="1" applyAlignment="1" applyProtection="1">
      <alignment horizontal="center" vertical="center" wrapText="1"/>
      <protection hidden="1"/>
    </xf>
    <xf numFmtId="4" fontId="6" fillId="2" borderId="13" xfId="3" applyNumberFormat="1" applyFont="1" applyFill="1" applyBorder="1" applyAlignment="1" applyProtection="1">
      <alignment horizontal="center" vertical="center" wrapText="1"/>
      <protection hidden="1"/>
    </xf>
    <xf numFmtId="4" fontId="6" fillId="2" borderId="14" xfId="3" applyNumberFormat="1" applyFont="1" applyFill="1" applyBorder="1" applyAlignment="1" applyProtection="1">
      <alignment horizontal="center" vertical="center" wrapText="1"/>
      <protection hidden="1"/>
    </xf>
    <xf numFmtId="4" fontId="6" fillId="2" borderId="11" xfId="3" applyNumberFormat="1" applyFont="1" applyFill="1" applyBorder="1" applyAlignment="1" applyProtection="1">
      <alignment horizontal="center" vertical="center" wrapText="1"/>
      <protection hidden="1"/>
    </xf>
    <xf numFmtId="9" fontId="14" fillId="2" borderId="13" xfId="3" applyNumberFormat="1" applyFont="1" applyFill="1" applyBorder="1" applyAlignment="1" applyProtection="1">
      <alignment horizontal="center" vertical="center" wrapText="1"/>
      <protection hidden="1"/>
    </xf>
    <xf numFmtId="9" fontId="14" fillId="2" borderId="14" xfId="3" applyNumberFormat="1" applyFont="1" applyFill="1" applyBorder="1" applyAlignment="1" applyProtection="1">
      <alignment horizontal="center" vertical="center" wrapText="1"/>
      <protection hidden="1"/>
    </xf>
    <xf numFmtId="9" fontId="14" fillId="2" borderId="11" xfId="3"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0" borderId="9"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vertical="center" wrapText="1"/>
      <protection hidden="1"/>
    </xf>
    <xf numFmtId="0" fontId="6" fillId="0" borderId="5" xfId="1" applyNumberFormat="1" applyFont="1" applyFill="1" applyBorder="1" applyAlignment="1" applyProtection="1">
      <alignment horizontal="center" vertical="center" wrapText="1"/>
      <protection hidden="1"/>
    </xf>
    <xf numFmtId="0" fontId="6" fillId="0" borderId="10" xfId="1" applyNumberFormat="1" applyFont="1" applyFill="1" applyBorder="1" applyAlignment="1" applyProtection="1">
      <alignment horizontal="center" vertical="center" wrapText="1"/>
      <protection hidden="1"/>
    </xf>
    <xf numFmtId="0" fontId="6" fillId="0" borderId="6" xfId="1" applyNumberFormat="1" applyFont="1" applyFill="1" applyBorder="1" applyAlignment="1" applyProtection="1">
      <alignment horizontal="center" vertical="center" wrapText="1"/>
      <protection hidden="1"/>
    </xf>
    <xf numFmtId="0" fontId="6" fillId="11" borderId="15" xfId="0" applyFont="1" applyFill="1" applyBorder="1" applyAlignment="1" applyProtection="1">
      <alignment horizontal="center" vertical="center"/>
      <protection hidden="1"/>
    </xf>
    <xf numFmtId="0" fontId="6" fillId="11" borderId="7" xfId="0" applyFont="1" applyFill="1" applyBorder="1" applyAlignment="1" applyProtection="1">
      <alignment horizontal="center" vertical="center"/>
      <protection hidden="1"/>
    </xf>
    <xf numFmtId="0" fontId="6" fillId="11" borderId="16" xfId="0" applyFont="1" applyFill="1" applyBorder="1" applyAlignment="1" applyProtection="1">
      <alignment horizontal="center" vertical="center"/>
      <protection hidden="1"/>
    </xf>
    <xf numFmtId="0" fontId="6" fillId="0" borderId="13" xfId="1" applyNumberFormat="1" applyFont="1" applyFill="1" applyBorder="1" applyAlignment="1" applyProtection="1">
      <alignment horizontal="center" vertical="center" wrapText="1"/>
      <protection hidden="1"/>
    </xf>
    <xf numFmtId="0" fontId="6" fillId="0" borderId="11" xfId="1" applyNumberFormat="1" applyFont="1" applyFill="1" applyBorder="1" applyAlignment="1" applyProtection="1">
      <alignment horizontal="center" vertical="center" wrapText="1"/>
      <protection hidden="1"/>
    </xf>
    <xf numFmtId="171" fontId="6" fillId="0" borderId="13" xfId="8" applyFont="1" applyFill="1" applyBorder="1" applyAlignment="1" applyProtection="1">
      <alignment horizontal="center" vertical="center" wrapText="1"/>
      <protection hidden="1"/>
    </xf>
    <xf numFmtId="171" fontId="6" fillId="0" borderId="14" xfId="8" applyFont="1" applyFill="1" applyBorder="1" applyAlignment="1" applyProtection="1">
      <alignment horizontal="center" vertical="center" wrapText="1"/>
      <protection hidden="1"/>
    </xf>
    <xf numFmtId="171" fontId="6" fillId="0" borderId="11" xfId="8" applyFont="1" applyFill="1" applyBorder="1" applyAlignment="1" applyProtection="1">
      <alignment horizontal="center" vertical="center" wrapText="1"/>
      <protection hidden="1"/>
    </xf>
    <xf numFmtId="0" fontId="6" fillId="7" borderId="15" xfId="3" applyNumberFormat="1" applyFont="1" applyFill="1" applyBorder="1" applyAlignment="1" applyProtection="1">
      <alignment horizontal="center" vertical="center" wrapText="1"/>
      <protection hidden="1"/>
    </xf>
    <xf numFmtId="0" fontId="6" fillId="7" borderId="16" xfId="3" applyNumberFormat="1" applyFont="1" applyFill="1" applyBorder="1" applyAlignment="1" applyProtection="1">
      <alignment horizontal="center" vertical="center" wrapText="1"/>
      <protection hidden="1"/>
    </xf>
    <xf numFmtId="0" fontId="6" fillId="7" borderId="13" xfId="3" applyNumberFormat="1" applyFont="1" applyFill="1" applyBorder="1" applyAlignment="1" applyProtection="1">
      <alignment horizontal="center" vertical="center" wrapText="1"/>
      <protection hidden="1"/>
    </xf>
    <xf numFmtId="0" fontId="6" fillId="7" borderId="11" xfId="3" applyNumberFormat="1" applyFont="1" applyFill="1" applyBorder="1" applyAlignment="1" applyProtection="1">
      <alignment horizontal="center" vertical="center" wrapText="1"/>
      <protection hidden="1"/>
    </xf>
    <xf numFmtId="9" fontId="6" fillId="7" borderId="15" xfId="3" applyNumberFormat="1" applyFont="1" applyFill="1" applyBorder="1" applyAlignment="1" applyProtection="1">
      <alignment horizontal="center" vertical="center" wrapText="1"/>
      <protection hidden="1"/>
    </xf>
    <xf numFmtId="9" fontId="6" fillId="7" borderId="7" xfId="3" applyNumberFormat="1" applyFont="1" applyFill="1" applyBorder="1" applyAlignment="1" applyProtection="1">
      <alignment horizontal="center" vertical="center" wrapText="1"/>
      <protection hidden="1"/>
    </xf>
    <xf numFmtId="9" fontId="6" fillId="7" borderId="16" xfId="3" applyNumberFormat="1" applyFont="1" applyFill="1" applyBorder="1" applyAlignment="1" applyProtection="1">
      <alignment horizontal="center" vertical="center" wrapText="1"/>
      <protection hidden="1"/>
    </xf>
    <xf numFmtId="0" fontId="64" fillId="7" borderId="15" xfId="0" applyFont="1" applyFill="1" applyBorder="1" applyAlignment="1" applyProtection="1">
      <alignment horizontal="center" vertical="center" wrapText="1"/>
      <protection hidden="1"/>
    </xf>
    <xf numFmtId="0" fontId="64" fillId="7" borderId="7" xfId="0" applyFont="1" applyFill="1" applyBorder="1" applyAlignment="1" applyProtection="1">
      <alignment horizontal="center" vertical="center" wrapText="1"/>
      <protection hidden="1"/>
    </xf>
    <xf numFmtId="0" fontId="64" fillId="7" borderId="16" xfId="0" applyFont="1" applyFill="1" applyBorder="1" applyAlignment="1" applyProtection="1">
      <alignment horizontal="center" vertical="center" wrapText="1"/>
      <protection hidden="1"/>
    </xf>
    <xf numFmtId="0" fontId="64" fillId="9" borderId="15" xfId="0" applyNumberFormat="1" applyFont="1" applyFill="1" applyBorder="1" applyAlignment="1" applyProtection="1">
      <alignment horizontal="center" vertical="center" wrapText="1"/>
      <protection hidden="1"/>
    </xf>
    <xf numFmtId="0" fontId="64" fillId="9" borderId="7" xfId="0" applyNumberFormat="1" applyFont="1" applyFill="1" applyBorder="1" applyAlignment="1" applyProtection="1">
      <alignment horizontal="center" vertical="center" wrapText="1"/>
      <protection hidden="1"/>
    </xf>
    <xf numFmtId="0" fontId="64" fillId="9" borderId="16" xfId="0" applyNumberFormat="1" applyFont="1" applyFill="1" applyBorder="1" applyAlignment="1" applyProtection="1">
      <alignment horizontal="center" vertical="center" wrapText="1"/>
      <protection hidden="1"/>
    </xf>
    <xf numFmtId="0" fontId="64" fillId="6" borderId="15" xfId="0" applyNumberFormat="1" applyFont="1" applyFill="1" applyBorder="1" applyAlignment="1" applyProtection="1">
      <alignment horizontal="center" vertical="center" wrapText="1"/>
      <protection hidden="1"/>
    </xf>
    <xf numFmtId="0" fontId="64" fillId="6" borderId="7" xfId="0" applyNumberFormat="1" applyFont="1" applyFill="1" applyBorder="1" applyAlignment="1" applyProtection="1">
      <alignment horizontal="center" vertical="center" wrapText="1"/>
      <protection hidden="1"/>
    </xf>
    <xf numFmtId="0" fontId="64" fillId="6" borderId="16" xfId="0" applyNumberFormat="1" applyFont="1" applyFill="1" applyBorder="1" applyAlignment="1" applyProtection="1">
      <alignment horizontal="center" vertical="center" wrapText="1"/>
      <protection hidden="1"/>
    </xf>
    <xf numFmtId="0" fontId="13" fillId="7" borderId="13" xfId="0" applyFont="1" applyFill="1" applyBorder="1" applyAlignment="1" applyProtection="1">
      <alignment horizontal="center" vertical="center" textRotation="255" wrapText="1"/>
      <protection hidden="1"/>
    </xf>
    <xf numFmtId="0" fontId="13" fillId="7" borderId="11" xfId="0" applyFont="1" applyFill="1" applyBorder="1" applyAlignment="1" applyProtection="1">
      <alignment horizontal="center" vertical="center" textRotation="255" wrapText="1"/>
      <protection hidden="1"/>
    </xf>
    <xf numFmtId="0" fontId="6" fillId="7" borderId="7" xfId="3" applyNumberFormat="1" applyFont="1" applyFill="1" applyBorder="1" applyAlignment="1" applyProtection="1">
      <alignment horizontal="center" vertical="center" wrapText="1"/>
      <protection hidden="1"/>
    </xf>
    <xf numFmtId="14" fontId="14" fillId="0" borderId="13" xfId="3" applyNumberFormat="1" applyFont="1" applyFill="1" applyBorder="1" applyAlignment="1" applyProtection="1">
      <alignment horizontal="center" vertical="center" wrapText="1"/>
      <protection hidden="1"/>
    </xf>
    <xf numFmtId="14" fontId="14" fillId="2" borderId="13" xfId="3" applyNumberFormat="1" applyFont="1" applyFill="1" applyBorder="1" applyAlignment="1" applyProtection="1">
      <alignment horizontal="center" vertical="center" wrapText="1"/>
      <protection hidden="1"/>
    </xf>
    <xf numFmtId="0" fontId="6" fillId="9" borderId="15" xfId="9" applyFont="1" applyFill="1" applyBorder="1" applyAlignment="1" applyProtection="1">
      <alignment horizontal="center" vertical="center"/>
      <protection hidden="1"/>
    </xf>
    <xf numFmtId="0" fontId="6" fillId="9" borderId="7" xfId="9" applyFont="1" applyFill="1" applyBorder="1" applyAlignment="1" applyProtection="1">
      <alignment horizontal="center" vertical="center"/>
      <protection hidden="1"/>
    </xf>
    <xf numFmtId="0" fontId="6" fillId="9" borderId="16" xfId="9" applyFont="1" applyFill="1" applyBorder="1" applyAlignment="1" applyProtection="1">
      <alignment horizontal="center" vertical="center"/>
      <protection hidden="1"/>
    </xf>
    <xf numFmtId="0" fontId="25" fillId="2" borderId="15" xfId="3" applyNumberFormat="1" applyFont="1" applyFill="1" applyBorder="1" applyAlignment="1" applyProtection="1">
      <alignment horizontal="center" vertical="center" wrapText="1"/>
      <protection hidden="1"/>
    </xf>
    <xf numFmtId="0" fontId="25" fillId="2" borderId="7" xfId="3" applyNumberFormat="1" applyFont="1" applyFill="1" applyBorder="1" applyAlignment="1" applyProtection="1">
      <alignment horizontal="center" vertical="center" wrapText="1"/>
      <protection hidden="1"/>
    </xf>
    <xf numFmtId="0" fontId="25" fillId="2" borderId="16" xfId="3" applyNumberFormat="1" applyFont="1" applyFill="1" applyBorder="1" applyAlignment="1" applyProtection="1">
      <alignment horizontal="center" vertical="center" wrapText="1"/>
      <protection hidden="1"/>
    </xf>
    <xf numFmtId="0" fontId="14" fillId="9" borderId="15" xfId="3" applyFont="1" applyFill="1" applyBorder="1" applyAlignment="1" applyProtection="1">
      <alignment horizontal="center" vertical="center" wrapText="1"/>
      <protection hidden="1"/>
    </xf>
    <xf numFmtId="0" fontId="14" fillId="9" borderId="7" xfId="3" applyFont="1" applyFill="1" applyBorder="1" applyAlignment="1" applyProtection="1">
      <alignment horizontal="center" vertical="center" wrapText="1"/>
      <protection hidden="1"/>
    </xf>
    <xf numFmtId="0" fontId="14" fillId="9" borderId="16" xfId="3" applyFont="1" applyFill="1" applyBorder="1" applyAlignment="1" applyProtection="1">
      <alignment horizontal="center" vertical="center" wrapText="1"/>
      <protection hidden="1"/>
    </xf>
    <xf numFmtId="0" fontId="14" fillId="0" borderId="0" xfId="3" applyFont="1" applyFill="1" applyAlignment="1" applyProtection="1">
      <alignment horizontal="left" vertical="center" wrapText="1"/>
      <protection hidden="1"/>
    </xf>
    <xf numFmtId="171" fontId="6" fillId="7" borderId="15" xfId="8" applyFont="1" applyFill="1" applyBorder="1" applyAlignment="1" applyProtection="1">
      <alignment horizontal="center" vertical="center" wrapText="1"/>
      <protection hidden="1"/>
    </xf>
    <xf numFmtId="171" fontId="6" fillId="7" borderId="16" xfId="8" applyFont="1" applyFill="1" applyBorder="1" applyAlignment="1" applyProtection="1">
      <alignment horizontal="center" vertical="center" wrapText="1"/>
      <protection hidden="1"/>
    </xf>
    <xf numFmtId="172" fontId="6" fillId="7" borderId="8" xfId="8" applyNumberFormat="1" applyFont="1" applyFill="1" applyBorder="1" applyAlignment="1" applyProtection="1">
      <alignment horizontal="center" vertical="center" wrapText="1"/>
      <protection hidden="1"/>
    </xf>
    <xf numFmtId="171" fontId="6" fillId="7" borderId="8" xfId="8" applyFont="1" applyFill="1" applyBorder="1" applyAlignment="1" applyProtection="1">
      <alignment horizontal="center" vertical="center" wrapText="1"/>
      <protection hidden="1"/>
    </xf>
    <xf numFmtId="169" fontId="6" fillId="9" borderId="15" xfId="8" applyNumberFormat="1" applyFont="1" applyFill="1" applyBorder="1" applyAlignment="1" applyProtection="1">
      <alignment horizontal="center" vertical="center" wrapText="1"/>
      <protection hidden="1"/>
    </xf>
    <xf numFmtId="169" fontId="6" fillId="9" borderId="16" xfId="8" applyNumberFormat="1" applyFont="1" applyFill="1" applyBorder="1" applyAlignment="1" applyProtection="1">
      <alignment horizontal="center" vertical="center" wrapText="1"/>
      <protection hidden="1"/>
    </xf>
    <xf numFmtId="170" fontId="6" fillId="9" borderId="8" xfId="8" applyNumberFormat="1" applyFont="1" applyFill="1" applyBorder="1" applyAlignment="1" applyProtection="1">
      <alignment horizontal="center" vertical="center" wrapText="1"/>
      <protection hidden="1"/>
    </xf>
    <xf numFmtId="0" fontId="18" fillId="2" borderId="15" xfId="3" applyNumberFormat="1" applyFont="1" applyFill="1" applyBorder="1" applyAlignment="1" applyProtection="1">
      <alignment horizontal="center" vertical="center" wrapText="1"/>
      <protection hidden="1"/>
    </xf>
    <xf numFmtId="0" fontId="18" fillId="2" borderId="7" xfId="3" applyNumberFormat="1" applyFont="1" applyFill="1" applyBorder="1" applyAlignment="1" applyProtection="1">
      <alignment horizontal="center" vertical="center" wrapText="1"/>
      <protection hidden="1"/>
    </xf>
    <xf numFmtId="0" fontId="18" fillId="2" borderId="16" xfId="3" applyNumberFormat="1" applyFont="1" applyFill="1" applyBorder="1" applyAlignment="1" applyProtection="1">
      <alignment horizontal="center" vertical="center" wrapText="1"/>
      <protection hidden="1"/>
    </xf>
    <xf numFmtId="0" fontId="19" fillId="9" borderId="15" xfId="3" applyFont="1" applyFill="1" applyBorder="1" applyAlignment="1" applyProtection="1">
      <alignment horizontal="center" vertical="center" wrapText="1"/>
      <protection hidden="1"/>
    </xf>
    <xf numFmtId="0" fontId="19" fillId="9" borderId="7" xfId="3" applyFont="1" applyFill="1" applyBorder="1" applyAlignment="1" applyProtection="1">
      <alignment horizontal="center" vertical="center" wrapText="1"/>
      <protection hidden="1"/>
    </xf>
    <xf numFmtId="0" fontId="19" fillId="9" borderId="16" xfId="3" applyFont="1" applyFill="1" applyBorder="1" applyAlignment="1" applyProtection="1">
      <alignment horizontal="center" vertical="center" wrapText="1"/>
      <protection hidden="1"/>
    </xf>
    <xf numFmtId="172" fontId="4" fillId="7" borderId="8" xfId="8" applyNumberFormat="1" applyFont="1" applyFill="1" applyBorder="1" applyAlignment="1" applyProtection="1">
      <alignment horizontal="center" vertical="center" wrapText="1"/>
      <protection hidden="1"/>
    </xf>
    <xf numFmtId="171" fontId="4" fillId="7" borderId="8" xfId="8" applyFont="1" applyFill="1" applyBorder="1" applyAlignment="1" applyProtection="1">
      <alignment horizontal="center" vertical="center" wrapText="1"/>
      <protection hidden="1"/>
    </xf>
    <xf numFmtId="169" fontId="4" fillId="9" borderId="15" xfId="8" applyNumberFormat="1" applyFont="1" applyFill="1" applyBorder="1" applyAlignment="1" applyProtection="1">
      <alignment horizontal="center" vertical="center" wrapText="1"/>
      <protection hidden="1"/>
    </xf>
    <xf numFmtId="169" fontId="4" fillId="9" borderId="16" xfId="8" applyNumberFormat="1" applyFont="1" applyFill="1" applyBorder="1" applyAlignment="1" applyProtection="1">
      <alignment horizontal="center" vertical="center" wrapText="1"/>
      <protection hidden="1"/>
    </xf>
    <xf numFmtId="170" fontId="4" fillId="9" borderId="8" xfId="8" applyNumberFormat="1" applyFont="1" applyFill="1" applyBorder="1" applyAlignment="1" applyProtection="1">
      <alignment horizontal="center" vertical="center" wrapText="1"/>
      <protection hidden="1"/>
    </xf>
    <xf numFmtId="0" fontId="7" fillId="7" borderId="13" xfId="3" applyNumberFormat="1" applyFont="1" applyFill="1" applyBorder="1" applyAlignment="1" applyProtection="1">
      <alignment horizontal="center" vertical="center" wrapText="1"/>
      <protection hidden="1"/>
    </xf>
    <xf numFmtId="0" fontId="7" fillId="7" borderId="11" xfId="3" applyNumberFormat="1" applyFont="1" applyFill="1" applyBorder="1" applyAlignment="1" applyProtection="1">
      <alignment horizontal="center" vertical="center" wrapText="1"/>
      <protection hidden="1"/>
    </xf>
    <xf numFmtId="0" fontId="4" fillId="9" borderId="15" xfId="9" applyFont="1" applyFill="1" applyBorder="1" applyAlignment="1" applyProtection="1">
      <alignment horizontal="center" vertical="center"/>
      <protection hidden="1"/>
    </xf>
    <xf numFmtId="0" fontId="4" fillId="9" borderId="7" xfId="9" applyFont="1" applyFill="1" applyBorder="1" applyAlignment="1" applyProtection="1">
      <alignment horizontal="center" vertical="center"/>
      <protection hidden="1"/>
    </xf>
    <xf numFmtId="0" fontId="4" fillId="9" borderId="16" xfId="9" applyFont="1" applyFill="1" applyBorder="1" applyAlignment="1" applyProtection="1">
      <alignment horizontal="center" vertical="center"/>
      <protection hidden="1"/>
    </xf>
    <xf numFmtId="9" fontId="7" fillId="7" borderId="15" xfId="3" applyNumberFormat="1" applyFont="1" applyFill="1" applyBorder="1" applyAlignment="1" applyProtection="1">
      <alignment horizontal="center" vertical="center" wrapText="1"/>
      <protection hidden="1"/>
    </xf>
    <xf numFmtId="9" fontId="7" fillId="7" borderId="7" xfId="3" applyNumberFormat="1" applyFont="1" applyFill="1" applyBorder="1" applyAlignment="1" applyProtection="1">
      <alignment horizontal="center" vertical="center" wrapText="1"/>
      <protection hidden="1"/>
    </xf>
    <xf numFmtId="9" fontId="7" fillId="7" borderId="16" xfId="3" applyNumberFormat="1" applyFont="1" applyFill="1" applyBorder="1" applyAlignment="1" applyProtection="1">
      <alignment horizontal="center" vertical="center" wrapText="1"/>
      <protection hidden="1"/>
    </xf>
    <xf numFmtId="0" fontId="23" fillId="7" borderId="13" xfId="0" applyFont="1" applyFill="1" applyBorder="1" applyAlignment="1" applyProtection="1">
      <alignment horizontal="center" vertical="center" textRotation="255" wrapText="1"/>
      <protection hidden="1"/>
    </xf>
    <xf numFmtId="0" fontId="23" fillId="7" borderId="14" xfId="0" applyFont="1" applyFill="1" applyBorder="1" applyAlignment="1" applyProtection="1">
      <alignment horizontal="center" vertical="center" textRotation="255" wrapText="1"/>
      <protection hidden="1"/>
    </xf>
    <xf numFmtId="0" fontId="23" fillId="7" borderId="11" xfId="0" applyFont="1" applyFill="1" applyBorder="1" applyAlignment="1" applyProtection="1">
      <alignment horizontal="center" vertical="center" textRotation="255" wrapText="1"/>
      <protection hidden="1"/>
    </xf>
    <xf numFmtId="0" fontId="5" fillId="0" borderId="13" xfId="3" applyNumberFormat="1" applyFont="1" applyFill="1" applyBorder="1" applyAlignment="1" applyProtection="1">
      <alignment horizontal="center" vertical="center" wrapText="1"/>
      <protection hidden="1"/>
    </xf>
    <xf numFmtId="0" fontId="5" fillId="0" borderId="14" xfId="3" applyNumberFormat="1" applyFont="1" applyFill="1" applyBorder="1" applyAlignment="1" applyProtection="1">
      <alignment horizontal="center" vertical="center" wrapText="1"/>
      <protection hidden="1"/>
    </xf>
    <xf numFmtId="0" fontId="5" fillId="0" borderId="11" xfId="3" applyNumberFormat="1" applyFont="1" applyFill="1" applyBorder="1" applyAlignment="1" applyProtection="1">
      <alignment horizontal="center" vertical="center" wrapText="1"/>
      <protection hidden="1"/>
    </xf>
    <xf numFmtId="0" fontId="7" fillId="7" borderId="15" xfId="3" applyNumberFormat="1" applyFont="1" applyFill="1" applyBorder="1" applyAlignment="1" applyProtection="1">
      <alignment horizontal="center" vertical="center" wrapText="1"/>
      <protection hidden="1"/>
    </xf>
    <xf numFmtId="0" fontId="7" fillId="7" borderId="7" xfId="3" applyNumberFormat="1" applyFont="1" applyFill="1" applyBorder="1" applyAlignment="1" applyProtection="1">
      <alignment horizontal="center" vertical="center" wrapText="1"/>
      <protection hidden="1"/>
    </xf>
    <xf numFmtId="0" fontId="7" fillId="7" borderId="16" xfId="3" applyNumberFormat="1" applyFont="1" applyFill="1" applyBorder="1" applyAlignment="1" applyProtection="1">
      <alignment horizontal="center" vertical="center" wrapText="1"/>
      <protection hidden="1"/>
    </xf>
    <xf numFmtId="0" fontId="21" fillId="7" borderId="15" xfId="0" applyFont="1" applyFill="1" applyBorder="1" applyAlignment="1" applyProtection="1">
      <alignment horizontal="center" vertical="center" wrapText="1"/>
      <protection hidden="1"/>
    </xf>
    <xf numFmtId="0" fontId="21" fillId="7" borderId="7" xfId="0" applyFont="1" applyFill="1" applyBorder="1" applyAlignment="1" applyProtection="1">
      <alignment horizontal="center" vertical="center" wrapText="1"/>
      <protection hidden="1"/>
    </xf>
    <xf numFmtId="0" fontId="21" fillId="7" borderId="16" xfId="0" applyFont="1" applyFill="1" applyBorder="1" applyAlignment="1" applyProtection="1">
      <alignment horizontal="center" vertical="center" wrapText="1"/>
      <protection hidden="1"/>
    </xf>
    <xf numFmtId="0" fontId="21" fillId="9" borderId="15" xfId="0" applyNumberFormat="1" applyFont="1" applyFill="1" applyBorder="1" applyAlignment="1" applyProtection="1">
      <alignment horizontal="center" vertical="center" wrapText="1"/>
      <protection hidden="1"/>
    </xf>
    <xf numFmtId="0" fontId="21" fillId="9" borderId="7" xfId="0" applyNumberFormat="1" applyFont="1" applyFill="1" applyBorder="1" applyAlignment="1" applyProtection="1">
      <alignment horizontal="center" vertical="center" wrapText="1"/>
      <protection hidden="1"/>
    </xf>
    <xf numFmtId="0" fontId="21" fillId="9" borderId="16" xfId="0" applyNumberFormat="1" applyFont="1" applyFill="1" applyBorder="1" applyAlignment="1" applyProtection="1">
      <alignment horizontal="center" vertical="center" wrapText="1"/>
      <protection hidden="1"/>
    </xf>
    <xf numFmtId="0" fontId="21" fillId="6" borderId="15" xfId="0" applyNumberFormat="1" applyFont="1" applyFill="1" applyBorder="1" applyAlignment="1" applyProtection="1">
      <alignment horizontal="center" vertical="center" wrapText="1"/>
      <protection hidden="1"/>
    </xf>
    <xf numFmtId="0" fontId="21" fillId="6" borderId="7" xfId="0" applyNumberFormat="1" applyFont="1" applyFill="1" applyBorder="1" applyAlignment="1" applyProtection="1">
      <alignment horizontal="center" vertical="center" wrapText="1"/>
      <protection hidden="1"/>
    </xf>
    <xf numFmtId="0" fontId="21" fillId="6" borderId="16" xfId="0" applyNumberFormat="1" applyFont="1" applyFill="1" applyBorder="1" applyAlignment="1" applyProtection="1">
      <alignment horizontal="center" vertical="center" wrapText="1"/>
      <protection hidden="1"/>
    </xf>
    <xf numFmtId="0" fontId="22" fillId="7" borderId="13" xfId="0" applyFont="1" applyFill="1" applyBorder="1" applyAlignment="1" applyProtection="1">
      <alignment horizontal="center" vertical="center" textRotation="255" wrapText="1"/>
      <protection hidden="1"/>
    </xf>
    <xf numFmtId="0" fontId="22" fillId="7" borderId="11" xfId="0" applyFont="1" applyFill="1" applyBorder="1" applyAlignment="1" applyProtection="1">
      <alignment horizontal="center" vertical="center" textRotation="255" wrapText="1"/>
      <protection hidden="1"/>
    </xf>
    <xf numFmtId="4" fontId="4" fillId="10" borderId="13" xfId="3" applyNumberFormat="1" applyFont="1" applyFill="1" applyBorder="1" applyAlignment="1" applyProtection="1">
      <alignment horizontal="center" vertical="center" wrapText="1"/>
      <protection hidden="1"/>
    </xf>
    <xf numFmtId="4" fontId="4" fillId="10" borderId="14" xfId="3" applyNumberFormat="1" applyFont="1" applyFill="1" applyBorder="1" applyAlignment="1" applyProtection="1">
      <alignment horizontal="center" vertical="center" wrapText="1"/>
      <protection hidden="1"/>
    </xf>
    <xf numFmtId="4" fontId="4" fillId="10" borderId="11" xfId="3" applyNumberFormat="1" applyFont="1" applyFill="1" applyBorder="1" applyAlignment="1" applyProtection="1">
      <alignment horizontal="center" vertical="center" wrapText="1"/>
      <protection hidden="1"/>
    </xf>
    <xf numFmtId="171" fontId="24" fillId="0" borderId="13" xfId="8" applyFont="1" applyFill="1" applyBorder="1" applyAlignment="1" applyProtection="1">
      <alignment horizontal="center" vertical="center" wrapText="1"/>
      <protection hidden="1"/>
    </xf>
    <xf numFmtId="171" fontId="24" fillId="0" borderId="14" xfId="8" applyFont="1" applyFill="1" applyBorder="1" applyAlignment="1" applyProtection="1">
      <alignment horizontal="center" vertical="center" wrapText="1"/>
      <protection hidden="1"/>
    </xf>
    <xf numFmtId="171" fontId="24" fillId="0" borderId="11" xfId="8" applyFont="1" applyFill="1" applyBorder="1" applyAlignment="1" applyProtection="1">
      <alignment horizontal="center" vertical="center" wrapText="1"/>
      <protection hidden="1"/>
    </xf>
    <xf numFmtId="0" fontId="25" fillId="0" borderId="8" xfId="8" applyNumberFormat="1" applyFont="1" applyFill="1" applyBorder="1" applyAlignment="1" applyProtection="1">
      <alignment horizontal="center" vertical="center" wrapText="1"/>
      <protection hidden="1"/>
    </xf>
    <xf numFmtId="0" fontId="7" fillId="0" borderId="13" xfId="8" applyNumberFormat="1" applyFont="1" applyFill="1" applyBorder="1" applyAlignment="1" applyProtection="1">
      <alignment horizontal="center" vertical="center" wrapText="1"/>
      <protection hidden="1"/>
    </xf>
    <xf numFmtId="0" fontId="7" fillId="0" borderId="14" xfId="8" applyNumberFormat="1" applyFont="1" applyFill="1" applyBorder="1" applyAlignment="1" applyProtection="1">
      <alignment horizontal="center" vertical="center" wrapText="1"/>
      <protection hidden="1"/>
    </xf>
    <xf numFmtId="0" fontId="7" fillId="0" borderId="11" xfId="8" applyNumberFormat="1" applyFont="1" applyFill="1" applyBorder="1" applyAlignment="1" applyProtection="1">
      <alignment horizontal="center" vertical="center" wrapText="1"/>
      <protection hidden="1"/>
    </xf>
    <xf numFmtId="4" fontId="7" fillId="0" borderId="13" xfId="3" applyNumberFormat="1" applyFont="1" applyFill="1" applyBorder="1" applyAlignment="1" applyProtection="1">
      <alignment horizontal="center" vertical="center" wrapText="1"/>
      <protection hidden="1"/>
    </xf>
    <xf numFmtId="4" fontId="7" fillId="0" borderId="14" xfId="3" applyNumberFormat="1" applyFont="1" applyFill="1" applyBorder="1" applyAlignment="1" applyProtection="1">
      <alignment horizontal="center" vertical="center" wrapText="1"/>
      <protection hidden="1"/>
    </xf>
    <xf numFmtId="4" fontId="7" fillId="0" borderId="11" xfId="3" applyNumberFormat="1" applyFont="1" applyFill="1" applyBorder="1" applyAlignment="1" applyProtection="1">
      <alignment horizontal="center" vertical="center" wrapText="1"/>
      <protection hidden="1"/>
    </xf>
    <xf numFmtId="0" fontId="5" fillId="5" borderId="13" xfId="3" applyNumberFormat="1" applyFont="1" applyFill="1" applyBorder="1" applyAlignment="1" applyProtection="1">
      <alignment horizontal="center" vertical="center" wrapText="1"/>
      <protection hidden="1"/>
    </xf>
    <xf numFmtId="0" fontId="5" fillId="5" borderId="14" xfId="3" applyNumberFormat="1" applyFont="1" applyFill="1" applyBorder="1" applyAlignment="1" applyProtection="1">
      <alignment horizontal="center" vertical="center" wrapText="1"/>
      <protection hidden="1"/>
    </xf>
    <xf numFmtId="0" fontId="5" fillId="5" borderId="11" xfId="3" applyNumberFormat="1" applyFont="1" applyFill="1" applyBorder="1" applyAlignment="1" applyProtection="1">
      <alignment horizontal="center" vertical="center" wrapText="1"/>
      <protection hidden="1"/>
    </xf>
    <xf numFmtId="9" fontId="5" fillId="0" borderId="13" xfId="3" applyNumberFormat="1" applyFont="1" applyFill="1" applyBorder="1" applyAlignment="1" applyProtection="1">
      <alignment horizontal="center" vertical="center" wrapText="1"/>
      <protection hidden="1"/>
    </xf>
    <xf numFmtId="9" fontId="5" fillId="0" borderId="14" xfId="3" applyNumberFormat="1" applyFont="1" applyFill="1" applyBorder="1" applyAlignment="1" applyProtection="1">
      <alignment horizontal="center" vertical="center" wrapText="1"/>
      <protection hidden="1"/>
    </xf>
    <xf numFmtId="9" fontId="5" fillId="0" borderId="11" xfId="3" applyNumberFormat="1" applyFont="1" applyFill="1" applyBorder="1" applyAlignment="1" applyProtection="1">
      <alignment horizontal="center" vertical="center" wrapText="1"/>
      <protection hidden="1"/>
    </xf>
    <xf numFmtId="0" fontId="7" fillId="5" borderId="13" xfId="3" applyFont="1" applyFill="1" applyBorder="1" applyAlignment="1" applyProtection="1">
      <alignment horizontal="center" vertical="center" wrapText="1"/>
      <protection hidden="1"/>
    </xf>
    <xf numFmtId="0" fontId="7" fillId="5" borderId="14" xfId="3" applyFont="1" applyFill="1" applyBorder="1" applyAlignment="1" applyProtection="1">
      <alignment horizontal="center" vertical="center" wrapText="1"/>
      <protection hidden="1"/>
    </xf>
    <xf numFmtId="0" fontId="7" fillId="5" borderId="11" xfId="3" applyFont="1" applyFill="1" applyBorder="1" applyAlignment="1" applyProtection="1">
      <alignment horizontal="center" vertical="center" wrapText="1"/>
      <protection hidden="1"/>
    </xf>
    <xf numFmtId="0" fontId="5" fillId="0" borderId="13" xfId="3" quotePrefix="1" applyFont="1" applyFill="1" applyBorder="1" applyAlignment="1" applyProtection="1">
      <alignment horizontal="center" vertical="center" wrapText="1"/>
      <protection hidden="1"/>
    </xf>
    <xf numFmtId="0" fontId="5" fillId="0" borderId="14" xfId="3" applyFont="1" applyFill="1" applyBorder="1" applyAlignment="1" applyProtection="1">
      <alignment horizontal="center" vertical="center" wrapText="1"/>
      <protection hidden="1"/>
    </xf>
    <xf numFmtId="0" fontId="5" fillId="0" borderId="11" xfId="3" applyFont="1" applyFill="1" applyBorder="1" applyAlignment="1" applyProtection="1">
      <alignment horizontal="center" vertical="center" wrapText="1"/>
      <protection hidden="1"/>
    </xf>
    <xf numFmtId="9" fontId="7" fillId="5" borderId="13" xfId="3" applyNumberFormat="1" applyFont="1" applyFill="1" applyBorder="1" applyAlignment="1" applyProtection="1">
      <alignment horizontal="center" vertical="center" wrapText="1"/>
      <protection hidden="1"/>
    </xf>
    <xf numFmtId="9" fontId="7" fillId="5" borderId="11" xfId="3" applyNumberFormat="1" applyFont="1" applyFill="1" applyBorder="1" applyAlignment="1" applyProtection="1">
      <alignment horizontal="center" vertical="center" wrapText="1"/>
      <protection hidden="1"/>
    </xf>
    <xf numFmtId="0" fontId="25" fillId="0" borderId="1" xfId="1" applyNumberFormat="1" applyFont="1" applyFill="1" applyBorder="1" applyAlignment="1" applyProtection="1">
      <alignment horizontal="center" vertical="center" wrapText="1"/>
      <protection hidden="1"/>
    </xf>
    <xf numFmtId="0" fontId="25" fillId="0" borderId="9" xfId="1" applyNumberFormat="1" applyFont="1" applyFill="1" applyBorder="1" applyAlignment="1" applyProtection="1">
      <alignment horizontal="center" vertical="center" wrapText="1"/>
      <protection hidden="1"/>
    </xf>
    <xf numFmtId="0" fontId="25" fillId="0" borderId="2" xfId="1" applyNumberFormat="1" applyFont="1" applyFill="1" applyBorder="1" applyAlignment="1" applyProtection="1">
      <alignment horizontal="center" vertical="center" wrapText="1"/>
      <protection hidden="1"/>
    </xf>
    <xf numFmtId="0" fontId="25" fillId="0" borderId="5" xfId="1" applyNumberFormat="1" applyFont="1" applyFill="1" applyBorder="1" applyAlignment="1" applyProtection="1">
      <alignment horizontal="center" vertical="center" wrapText="1"/>
      <protection hidden="1"/>
    </xf>
    <xf numFmtId="0" fontId="25" fillId="0" borderId="10" xfId="1" applyNumberFormat="1" applyFont="1" applyFill="1" applyBorder="1" applyAlignment="1" applyProtection="1">
      <alignment horizontal="center" vertical="center" wrapText="1"/>
      <protection hidden="1"/>
    </xf>
    <xf numFmtId="0" fontId="25" fillId="0" borderId="6" xfId="1" applyNumberFormat="1" applyFont="1" applyFill="1" applyBorder="1" applyAlignment="1" applyProtection="1">
      <alignment horizontal="center" vertical="center" wrapText="1"/>
      <protection hidden="1"/>
    </xf>
    <xf numFmtId="0" fontId="4" fillId="11" borderId="15" xfId="0" applyFont="1" applyFill="1" applyBorder="1" applyAlignment="1" applyProtection="1">
      <alignment horizontal="center" vertical="center"/>
      <protection hidden="1"/>
    </xf>
    <xf numFmtId="0" fontId="4" fillId="11" borderId="7" xfId="0" applyFont="1" applyFill="1" applyBorder="1" applyAlignment="1" applyProtection="1">
      <alignment horizontal="center" vertical="center"/>
      <protection hidden="1"/>
    </xf>
    <xf numFmtId="0" fontId="4" fillId="11" borderId="16" xfId="0" applyFont="1" applyFill="1" applyBorder="1" applyAlignment="1" applyProtection="1">
      <alignment horizontal="center" vertical="center"/>
      <protection hidden="1"/>
    </xf>
    <xf numFmtId="0" fontId="25" fillId="0" borderId="13" xfId="1" applyNumberFormat="1" applyFont="1" applyFill="1" applyBorder="1" applyAlignment="1" applyProtection="1">
      <alignment horizontal="center" vertical="center" wrapText="1"/>
      <protection hidden="1"/>
    </xf>
    <xf numFmtId="0" fontId="25" fillId="0" borderId="11" xfId="1" applyNumberFormat="1" applyFont="1" applyFill="1" applyBorder="1" applyAlignment="1" applyProtection="1">
      <alignment horizontal="center" vertical="center" wrapText="1"/>
      <protection hidden="1"/>
    </xf>
    <xf numFmtId="9" fontId="5" fillId="2" borderId="13" xfId="3" applyNumberFormat="1" applyFont="1" applyFill="1" applyBorder="1" applyAlignment="1" applyProtection="1">
      <alignment horizontal="center" vertical="center" wrapText="1"/>
      <protection hidden="1"/>
    </xf>
    <xf numFmtId="9" fontId="5" fillId="2" borderId="14" xfId="3" applyNumberFormat="1" applyFont="1" applyFill="1" applyBorder="1" applyAlignment="1" applyProtection="1">
      <alignment horizontal="center" vertical="center" wrapText="1"/>
      <protection hidden="1"/>
    </xf>
    <xf numFmtId="9" fontId="5" fillId="2" borderId="11" xfId="3" applyNumberFormat="1" applyFont="1" applyFill="1" applyBorder="1" applyAlignment="1" applyProtection="1">
      <alignment horizontal="center" vertical="center" wrapText="1"/>
      <protection hidden="1"/>
    </xf>
    <xf numFmtId="0" fontId="5" fillId="2" borderId="13" xfId="3" applyNumberFormat="1" applyFont="1" applyFill="1" applyBorder="1" applyAlignment="1" applyProtection="1">
      <alignment horizontal="center" vertical="center" wrapText="1"/>
      <protection hidden="1"/>
    </xf>
    <xf numFmtId="0" fontId="5" fillId="2" borderId="14" xfId="3" applyNumberFormat="1" applyFont="1" applyFill="1" applyBorder="1" applyAlignment="1" applyProtection="1">
      <alignment horizontal="center" vertical="center" wrapText="1"/>
      <protection hidden="1"/>
    </xf>
    <xf numFmtId="0" fontId="5" fillId="2" borderId="11" xfId="3" applyNumberFormat="1" applyFont="1" applyFill="1" applyBorder="1" applyAlignment="1" applyProtection="1">
      <alignment horizontal="center" vertical="center" wrapText="1"/>
      <protection hidden="1"/>
    </xf>
    <xf numFmtId="4" fontId="7" fillId="2" borderId="13" xfId="3" applyNumberFormat="1" applyFont="1" applyFill="1" applyBorder="1" applyAlignment="1" applyProtection="1">
      <alignment horizontal="center" vertical="center" wrapText="1"/>
      <protection hidden="1"/>
    </xf>
    <xf numFmtId="4" fontId="7" fillId="2" borderId="14" xfId="3" applyNumberFormat="1" applyFont="1" applyFill="1" applyBorder="1" applyAlignment="1" applyProtection="1">
      <alignment horizontal="center" vertical="center" wrapText="1"/>
      <protection hidden="1"/>
    </xf>
    <xf numFmtId="4" fontId="7" fillId="2" borderId="11" xfId="3" applyNumberFormat="1" applyFont="1" applyFill="1" applyBorder="1" applyAlignment="1" applyProtection="1">
      <alignment horizontal="center" vertical="center" wrapText="1"/>
      <protection hidden="1"/>
    </xf>
    <xf numFmtId="0" fontId="8" fillId="2" borderId="13" xfId="3" applyNumberFormat="1" applyFont="1" applyFill="1" applyBorder="1" applyAlignment="1" applyProtection="1">
      <alignment horizontal="center" vertical="center" wrapText="1"/>
      <protection hidden="1"/>
    </xf>
    <xf numFmtId="0" fontId="8" fillId="2" borderId="14" xfId="3" applyNumberFormat="1" applyFont="1" applyFill="1" applyBorder="1" applyAlignment="1" applyProtection="1">
      <alignment horizontal="center" vertical="center" wrapText="1"/>
      <protection hidden="1"/>
    </xf>
    <xf numFmtId="0" fontId="8" fillId="2" borderId="11" xfId="3" applyNumberFormat="1" applyFont="1" applyFill="1" applyBorder="1" applyAlignment="1" applyProtection="1">
      <alignment horizontal="center" vertical="center" wrapText="1"/>
      <protection hidden="1"/>
    </xf>
    <xf numFmtId="0" fontId="48" fillId="9" borderId="46" xfId="0" applyFont="1" applyFill="1" applyBorder="1" applyAlignment="1">
      <alignment horizontal="center" vertical="center" wrapText="1"/>
    </xf>
    <xf numFmtId="0" fontId="48" fillId="9" borderId="45" xfId="0" applyFont="1" applyFill="1" applyBorder="1" applyAlignment="1">
      <alignment horizontal="center" vertical="center" wrapText="1"/>
    </xf>
    <xf numFmtId="0" fontId="48" fillId="9" borderId="47" xfId="0" applyFont="1" applyFill="1" applyBorder="1" applyAlignment="1">
      <alignment horizontal="center" vertical="center" wrapText="1"/>
    </xf>
    <xf numFmtId="0" fontId="48" fillId="9" borderId="12"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73" xfId="0" applyFont="1" applyFill="1" applyBorder="1" applyAlignment="1">
      <alignment horizontal="center" vertical="center" wrapText="1"/>
    </xf>
    <xf numFmtId="0" fontId="48" fillId="9" borderId="48" xfId="0" applyFont="1" applyFill="1" applyBorder="1" applyAlignment="1">
      <alignment horizontal="center" vertical="center" wrapText="1"/>
    </xf>
    <xf numFmtId="0" fontId="48" fillId="9" borderId="44" xfId="0" applyFont="1" applyFill="1" applyBorder="1" applyAlignment="1">
      <alignment horizontal="center" vertical="center" wrapText="1"/>
    </xf>
    <xf numFmtId="0" fontId="48" fillId="9" borderId="49" xfId="0" applyFont="1" applyFill="1" applyBorder="1" applyAlignment="1">
      <alignment horizontal="center" vertical="center" wrapText="1"/>
    </xf>
    <xf numFmtId="0" fontId="6" fillId="0" borderId="30" xfId="3" applyFont="1" applyFill="1" applyBorder="1" applyAlignment="1" applyProtection="1">
      <alignment horizontal="center" vertical="center" wrapText="1"/>
      <protection hidden="1"/>
    </xf>
    <xf numFmtId="0" fontId="6" fillId="0" borderId="50" xfId="3" applyFont="1" applyFill="1" applyBorder="1" applyAlignment="1" applyProtection="1">
      <alignment horizontal="center" vertical="center" wrapText="1"/>
      <protection hidden="1"/>
    </xf>
    <xf numFmtId="0" fontId="6" fillId="0" borderId="32" xfId="3" applyFont="1" applyFill="1" applyBorder="1" applyAlignment="1" applyProtection="1">
      <alignment horizontal="center" vertical="center" wrapText="1"/>
      <protection hidden="1"/>
    </xf>
    <xf numFmtId="0" fontId="6" fillId="0" borderId="68" xfId="3" applyFont="1" applyFill="1" applyBorder="1" applyAlignment="1" applyProtection="1">
      <alignment horizontal="center" vertical="center" wrapText="1"/>
      <protection hidden="1"/>
    </xf>
    <xf numFmtId="0" fontId="6" fillId="0" borderId="15" xfId="3" applyFont="1" applyFill="1" applyBorder="1" applyAlignment="1" applyProtection="1">
      <alignment horizontal="center" vertical="center" wrapText="1"/>
      <protection hidden="1"/>
    </xf>
    <xf numFmtId="0" fontId="6" fillId="0" borderId="69" xfId="3" applyFont="1" applyFill="1" applyBorder="1" applyAlignment="1" applyProtection="1">
      <alignment horizontal="center" vertical="center" wrapText="1"/>
      <protection hidden="1"/>
    </xf>
    <xf numFmtId="0" fontId="6" fillId="7" borderId="64" xfId="3" applyNumberFormat="1" applyFont="1" applyFill="1" applyBorder="1" applyAlignment="1" applyProtection="1">
      <alignment horizontal="center" vertical="center" wrapText="1"/>
      <protection hidden="1"/>
    </xf>
    <xf numFmtId="0" fontId="6" fillId="7" borderId="63" xfId="3" applyNumberFormat="1" applyFont="1" applyFill="1" applyBorder="1" applyAlignment="1" applyProtection="1">
      <alignment horizontal="center" vertical="center" wrapText="1"/>
      <protection hidden="1"/>
    </xf>
    <xf numFmtId="0" fontId="6" fillId="7" borderId="118" xfId="3" applyNumberFormat="1" applyFont="1" applyFill="1" applyBorder="1" applyAlignment="1" applyProtection="1">
      <alignment horizontal="center" vertical="center" wrapText="1"/>
      <protection hidden="1"/>
    </xf>
    <xf numFmtId="0" fontId="6" fillId="7" borderId="65" xfId="3" applyNumberFormat="1" applyFont="1" applyFill="1" applyBorder="1" applyAlignment="1" applyProtection="1">
      <alignment horizontal="center" vertical="center" wrapText="1"/>
      <protection hidden="1"/>
    </xf>
    <xf numFmtId="9" fontId="7" fillId="9" borderId="47" xfId="3" applyNumberFormat="1" applyFont="1" applyFill="1" applyBorder="1" applyAlignment="1" applyProtection="1">
      <alignment horizontal="center" vertical="center" wrapText="1"/>
      <protection hidden="1"/>
    </xf>
    <xf numFmtId="9" fontId="7" fillId="9" borderId="49" xfId="3" applyNumberFormat="1" applyFont="1" applyFill="1" applyBorder="1" applyAlignment="1" applyProtection="1">
      <alignment horizontal="center" vertical="center" wrapText="1"/>
      <protection hidden="1"/>
    </xf>
    <xf numFmtId="0" fontId="6" fillId="9" borderId="51" xfId="8" applyNumberFormat="1" applyFont="1" applyFill="1" applyBorder="1" applyAlignment="1" applyProtection="1">
      <alignment horizontal="center" vertical="center" wrapText="1"/>
      <protection hidden="1"/>
    </xf>
    <xf numFmtId="0" fontId="6" fillId="9" borderId="55" xfId="8" applyNumberFormat="1" applyFont="1" applyFill="1" applyBorder="1" applyAlignment="1" applyProtection="1">
      <alignment horizontal="center" vertical="center" wrapText="1"/>
      <protection hidden="1"/>
    </xf>
    <xf numFmtId="0" fontId="29" fillId="2" borderId="8" xfId="3" applyFont="1" applyFill="1" applyBorder="1" applyAlignment="1" applyProtection="1">
      <alignment horizontal="center" vertical="center" wrapText="1"/>
      <protection hidden="1"/>
    </xf>
    <xf numFmtId="0" fontId="6" fillId="0" borderId="56" xfId="3" applyFont="1" applyFill="1" applyBorder="1" applyAlignment="1" applyProtection="1">
      <alignment horizontal="center" vertical="center" wrapText="1"/>
      <protection hidden="1"/>
    </xf>
    <xf numFmtId="0" fontId="6" fillId="0" borderId="8" xfId="3" applyFont="1" applyFill="1" applyBorder="1" applyAlignment="1" applyProtection="1">
      <alignment horizontal="center" vertical="center" wrapText="1"/>
      <protection hidden="1"/>
    </xf>
    <xf numFmtId="0" fontId="6" fillId="0" borderId="59" xfId="3" applyFont="1" applyFill="1" applyBorder="1" applyAlignment="1" applyProtection="1">
      <alignment horizontal="center" vertical="center" wrapText="1"/>
      <protection hidden="1"/>
    </xf>
    <xf numFmtId="0" fontId="6" fillId="7" borderId="56" xfId="3" applyNumberFormat="1" applyFont="1" applyFill="1" applyBorder="1" applyAlignment="1" applyProtection="1">
      <alignment horizontal="center" vertical="center" wrapText="1"/>
      <protection hidden="1"/>
    </xf>
    <xf numFmtId="0" fontId="6" fillId="7" borderId="68" xfId="3" applyNumberFormat="1" applyFont="1" applyFill="1" applyBorder="1" applyAlignment="1" applyProtection="1">
      <alignment horizontal="center" vertical="center" wrapText="1"/>
      <protection hidden="1"/>
    </xf>
    <xf numFmtId="0" fontId="6" fillId="13" borderId="30" xfId="3" applyNumberFormat="1" applyFont="1" applyFill="1" applyBorder="1" applyAlignment="1" applyProtection="1">
      <alignment horizontal="center" vertical="center" wrapText="1"/>
      <protection hidden="1"/>
    </xf>
    <xf numFmtId="0" fontId="6" fillId="13" borderId="56" xfId="3" applyNumberFormat="1" applyFont="1" applyFill="1" applyBorder="1" applyAlignment="1" applyProtection="1">
      <alignment horizontal="center" vertical="center" wrapText="1"/>
      <protection hidden="1"/>
    </xf>
    <xf numFmtId="0" fontId="6" fillId="13" borderId="31" xfId="3" applyNumberFormat="1" applyFont="1" applyFill="1" applyBorder="1" applyAlignment="1" applyProtection="1">
      <alignment horizontal="center" vertical="center" wrapText="1"/>
      <protection hidden="1"/>
    </xf>
    <xf numFmtId="0" fontId="31" fillId="7" borderId="15" xfId="3" applyFont="1" applyFill="1" applyBorder="1" applyAlignment="1" applyProtection="1">
      <alignment horizontal="center" vertical="center" wrapText="1"/>
      <protection hidden="1"/>
    </xf>
    <xf numFmtId="0" fontId="31" fillId="7" borderId="16" xfId="3" applyFont="1" applyFill="1" applyBorder="1" applyAlignment="1" applyProtection="1">
      <alignment horizontal="center" vertical="center" wrapText="1"/>
      <protection hidden="1"/>
    </xf>
    <xf numFmtId="0" fontId="31" fillId="13" borderId="15" xfId="3" applyFont="1" applyFill="1" applyBorder="1" applyAlignment="1" applyProtection="1">
      <alignment horizontal="center" vertical="center" wrapText="1"/>
      <protection hidden="1"/>
    </xf>
    <xf numFmtId="0" fontId="31" fillId="13" borderId="16" xfId="3" applyFont="1" applyFill="1" applyBorder="1" applyAlignment="1" applyProtection="1">
      <alignment horizontal="center" vertical="center" wrapText="1"/>
      <protection hidden="1"/>
    </xf>
    <xf numFmtId="0" fontId="14" fillId="0" borderId="70" xfId="3" applyFont="1" applyFill="1" applyBorder="1" applyAlignment="1" applyProtection="1">
      <alignment horizontal="center" vertical="center" wrapText="1"/>
      <protection hidden="1"/>
    </xf>
    <xf numFmtId="0" fontId="14" fillId="0" borderId="71" xfId="3" applyFont="1" applyFill="1" applyBorder="1" applyAlignment="1" applyProtection="1">
      <alignment horizontal="center" vertical="center" wrapText="1"/>
      <protection hidden="1"/>
    </xf>
    <xf numFmtId="0" fontId="29" fillId="2" borderId="3" xfId="3" applyFont="1" applyFill="1" applyBorder="1" applyAlignment="1" applyProtection="1">
      <alignment horizontal="center" vertical="center" wrapText="1"/>
      <protection hidden="1"/>
    </xf>
    <xf numFmtId="0" fontId="29" fillId="2" borderId="0" xfId="3" applyFont="1" applyFill="1" applyBorder="1" applyAlignment="1" applyProtection="1">
      <alignment horizontal="center" vertical="center" wrapText="1"/>
      <protection hidden="1"/>
    </xf>
    <xf numFmtId="0" fontId="6" fillId="9" borderId="8" xfId="8" applyNumberFormat="1" applyFont="1" applyFill="1" applyBorder="1" applyAlignment="1" applyProtection="1">
      <alignment horizontal="center" vertical="center" wrapText="1"/>
      <protection hidden="1"/>
    </xf>
    <xf numFmtId="0" fontId="49" fillId="20" borderId="82" xfId="0" applyFont="1" applyFill="1" applyBorder="1" applyAlignment="1">
      <alignment horizontal="left" vertical="center"/>
    </xf>
    <xf numFmtId="0" fontId="52" fillId="0" borderId="85" xfId="0" applyFont="1" applyBorder="1"/>
    <xf numFmtId="0" fontId="52" fillId="0" borderId="79" xfId="0" applyFont="1" applyBorder="1"/>
    <xf numFmtId="0" fontId="24" fillId="0" borderId="23" xfId="0" applyFont="1" applyBorder="1" applyAlignment="1" applyProtection="1">
      <alignment horizontal="center" vertical="center"/>
      <protection hidden="1"/>
    </xf>
    <xf numFmtId="0" fontId="24" fillId="0" borderId="24"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0" fontId="4" fillId="9" borderId="17" xfId="0" applyFont="1" applyFill="1" applyBorder="1" applyAlignment="1" applyProtection="1">
      <alignment horizontal="center" vertical="center" wrapText="1"/>
      <protection hidden="1"/>
    </xf>
    <xf numFmtId="0" fontId="4" fillId="9" borderId="20"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0" fontId="4" fillId="9" borderId="19" xfId="0" applyFont="1" applyFill="1" applyBorder="1" applyAlignment="1" applyProtection="1">
      <alignment horizontal="center" vertical="center" wrapText="1"/>
      <protection hidden="1"/>
    </xf>
    <xf numFmtId="0" fontId="4" fillId="9" borderId="21" xfId="0" applyFont="1" applyFill="1" applyBorder="1" applyAlignment="1" applyProtection="1">
      <alignment horizontal="center" vertical="center" wrapText="1"/>
      <protection hidden="1"/>
    </xf>
    <xf numFmtId="0" fontId="4" fillId="9" borderId="22" xfId="0" applyFont="1" applyFill="1" applyBorder="1" applyAlignment="1" applyProtection="1">
      <alignment horizontal="center" vertical="center" wrapText="1"/>
      <protection hidden="1"/>
    </xf>
    <xf numFmtId="0" fontId="4" fillId="9" borderId="35"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36" fillId="14" borderId="17" xfId="9" applyFont="1" applyFill="1" applyBorder="1" applyAlignment="1" applyProtection="1">
      <alignment horizontal="center" vertical="center" textRotation="90" wrapText="1"/>
      <protection hidden="1"/>
    </xf>
    <xf numFmtId="0" fontId="36" fillId="14" borderId="26" xfId="9" applyFont="1" applyFill="1" applyBorder="1" applyAlignment="1" applyProtection="1">
      <alignment horizontal="center" vertical="center" textRotation="90" wrapText="1"/>
      <protection hidden="1"/>
    </xf>
    <xf numFmtId="0" fontId="36" fillId="14" borderId="20" xfId="9" applyFont="1" applyFill="1" applyBorder="1" applyAlignment="1" applyProtection="1">
      <alignment horizontal="center" vertical="center" textRotation="90" wrapText="1"/>
      <protection hidden="1"/>
    </xf>
    <xf numFmtId="0" fontId="55" fillId="0" borderId="98" xfId="0" applyFont="1" applyBorder="1" applyAlignment="1">
      <alignment horizontal="center" vertical="center"/>
    </xf>
    <xf numFmtId="0" fontId="55" fillId="0" borderId="99" xfId="0" applyFont="1" applyBorder="1" applyAlignment="1">
      <alignment horizontal="center" vertical="center"/>
    </xf>
    <xf numFmtId="0" fontId="14" fillId="0" borderId="85" xfId="0" applyFont="1" applyBorder="1"/>
    <xf numFmtId="0" fontId="14" fillId="0" borderId="79" xfId="0" applyFont="1" applyBorder="1"/>
    <xf numFmtId="0" fontId="8" fillId="4" borderId="15" xfId="9" applyFill="1" applyBorder="1" applyAlignment="1" applyProtection="1">
      <alignment horizontal="center" vertical="center"/>
      <protection hidden="1"/>
    </xf>
    <xf numFmtId="0" fontId="8" fillId="4" borderId="7" xfId="9" applyFill="1" applyBorder="1" applyAlignment="1" applyProtection="1">
      <alignment horizontal="center" vertical="center"/>
      <protection hidden="1"/>
    </xf>
    <xf numFmtId="0" fontId="8" fillId="4" borderId="16" xfId="9" applyFill="1" applyBorder="1" applyAlignment="1" applyProtection="1">
      <alignment horizontal="center" vertical="center"/>
      <protection hidden="1"/>
    </xf>
    <xf numFmtId="0" fontId="49" fillId="19" borderId="82" xfId="0" applyFont="1" applyFill="1" applyBorder="1" applyAlignment="1">
      <alignment horizontal="right" vertical="center"/>
    </xf>
    <xf numFmtId="173" fontId="49" fillId="19" borderId="82" xfId="0" applyNumberFormat="1" applyFont="1" applyFill="1" applyBorder="1" applyAlignment="1">
      <alignment horizontal="left" vertical="center" wrapText="1"/>
    </xf>
    <xf numFmtId="0" fontId="36" fillId="5" borderId="17" xfId="9" applyFont="1" applyFill="1" applyBorder="1" applyAlignment="1" applyProtection="1">
      <alignment horizontal="center" vertical="center" textRotation="90" wrapText="1"/>
      <protection hidden="1"/>
    </xf>
    <xf numFmtId="0" fontId="36" fillId="5" borderId="26" xfId="9" applyFont="1" applyFill="1" applyBorder="1" applyAlignment="1" applyProtection="1">
      <alignment horizontal="center" vertical="center" textRotation="90" wrapText="1"/>
      <protection hidden="1"/>
    </xf>
    <xf numFmtId="0" fontId="36" fillId="5" borderId="20" xfId="9" applyFont="1" applyFill="1" applyBorder="1" applyAlignment="1" applyProtection="1">
      <alignment horizontal="center" vertical="center" textRotation="90" wrapText="1"/>
      <protection hidden="1"/>
    </xf>
    <xf numFmtId="0" fontId="49" fillId="20" borderId="93" xfId="0" applyFont="1" applyFill="1" applyBorder="1" applyAlignment="1">
      <alignment horizontal="left" vertical="center"/>
    </xf>
    <xf numFmtId="0" fontId="52" fillId="0" borderId="92" xfId="0" applyFont="1" applyBorder="1"/>
    <xf numFmtId="0" fontId="52" fillId="0" borderId="94" xfId="0" applyFont="1" applyBorder="1"/>
    <xf numFmtId="0" fontId="37" fillId="9" borderId="18" xfId="10" applyFont="1" applyFill="1" applyBorder="1" applyAlignment="1" applyProtection="1">
      <alignment horizontal="center" vertical="center" wrapText="1"/>
      <protection hidden="1"/>
    </xf>
    <xf numFmtId="0" fontId="37" fillId="9" borderId="35" xfId="10" applyFont="1" applyFill="1" applyBorder="1" applyAlignment="1" applyProtection="1">
      <alignment horizontal="center" vertical="center" wrapText="1"/>
      <protection hidden="1"/>
    </xf>
    <xf numFmtId="0" fontId="37" fillId="9" borderId="19" xfId="10" applyFont="1" applyFill="1" applyBorder="1" applyAlignment="1" applyProtection="1">
      <alignment horizontal="center" vertical="center" wrapText="1"/>
      <protection hidden="1"/>
    </xf>
    <xf numFmtId="0" fontId="37" fillId="9" borderId="27" xfId="10" applyFont="1" applyFill="1" applyBorder="1" applyAlignment="1" applyProtection="1">
      <alignment horizontal="center" vertical="center" wrapText="1"/>
      <protection hidden="1"/>
    </xf>
    <xf numFmtId="0" fontId="37" fillId="9" borderId="0" xfId="10" applyFont="1" applyFill="1" applyBorder="1" applyAlignment="1" applyProtection="1">
      <alignment horizontal="center" vertical="center" wrapText="1"/>
      <protection hidden="1"/>
    </xf>
    <xf numFmtId="0" fontId="37" fillId="9" borderId="28" xfId="10" applyFont="1" applyFill="1" applyBorder="1" applyAlignment="1" applyProtection="1">
      <alignment horizontal="center" vertical="center" wrapText="1"/>
      <protection hidden="1"/>
    </xf>
    <xf numFmtId="0" fontId="37" fillId="9" borderId="21" xfId="10" applyFont="1" applyFill="1" applyBorder="1" applyAlignment="1" applyProtection="1">
      <alignment horizontal="center" vertical="center" wrapText="1"/>
      <protection hidden="1"/>
    </xf>
    <xf numFmtId="0" fontId="37" fillId="9" borderId="34" xfId="10" applyFont="1" applyFill="1" applyBorder="1" applyAlignment="1" applyProtection="1">
      <alignment horizontal="center" vertical="center" wrapText="1"/>
      <protection hidden="1"/>
    </xf>
    <xf numFmtId="0" fontId="37" fillId="9" borderId="22" xfId="10" applyFont="1" applyFill="1" applyBorder="1" applyAlignment="1" applyProtection="1">
      <alignment horizontal="center" vertical="center" wrapText="1"/>
      <protection hidden="1"/>
    </xf>
    <xf numFmtId="0" fontId="12" fillId="19" borderId="82" xfId="0" applyFont="1" applyFill="1" applyBorder="1" applyAlignment="1">
      <alignment horizontal="left" vertical="center" wrapText="1"/>
    </xf>
    <xf numFmtId="0" fontId="12" fillId="19" borderId="85" xfId="0" applyFont="1" applyFill="1" applyBorder="1" applyAlignment="1">
      <alignment horizontal="left" vertical="center" wrapText="1"/>
    </xf>
    <xf numFmtId="0" fontId="12" fillId="19" borderId="90" xfId="0" applyFont="1" applyFill="1" applyBorder="1" applyAlignment="1">
      <alignment horizontal="left" vertical="center" wrapText="1"/>
    </xf>
    <xf numFmtId="0" fontId="52" fillId="0" borderId="0" xfId="0" applyFont="1" applyBorder="1" applyAlignment="1">
      <alignment horizontal="center"/>
    </xf>
    <xf numFmtId="0" fontId="52" fillId="0" borderId="4" xfId="0" applyFont="1" applyBorder="1" applyAlignment="1">
      <alignment horizontal="center"/>
    </xf>
    <xf numFmtId="0" fontId="55" fillId="0" borderId="111" xfId="0" applyFont="1" applyBorder="1" applyAlignment="1">
      <alignment horizontal="center" vertical="center"/>
    </xf>
    <xf numFmtId="0" fontId="12" fillId="19" borderId="108" xfId="0" applyFont="1" applyFill="1" applyBorder="1" applyAlignment="1">
      <alignment horizontal="left" vertical="center" wrapText="1"/>
    </xf>
    <xf numFmtId="0" fontId="12" fillId="19" borderId="109" xfId="0" applyFont="1" applyFill="1" applyBorder="1" applyAlignment="1">
      <alignment horizontal="left" vertical="center" wrapText="1"/>
    </xf>
    <xf numFmtId="0" fontId="12" fillId="19" borderId="110" xfId="0" applyFont="1" applyFill="1" applyBorder="1" applyAlignment="1">
      <alignment horizontal="left" vertical="center" wrapText="1"/>
    </xf>
    <xf numFmtId="0" fontId="53" fillId="19" borderId="8" xfId="0" applyFont="1" applyFill="1" applyBorder="1" applyAlignment="1">
      <alignment horizontal="left" vertical="center"/>
    </xf>
    <xf numFmtId="0" fontId="5" fillId="0" borderId="8" xfId="0" applyFont="1" applyBorder="1"/>
    <xf numFmtId="0" fontId="5" fillId="0" borderId="58" xfId="0" applyFont="1" applyBorder="1"/>
    <xf numFmtId="0" fontId="6" fillId="10" borderId="15" xfId="0" applyFont="1" applyFill="1" applyBorder="1" applyAlignment="1" applyProtection="1">
      <alignment horizontal="center" wrapText="1"/>
      <protection hidden="1"/>
    </xf>
    <xf numFmtId="0" fontId="6" fillId="10" borderId="16" xfId="0" applyFont="1" applyFill="1" applyBorder="1" applyAlignment="1" applyProtection="1">
      <alignment horizontal="center" wrapText="1"/>
      <protection hidden="1"/>
    </xf>
    <xf numFmtId="0" fontId="6" fillId="10" borderId="15" xfId="0" applyFont="1" applyFill="1" applyBorder="1" applyAlignment="1" applyProtection="1">
      <alignment horizontal="center" vertical="center" wrapText="1"/>
      <protection hidden="1"/>
    </xf>
    <xf numFmtId="0" fontId="6" fillId="10" borderId="16" xfId="0" applyFont="1" applyFill="1" applyBorder="1" applyAlignment="1" applyProtection="1">
      <alignment horizontal="center" vertical="center" wrapText="1"/>
      <protection hidden="1"/>
    </xf>
    <xf numFmtId="0" fontId="6" fillId="9" borderId="15"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38" fillId="0" borderId="34" xfId="10" applyFont="1" applyBorder="1" applyAlignment="1" applyProtection="1">
      <alignment horizontal="center" vertical="center"/>
      <protection hidden="1"/>
    </xf>
    <xf numFmtId="0" fontId="35" fillId="7" borderId="23" xfId="10" quotePrefix="1" applyFont="1" applyFill="1" applyBorder="1" applyAlignment="1" applyProtection="1">
      <alignment horizontal="center" vertical="center" wrapText="1"/>
      <protection hidden="1"/>
    </xf>
    <xf numFmtId="0" fontId="35" fillId="7" borderId="24" xfId="10" quotePrefix="1" applyFont="1" applyFill="1" applyBorder="1" applyAlignment="1" applyProtection="1">
      <alignment horizontal="center" vertical="center" wrapText="1"/>
      <protection hidden="1"/>
    </xf>
    <xf numFmtId="0" fontId="35" fillId="7" borderId="25" xfId="10" quotePrefix="1" applyFont="1" applyFill="1" applyBorder="1" applyAlignment="1" applyProtection="1">
      <alignment horizontal="center" vertical="center" wrapText="1"/>
      <protection hidden="1"/>
    </xf>
    <xf numFmtId="0" fontId="35" fillId="7" borderId="36" xfId="10" applyFont="1" applyFill="1" applyBorder="1" applyAlignment="1" applyProtection="1">
      <alignment horizontal="center" vertical="center" wrapText="1"/>
      <protection hidden="1"/>
    </xf>
    <xf numFmtId="0" fontId="37" fillId="7" borderId="37" xfId="10" applyFont="1" applyFill="1" applyBorder="1" applyAlignment="1" applyProtection="1">
      <alignment horizontal="center" vertical="center" wrapText="1"/>
      <protection hidden="1"/>
    </xf>
    <xf numFmtId="0" fontId="37" fillId="7" borderId="74" xfId="10" applyFont="1" applyFill="1" applyBorder="1" applyAlignment="1" applyProtection="1">
      <alignment horizontal="center" vertical="center" wrapText="1"/>
      <protection hidden="1"/>
    </xf>
    <xf numFmtId="0" fontId="37" fillId="7" borderId="38" xfId="10" applyFont="1" applyFill="1" applyBorder="1" applyAlignment="1" applyProtection="1">
      <alignment horizontal="center" vertical="center" wrapText="1"/>
      <protection hidden="1"/>
    </xf>
    <xf numFmtId="0" fontId="37" fillId="7" borderId="39" xfId="10" applyFont="1" applyFill="1" applyBorder="1" applyAlignment="1" applyProtection="1">
      <alignment horizontal="center" vertical="center" wrapText="1"/>
      <protection hidden="1"/>
    </xf>
    <xf numFmtId="0" fontId="37" fillId="7" borderId="8" xfId="10" applyFont="1" applyFill="1" applyBorder="1" applyAlignment="1" applyProtection="1">
      <alignment horizontal="center" vertical="center" wrapText="1"/>
      <protection hidden="1"/>
    </xf>
    <xf numFmtId="0" fontId="37" fillId="7" borderId="15" xfId="10" applyFont="1" applyFill="1" applyBorder="1" applyAlignment="1" applyProtection="1">
      <alignment horizontal="center" vertical="center" wrapText="1"/>
      <protection hidden="1"/>
    </xf>
    <xf numFmtId="0" fontId="37" fillId="7" borderId="40" xfId="10" applyFont="1" applyFill="1" applyBorder="1" applyAlignment="1" applyProtection="1">
      <alignment horizontal="center" vertical="center" wrapText="1"/>
      <protection hidden="1"/>
    </xf>
    <xf numFmtId="0" fontId="35" fillId="7" borderId="18" xfId="10" applyFont="1" applyFill="1" applyBorder="1" applyAlignment="1" applyProtection="1">
      <alignment horizontal="left" vertical="center" wrapText="1"/>
      <protection hidden="1"/>
    </xf>
    <xf numFmtId="0" fontId="35" fillId="7" borderId="35" xfId="10" applyFont="1" applyFill="1" applyBorder="1" applyAlignment="1" applyProtection="1">
      <alignment horizontal="left" vertical="center" wrapText="1"/>
      <protection hidden="1"/>
    </xf>
    <xf numFmtId="0" fontId="35" fillId="7" borderId="19" xfId="10" applyFont="1" applyFill="1" applyBorder="1" applyAlignment="1" applyProtection="1">
      <alignment horizontal="left" vertical="center" wrapText="1"/>
      <protection hidden="1"/>
    </xf>
    <xf numFmtId="0" fontId="35" fillId="7" borderId="21" xfId="10" applyFont="1" applyFill="1" applyBorder="1" applyAlignment="1" applyProtection="1">
      <alignment horizontal="left" vertical="center" wrapText="1"/>
      <protection hidden="1"/>
    </xf>
    <xf numFmtId="0" fontId="35" fillId="7" borderId="34" xfId="10" applyFont="1" applyFill="1" applyBorder="1" applyAlignment="1" applyProtection="1">
      <alignment horizontal="left" vertical="center" wrapText="1"/>
      <protection hidden="1"/>
    </xf>
    <xf numFmtId="0" fontId="35" fillId="7" borderId="22" xfId="10" applyFont="1" applyFill="1" applyBorder="1" applyAlignment="1" applyProtection="1">
      <alignment horizontal="left" vertical="center" wrapText="1"/>
      <protection hidden="1"/>
    </xf>
    <xf numFmtId="0" fontId="35" fillId="7" borderId="18" xfId="10" applyFont="1" applyFill="1" applyBorder="1" applyAlignment="1" applyProtection="1">
      <alignment horizontal="center" vertical="center" wrapText="1"/>
      <protection hidden="1"/>
    </xf>
    <xf numFmtId="0" fontId="35" fillId="7" borderId="35" xfId="10" applyFont="1" applyFill="1" applyBorder="1" applyAlignment="1" applyProtection="1">
      <alignment horizontal="center" vertical="center" wrapText="1"/>
      <protection hidden="1"/>
    </xf>
    <xf numFmtId="0" fontId="35" fillId="7" borderId="19" xfId="10" applyFont="1" applyFill="1" applyBorder="1" applyAlignment="1" applyProtection="1">
      <alignment horizontal="center" vertical="center" wrapText="1"/>
      <protection hidden="1"/>
    </xf>
    <xf numFmtId="0" fontId="35" fillId="7" borderId="21" xfId="10" applyFont="1" applyFill="1" applyBorder="1" applyAlignment="1" applyProtection="1">
      <alignment horizontal="center" vertical="center" wrapText="1"/>
      <protection hidden="1"/>
    </xf>
    <xf numFmtId="0" fontId="35" fillId="7" borderId="34" xfId="10" applyFont="1" applyFill="1" applyBorder="1" applyAlignment="1" applyProtection="1">
      <alignment horizontal="center" vertical="center" wrapText="1"/>
      <protection hidden="1"/>
    </xf>
    <xf numFmtId="0" fontId="35" fillId="7" borderId="22" xfId="10" applyFont="1" applyFill="1" applyBorder="1" applyAlignment="1" applyProtection="1">
      <alignment horizontal="center" vertical="center" wrapText="1"/>
      <protection hidden="1"/>
    </xf>
    <xf numFmtId="1" fontId="7" fillId="3" borderId="8" xfId="0" applyNumberFormat="1" applyFont="1" applyFill="1" applyBorder="1" applyAlignment="1" applyProtection="1">
      <alignment horizontal="center" vertical="center"/>
      <protection hidden="1"/>
    </xf>
    <xf numFmtId="184" fontId="8" fillId="7" borderId="8" xfId="0" applyNumberFormat="1" applyFont="1" applyFill="1" applyBorder="1" applyAlignment="1" applyProtection="1">
      <alignment horizontal="center" vertical="center"/>
      <protection hidden="1"/>
    </xf>
    <xf numFmtId="0" fontId="8" fillId="7" borderId="8" xfId="0" applyFont="1" applyFill="1" applyBorder="1" applyAlignment="1" applyProtection="1">
      <alignment horizontal="center" vertical="center"/>
      <protection hidden="1"/>
    </xf>
    <xf numFmtId="0" fontId="29" fillId="2" borderId="5" xfId="3" applyFont="1" applyFill="1" applyBorder="1" applyAlignment="1" applyProtection="1">
      <alignment horizontal="left" vertical="center" wrapText="1"/>
      <protection hidden="1"/>
    </xf>
    <xf numFmtId="0" fontId="29" fillId="2" borderId="10" xfId="3" applyFont="1" applyFill="1" applyBorder="1" applyAlignment="1" applyProtection="1">
      <alignment horizontal="left" vertical="center" wrapText="1"/>
      <protection hidden="1"/>
    </xf>
    <xf numFmtId="0" fontId="7" fillId="3" borderId="8" xfId="0" applyFont="1" applyFill="1" applyBorder="1" applyAlignment="1" applyProtection="1">
      <alignment horizontal="center" vertical="center" wrapText="1"/>
      <protection hidden="1"/>
    </xf>
    <xf numFmtId="0" fontId="7" fillId="0" borderId="1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3" fillId="3" borderId="1"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1" fontId="7" fillId="3" borderId="15" xfId="0" applyNumberFormat="1" applyFont="1" applyFill="1" applyBorder="1" applyAlignment="1" applyProtection="1">
      <alignment horizontal="center" vertical="center"/>
      <protection hidden="1"/>
    </xf>
    <xf numFmtId="1" fontId="7" fillId="3" borderId="16" xfId="0" applyNumberFormat="1" applyFont="1" applyFill="1" applyBorder="1" applyAlignment="1" applyProtection="1">
      <alignment horizontal="center" vertical="center"/>
      <protection hidden="1"/>
    </xf>
    <xf numFmtId="184" fontId="9" fillId="7" borderId="8" xfId="0" applyNumberFormat="1" applyFont="1" applyFill="1" applyBorder="1" applyAlignment="1" applyProtection="1">
      <alignment horizontal="center" vertical="center"/>
      <protection hidden="1"/>
    </xf>
    <xf numFmtId="0" fontId="9" fillId="7" borderId="8"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1" fillId="3" borderId="29" xfId="17" applyFont="1" applyFill="1" applyBorder="1" applyAlignment="1" applyProtection="1">
      <alignment horizontal="center" vertical="center" wrapText="1"/>
      <protection hidden="1"/>
    </xf>
    <xf numFmtId="0" fontId="62" fillId="4" borderId="29" xfId="17" applyFont="1" applyFill="1" applyBorder="1" applyAlignment="1" applyProtection="1">
      <alignment horizontal="left" vertical="center"/>
      <protection hidden="1"/>
    </xf>
    <xf numFmtId="0" fontId="60" fillId="7" borderId="29" xfId="17" applyFont="1" applyFill="1" applyBorder="1" applyAlignment="1" applyProtection="1">
      <alignment horizontal="center" vertical="center" wrapText="1"/>
      <protection hidden="1"/>
    </xf>
    <xf numFmtId="180" fontId="61" fillId="7" borderId="29" xfId="17" applyNumberFormat="1" applyFont="1" applyFill="1" applyBorder="1" applyAlignment="1" applyProtection="1">
      <alignment horizontal="center" vertical="center"/>
      <protection hidden="1"/>
    </xf>
    <xf numFmtId="0" fontId="35" fillId="3" borderId="29" xfId="17" applyFont="1" applyFill="1" applyBorder="1" applyAlignment="1" applyProtection="1">
      <alignment horizontal="center" vertical="center" wrapText="1"/>
      <protection hidden="1"/>
    </xf>
    <xf numFmtId="0" fontId="6" fillId="2" borderId="1" xfId="3" applyFont="1" applyFill="1" applyBorder="1" applyAlignment="1" applyProtection="1">
      <alignment horizontal="center" vertical="center" wrapText="1"/>
      <protection hidden="1"/>
    </xf>
    <xf numFmtId="0" fontId="6" fillId="2" borderId="9" xfId="3" applyFont="1" applyFill="1" applyBorder="1" applyAlignment="1" applyProtection="1">
      <alignment horizontal="center" vertical="center" wrapText="1"/>
      <protection hidden="1"/>
    </xf>
    <xf numFmtId="0" fontId="6" fillId="2" borderId="2" xfId="3" applyFont="1" applyFill="1" applyBorder="1" applyAlignment="1" applyProtection="1">
      <alignment horizontal="center" vertical="center" wrapText="1"/>
      <protection hidden="1"/>
    </xf>
    <xf numFmtId="0" fontId="6" fillId="2" borderId="3" xfId="3" applyFont="1" applyFill="1" applyBorder="1" applyAlignment="1" applyProtection="1">
      <alignment horizontal="center" vertical="center" wrapText="1"/>
      <protection hidden="1"/>
    </xf>
    <xf numFmtId="0" fontId="6" fillId="2" borderId="0" xfId="3" applyFont="1" applyFill="1" applyBorder="1" applyAlignment="1" applyProtection="1">
      <alignment horizontal="center" vertical="center" wrapText="1"/>
      <protection hidden="1"/>
    </xf>
    <xf numFmtId="0" fontId="6" fillId="2" borderId="4" xfId="3" applyFont="1" applyFill="1" applyBorder="1" applyAlignment="1" applyProtection="1">
      <alignment horizontal="center" vertical="center" wrapText="1"/>
      <protection hidden="1"/>
    </xf>
    <xf numFmtId="0" fontId="6" fillId="2" borderId="5" xfId="3" applyFont="1" applyFill="1" applyBorder="1" applyAlignment="1" applyProtection="1">
      <alignment horizontal="center" vertical="center" wrapText="1"/>
      <protection hidden="1"/>
    </xf>
    <xf numFmtId="0" fontId="6" fillId="2" borderId="10" xfId="3" applyFont="1" applyFill="1" applyBorder="1" applyAlignment="1" applyProtection="1">
      <alignment horizontal="center" vertical="center" wrapText="1"/>
      <protection hidden="1"/>
    </xf>
    <xf numFmtId="0" fontId="6" fillId="2" borderId="6" xfId="3" applyFont="1" applyFill="1" applyBorder="1" applyAlignment="1" applyProtection="1">
      <alignment horizontal="center" vertical="center" wrapText="1"/>
      <protection hidden="1"/>
    </xf>
    <xf numFmtId="0" fontId="61" fillId="3" borderId="29" xfId="17" applyFont="1" applyFill="1" applyBorder="1" applyAlignment="1" applyProtection="1">
      <alignment horizontal="center" vertical="center"/>
      <protection hidden="1"/>
    </xf>
    <xf numFmtId="0" fontId="35" fillId="3" borderId="29" xfId="17" applyFont="1" applyFill="1" applyBorder="1" applyAlignment="1" applyProtection="1">
      <alignment horizontal="center" vertical="center"/>
      <protection hidden="1"/>
    </xf>
    <xf numFmtId="0" fontId="61" fillId="3" borderId="29" xfId="17" applyFont="1" applyFill="1" applyBorder="1" applyAlignment="1" applyProtection="1">
      <alignment horizontal="center"/>
      <protection hidden="1"/>
    </xf>
    <xf numFmtId="180" fontId="35" fillId="0" borderId="0" xfId="17" applyNumberFormat="1" applyFont="1" applyBorder="1" applyAlignment="1" applyProtection="1">
      <alignment horizontal="center" vertical="center"/>
      <protection hidden="1"/>
    </xf>
    <xf numFmtId="0" fontId="37" fillId="4" borderId="15" xfId="17" applyFont="1" applyFill="1" applyBorder="1" applyAlignment="1" applyProtection="1">
      <alignment horizontal="left" vertical="center" wrapText="1"/>
      <protection hidden="1"/>
    </xf>
    <xf numFmtId="0" fontId="37" fillId="4" borderId="7" xfId="17" applyFont="1" applyFill="1" applyBorder="1" applyAlignment="1" applyProtection="1">
      <alignment horizontal="left" vertical="center" wrapText="1"/>
      <protection hidden="1"/>
    </xf>
    <xf numFmtId="0" fontId="37" fillId="4" borderId="16" xfId="17" applyFont="1" applyFill="1" applyBorder="1" applyAlignment="1" applyProtection="1">
      <alignment horizontal="left" vertical="center" wrapText="1"/>
      <protection hidden="1"/>
    </xf>
    <xf numFmtId="0" fontId="35" fillId="9" borderId="15" xfId="17" applyFont="1" applyFill="1" applyBorder="1" applyAlignment="1" applyProtection="1">
      <alignment horizontal="left" vertical="center" wrapText="1"/>
      <protection hidden="1"/>
    </xf>
    <xf numFmtId="0" fontId="35" fillId="9" borderId="7" xfId="17" applyFont="1" applyFill="1" applyBorder="1" applyAlignment="1" applyProtection="1">
      <alignment horizontal="left" vertical="center" wrapText="1"/>
      <protection hidden="1"/>
    </xf>
    <xf numFmtId="0" fontId="35" fillId="9" borderId="16" xfId="17" applyFont="1" applyFill="1" applyBorder="1" applyAlignment="1" applyProtection="1">
      <alignment horizontal="left" vertical="center" wrapText="1"/>
      <protection hidden="1"/>
    </xf>
    <xf numFmtId="0" fontId="35" fillId="3" borderId="15" xfId="17" applyFont="1" applyFill="1" applyBorder="1" applyAlignment="1" applyProtection="1">
      <alignment horizontal="center" vertical="center" wrapText="1"/>
      <protection hidden="1"/>
    </xf>
    <xf numFmtId="0" fontId="35" fillId="3" borderId="7" xfId="17" applyFont="1" applyFill="1" applyBorder="1" applyAlignment="1" applyProtection="1">
      <alignment horizontal="center" vertical="center" wrapText="1"/>
      <protection hidden="1"/>
    </xf>
    <xf numFmtId="0" fontId="35" fillId="3" borderId="16" xfId="17" applyFont="1" applyFill="1" applyBorder="1" applyAlignment="1" applyProtection="1">
      <alignment horizontal="center" vertical="center" wrapText="1"/>
      <protection hidden="1"/>
    </xf>
    <xf numFmtId="0" fontId="35" fillId="9" borderId="15" xfId="17" applyFont="1" applyFill="1" applyBorder="1" applyAlignment="1" applyProtection="1">
      <alignment vertical="center" wrapText="1"/>
      <protection hidden="1"/>
    </xf>
    <xf numFmtId="0" fontId="35" fillId="9" borderId="7" xfId="17" applyFont="1" applyFill="1" applyBorder="1" applyAlignment="1" applyProtection="1">
      <alignment vertical="center" wrapText="1"/>
      <protection hidden="1"/>
    </xf>
    <xf numFmtId="0" fontId="35" fillId="9" borderId="16" xfId="17" applyFont="1" applyFill="1" applyBorder="1" applyAlignment="1" applyProtection="1">
      <alignment vertical="center" wrapText="1"/>
      <protection hidden="1"/>
    </xf>
    <xf numFmtId="0" fontId="35" fillId="9" borderId="15" xfId="17" applyFont="1" applyFill="1" applyBorder="1" applyAlignment="1" applyProtection="1">
      <alignment horizontal="center" vertical="center" wrapText="1"/>
      <protection hidden="1"/>
    </xf>
    <xf numFmtId="0" fontId="35" fillId="9" borderId="7" xfId="17" applyFont="1" applyFill="1" applyBorder="1" applyAlignment="1" applyProtection="1">
      <alignment horizontal="center" vertical="center" wrapText="1"/>
      <protection hidden="1"/>
    </xf>
    <xf numFmtId="0" fontId="35" fillId="9" borderId="16" xfId="17" applyFont="1" applyFill="1" applyBorder="1" applyAlignment="1" applyProtection="1">
      <alignment horizontal="center" vertical="center" wrapText="1"/>
      <protection hidden="1"/>
    </xf>
  </cellXfs>
  <cellStyles count="39">
    <cellStyle name="Hipervínculo" xfId="28" builtinId="8"/>
    <cellStyle name="Hipervínculo 3" xfId="24" xr:uid="{00000000-0005-0000-0000-000001000000}"/>
    <cellStyle name="Millares" xfId="1" builtinId="3"/>
    <cellStyle name="Millares [0]" xfId="22" builtinId="6"/>
    <cellStyle name="Millares [0] 2" xfId="18" xr:uid="{00000000-0005-0000-0000-000004000000}"/>
    <cellStyle name="Millares [0] 2 2" xfId="32" xr:uid="{00000000-0005-0000-0000-000005000000}"/>
    <cellStyle name="Millares [0] 3" xfId="34" xr:uid="{00000000-0005-0000-0000-000006000000}"/>
    <cellStyle name="Millares 2" xfId="26" xr:uid="{00000000-0005-0000-0000-000007000000}"/>
    <cellStyle name="Millares 2 2" xfId="37" xr:uid="{00000000-0005-0000-0000-000008000000}"/>
    <cellStyle name="Millares 3" xfId="29" xr:uid="{00000000-0005-0000-0000-000009000000}"/>
    <cellStyle name="Millares 4" xfId="19" xr:uid="{00000000-0005-0000-0000-00000A000000}"/>
    <cellStyle name="Millares 4 2" xfId="25" xr:uid="{00000000-0005-0000-0000-00000B000000}"/>
    <cellStyle name="Millares 4 2 2" xfId="36" xr:uid="{00000000-0005-0000-0000-00000C000000}"/>
    <cellStyle name="Millares 4 3" xfId="33" xr:uid="{00000000-0005-0000-0000-00000D000000}"/>
    <cellStyle name="Millares_Formato Evaluacion LP No. 41 Biblioteca Belen" xfId="8" xr:uid="{00000000-0005-0000-0000-00000E000000}"/>
    <cellStyle name="Moneda [0]" xfId="23" builtinId="7"/>
    <cellStyle name="Moneda [0] 2" xfId="35" xr:uid="{00000000-0005-0000-0000-000010000000}"/>
    <cellStyle name="Moneda [0] 6" xfId="13" xr:uid="{00000000-0005-0000-0000-000011000000}"/>
    <cellStyle name="Moneda [0] 6 2" xfId="30" xr:uid="{00000000-0005-0000-0000-000012000000}"/>
    <cellStyle name="Moneda 11" xfId="12" xr:uid="{00000000-0005-0000-0000-000013000000}"/>
    <cellStyle name="Moneda 2" xfId="27" xr:uid="{00000000-0005-0000-0000-000014000000}"/>
    <cellStyle name="Moneda 2 2" xfId="38" xr:uid="{00000000-0005-0000-0000-000015000000}"/>
    <cellStyle name="Moneda 9 2" xfId="14" xr:uid="{00000000-0005-0000-0000-000016000000}"/>
    <cellStyle name="Moneda 9 2 2" xfId="31" xr:uid="{00000000-0005-0000-0000-000017000000}"/>
    <cellStyle name="Normal" xfId="0" builtinId="0"/>
    <cellStyle name="Normal 10 10 2" xfId="9" xr:uid="{00000000-0005-0000-0000-000019000000}"/>
    <cellStyle name="Normal 12 2" xfId="5" xr:uid="{00000000-0005-0000-0000-00001A000000}"/>
    <cellStyle name="Normal 12 2 3" xfId="6" xr:uid="{00000000-0005-0000-0000-00001B000000}"/>
    <cellStyle name="Normal 12 4" xfId="7" xr:uid="{00000000-0005-0000-0000-00001C000000}"/>
    <cellStyle name="Normal 14 2 4" xfId="17" xr:uid="{00000000-0005-0000-0000-00001D000000}"/>
    <cellStyle name="Normal 15" xfId="4" xr:uid="{00000000-0005-0000-0000-00001E000000}"/>
    <cellStyle name="Normal 18" xfId="10" xr:uid="{00000000-0005-0000-0000-00001F000000}"/>
    <cellStyle name="Normal 18 2" xfId="21" xr:uid="{00000000-0005-0000-0000-000020000000}"/>
    <cellStyle name="Normal 2 2" xfId="11" xr:uid="{00000000-0005-0000-0000-000021000000}"/>
    <cellStyle name="Normal_CONSOLIDADO  EVALUACIÓN LP 53 OBRA ADECUACIÓN Y MANTENIMIENTO DEL TEATRO LIDO" xfId="3" xr:uid="{00000000-0005-0000-0000-000022000000}"/>
    <cellStyle name="Porcentaje" xfId="2" builtinId="5"/>
    <cellStyle name="Porcentaje 2" xfId="15" xr:uid="{00000000-0005-0000-0000-000024000000}"/>
    <cellStyle name="Porcentaje 6" xfId="16" xr:uid="{00000000-0005-0000-0000-000025000000}"/>
    <cellStyle name="Porcentual 2 2 2" xfId="20" xr:uid="{00000000-0005-0000-0000-000026000000}"/>
  </cellStyles>
  <dxfs count="6818">
    <dxf>
      <fill>
        <patternFill>
          <bgColor rgb="FFFFFF00"/>
        </patternFill>
      </fill>
    </dxf>
    <dxf>
      <fill>
        <patternFill>
          <bgColor rgb="FFFF0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66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429629</xdr:colOff>
      <xdr:row>2</xdr:row>
      <xdr:rowOff>133350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66675</xdr:rowOff>
    </xdr:from>
    <xdr:to>
      <xdr:col>1</xdr:col>
      <xdr:colOff>380565</xdr:colOff>
      <xdr:row>2</xdr:row>
      <xdr:rowOff>68550</xdr:rowOff>
    </xdr:to>
    <xdr:pic>
      <xdr:nvPicPr>
        <xdr:cNvPr id="2" name="3 Imagen" descr="log-udea2.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66675"/>
          <a:ext cx="556249" cy="84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55</xdr:col>
      <xdr:colOff>415636</xdr:colOff>
      <xdr:row>4</xdr:row>
      <xdr:rowOff>51955</xdr:rowOff>
    </xdr:from>
    <xdr:to>
      <xdr:col>56</xdr:col>
      <xdr:colOff>6425044</xdr:colOff>
      <xdr:row>7</xdr:row>
      <xdr:rowOff>1112160</xdr:rowOff>
    </xdr:to>
    <xdr:pic>
      <xdr:nvPicPr>
        <xdr:cNvPr id="12" name="image1.jpeg">
          <a:extLst>
            <a:ext uri="{FF2B5EF4-FFF2-40B4-BE49-F238E27FC236}">
              <a16:creationId xmlns:a16="http://schemas.microsoft.com/office/drawing/2014/main" id="{00000000-0008-0000-0700-00000C000000}"/>
            </a:ext>
          </a:extLst>
        </xdr:cNvPr>
        <xdr:cNvPicPr/>
      </xdr:nvPicPr>
      <xdr:blipFill>
        <a:blip xmlns:r="http://schemas.openxmlformats.org/officeDocument/2006/relationships" r:embed="rId1" cstate="print"/>
        <a:stretch>
          <a:fillRect/>
        </a:stretch>
      </xdr:blipFill>
      <xdr:spPr>
        <a:xfrm>
          <a:off x="89448409" y="1194955"/>
          <a:ext cx="6771408" cy="17875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107749</xdr:colOff>
      <xdr:row>1</xdr:row>
      <xdr:rowOff>31654</xdr:rowOff>
    </xdr:from>
    <xdr:ext cx="664715" cy="819993"/>
    <xdr:pic>
      <xdr:nvPicPr>
        <xdr:cNvPr id="2" name="3 Imagen" descr="log-udea2.GIF">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24" y="231679"/>
          <a:ext cx="664715" cy="81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LETRABAJO_2020/11_PROCESO%20VA-013-2020/PROPUESTAS/2_Evaluacion%20VA-01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ELETRABAJO_2020/APOYOS/Evaluaci&#243;n%20VA-119-2019_DEFINITIVO%20Abril%2021%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GUIA"/>
      <sheetName val="2_APERTURA DE SOBRES"/>
      <sheetName val="5,1. REQUISITOS JURÍDICOS"/>
      <sheetName val="5.2.1 EXPERIENCIA GRAL"/>
      <sheetName val="5.3 CAP FINANCIERA"/>
      <sheetName val="5.5 REQUISITOS COMERCIALES"/>
      <sheetName val="PRESUPUESTO"/>
      <sheetName val="VALORES UNITARIOS"/>
      <sheetName val="RESUMEN"/>
      <sheetName val="Cálculo Pt2"/>
      <sheetName val="10. EVALUACIÓN"/>
    </sheetNames>
    <sheetDataSet>
      <sheetData sheetId="0" refreshError="1">
        <row r="2">
          <cell r="A2" t="str">
            <v>Invitación Pública N° VA-013-2020</v>
          </cell>
        </row>
        <row r="8">
          <cell r="A8">
            <v>1</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row r="24">
          <cell r="A24">
            <v>17</v>
          </cell>
        </row>
      </sheetData>
      <sheetData sheetId="1" refreshError="1"/>
      <sheetData sheetId="2" refreshError="1"/>
      <sheetData sheetId="3" refreshError="1"/>
      <sheetData sheetId="4" refreshError="1"/>
      <sheetData sheetId="5" refreshError="1"/>
      <sheetData sheetId="6" refreshError="1"/>
      <sheetData sheetId="7" refreshError="1">
        <row r="116">
          <cell r="G116">
            <v>1</v>
          </cell>
          <cell r="H116">
            <v>0</v>
          </cell>
        </row>
        <row r="117">
          <cell r="G117">
            <v>2</v>
          </cell>
          <cell r="H117">
            <v>0</v>
          </cell>
        </row>
        <row r="118">
          <cell r="G118">
            <v>3</v>
          </cell>
          <cell r="H118">
            <v>0</v>
          </cell>
        </row>
        <row r="119">
          <cell r="G119">
            <v>4</v>
          </cell>
          <cell r="H119">
            <v>0</v>
          </cell>
        </row>
        <row r="120">
          <cell r="G120">
            <v>5</v>
          </cell>
          <cell r="H120">
            <v>0</v>
          </cell>
        </row>
        <row r="121">
          <cell r="G121">
            <v>6</v>
          </cell>
          <cell r="H121">
            <v>0</v>
          </cell>
        </row>
        <row r="122">
          <cell r="G122">
            <v>7</v>
          </cell>
          <cell r="H122">
            <v>0</v>
          </cell>
        </row>
        <row r="123">
          <cell r="G123">
            <v>8</v>
          </cell>
          <cell r="H123">
            <v>0</v>
          </cell>
        </row>
        <row r="124">
          <cell r="G124">
            <v>9</v>
          </cell>
          <cell r="H124">
            <v>0</v>
          </cell>
        </row>
        <row r="125">
          <cell r="G125">
            <v>10</v>
          </cell>
          <cell r="H125">
            <v>0</v>
          </cell>
        </row>
        <row r="126">
          <cell r="G126">
            <v>11</v>
          </cell>
          <cell r="H126">
            <v>0</v>
          </cell>
        </row>
        <row r="127">
          <cell r="G127">
            <v>12</v>
          </cell>
          <cell r="H127">
            <v>0</v>
          </cell>
        </row>
        <row r="128">
          <cell r="G128">
            <v>13</v>
          </cell>
          <cell r="H128">
            <v>0</v>
          </cell>
        </row>
        <row r="129">
          <cell r="G129">
            <v>14</v>
          </cell>
          <cell r="H129">
            <v>0</v>
          </cell>
        </row>
        <row r="130">
          <cell r="G130">
            <v>15</v>
          </cell>
          <cell r="H130">
            <v>0</v>
          </cell>
        </row>
        <row r="131">
          <cell r="G131">
            <v>16</v>
          </cell>
          <cell r="H131">
            <v>0</v>
          </cell>
        </row>
        <row r="132">
          <cell r="G132">
            <v>17</v>
          </cell>
          <cell r="H132">
            <v>0</v>
          </cell>
        </row>
        <row r="133">
          <cell r="G133">
            <v>18</v>
          </cell>
          <cell r="H133">
            <v>0</v>
          </cell>
        </row>
        <row r="134">
          <cell r="G134">
            <v>19</v>
          </cell>
          <cell r="H134">
            <v>0</v>
          </cell>
        </row>
        <row r="135">
          <cell r="G135">
            <v>20</v>
          </cell>
          <cell r="H135">
            <v>0</v>
          </cell>
        </row>
        <row r="136">
          <cell r="G136">
            <v>21</v>
          </cell>
          <cell r="H136">
            <v>0</v>
          </cell>
        </row>
        <row r="137">
          <cell r="G137">
            <v>22</v>
          </cell>
          <cell r="H137">
            <v>0</v>
          </cell>
        </row>
        <row r="138">
          <cell r="G138">
            <v>23</v>
          </cell>
          <cell r="H138">
            <v>0</v>
          </cell>
        </row>
        <row r="139">
          <cell r="G139">
            <v>24</v>
          </cell>
          <cell r="H139">
            <v>0</v>
          </cell>
        </row>
        <row r="140">
          <cell r="G140">
            <v>25</v>
          </cell>
          <cell r="H140">
            <v>0</v>
          </cell>
        </row>
        <row r="141">
          <cell r="G141">
            <v>26</v>
          </cell>
          <cell r="H141">
            <v>0</v>
          </cell>
        </row>
        <row r="142">
          <cell r="G142">
            <v>27</v>
          </cell>
          <cell r="H142">
            <v>0</v>
          </cell>
        </row>
        <row r="143">
          <cell r="G143">
            <v>28</v>
          </cell>
          <cell r="H143">
            <v>0</v>
          </cell>
        </row>
        <row r="144">
          <cell r="G144">
            <v>29</v>
          </cell>
          <cell r="H144">
            <v>0</v>
          </cell>
        </row>
        <row r="145">
          <cell r="G145">
            <v>30</v>
          </cell>
          <cell r="H145">
            <v>0</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5,1. REQUISITOS JURÍDICOS"/>
      <sheetName val="5.2.1 EXPERIENCIA GRAL"/>
      <sheetName val="5.3 CAP FINANCIERA"/>
      <sheetName val="5.4 REQUISITOS COMERCIALES"/>
      <sheetName val="V_UNITARIOS"/>
      <sheetName val="PRESUPUESTO"/>
      <sheetName val="RESUMEN"/>
      <sheetName val="Cálculo Pt2"/>
      <sheetName val="10. EVALUACIÓN"/>
    </sheetNames>
    <sheetDataSet>
      <sheetData sheetId="0"/>
      <sheetData sheetId="1"/>
      <sheetData sheetId="2"/>
      <sheetData sheetId="3"/>
      <sheetData sheetId="4"/>
      <sheetData sheetId="5"/>
      <sheetData sheetId="6">
        <row r="12">
          <cell r="KM12" t="str">
            <v>1</v>
          </cell>
          <cell r="KN12" t="str">
            <v xml:space="preserve">PINTURAS ACRÍLICAS </v>
          </cell>
          <cell r="KO12">
            <v>0</v>
          </cell>
          <cell r="KP12">
            <v>0</v>
          </cell>
          <cell r="KQ12">
            <v>0</v>
          </cell>
          <cell r="KR12">
            <v>0</v>
          </cell>
          <cell r="LD12" t="str">
            <v>1</v>
          </cell>
          <cell r="LE12" t="str">
            <v xml:space="preserve">PINTURAS ACRÍLICAS </v>
          </cell>
          <cell r="LF12">
            <v>0</v>
          </cell>
          <cell r="LG12">
            <v>0</v>
          </cell>
          <cell r="LH12">
            <v>0</v>
          </cell>
          <cell r="LI12">
            <v>0</v>
          </cell>
        </row>
        <row r="13">
          <cell r="KM13">
            <v>1.1000000000000001</v>
          </cell>
          <cell r="KN13" t="str">
            <v>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KO13" t="str">
            <v>m2</v>
          </cell>
          <cell r="KP13">
            <v>1</v>
          </cell>
          <cell r="KQ13">
            <v>10786.8</v>
          </cell>
          <cell r="KR13">
            <v>10786.8</v>
          </cell>
          <cell r="LD13">
            <v>1.1000000000000001</v>
          </cell>
          <cell r="LE13" t="str">
            <v>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LF13" t="str">
            <v>m2</v>
          </cell>
          <cell r="LG13">
            <v>1</v>
          </cell>
          <cell r="LH13">
            <v>18000</v>
          </cell>
          <cell r="LI13">
            <v>18000</v>
          </cell>
        </row>
        <row r="14">
          <cell r="KM14">
            <v>1.2</v>
          </cell>
          <cell r="KN14" t="str">
            <v>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KO14" t="str">
            <v>m2</v>
          </cell>
          <cell r="KP14">
            <v>1</v>
          </cell>
          <cell r="KQ14">
            <v>11423.1</v>
          </cell>
          <cell r="KR14">
            <v>11423.1</v>
          </cell>
          <cell r="LD14">
            <v>1.2</v>
          </cell>
          <cell r="LE14" t="str">
            <v>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LF14" t="str">
            <v>m2</v>
          </cell>
          <cell r="LG14">
            <v>1</v>
          </cell>
          <cell r="LH14">
            <v>19000</v>
          </cell>
          <cell r="LI14">
            <v>19000</v>
          </cell>
        </row>
        <row r="15">
          <cell r="KM15">
            <v>1.3</v>
          </cell>
          <cell r="KN15" t="str">
            <v>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5" t="str">
            <v>m2</v>
          </cell>
          <cell r="KP15">
            <v>1</v>
          </cell>
          <cell r="KQ15">
            <v>10504</v>
          </cell>
          <cell r="KR15">
            <v>10504</v>
          </cell>
          <cell r="LD15">
            <v>1.3</v>
          </cell>
          <cell r="LE15" t="str">
            <v>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5" t="str">
            <v>m2</v>
          </cell>
          <cell r="LG15">
            <v>1</v>
          </cell>
          <cell r="LH15">
            <v>23000</v>
          </cell>
          <cell r="LI15">
            <v>23000</v>
          </cell>
        </row>
        <row r="16">
          <cell r="KM16">
            <v>1.4</v>
          </cell>
          <cell r="KN16" t="str">
            <v>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6" t="str">
            <v>m2</v>
          </cell>
          <cell r="KP16">
            <v>1</v>
          </cell>
          <cell r="KQ16">
            <v>10726.2</v>
          </cell>
          <cell r="KR16">
            <v>10726.2</v>
          </cell>
          <cell r="LD16">
            <v>1.4</v>
          </cell>
          <cell r="LE16" t="str">
            <v>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6" t="str">
            <v>m2</v>
          </cell>
          <cell r="LG16">
            <v>1</v>
          </cell>
          <cell r="LH16">
            <v>18000</v>
          </cell>
          <cell r="LI16">
            <v>18000</v>
          </cell>
        </row>
        <row r="17">
          <cell r="KM17">
            <v>1.5</v>
          </cell>
          <cell r="KN17" t="str">
            <v>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7" t="str">
            <v>m</v>
          </cell>
          <cell r="KP17">
            <v>1</v>
          </cell>
          <cell r="KQ17">
            <v>5878.2</v>
          </cell>
          <cell r="KR17">
            <v>5878.2</v>
          </cell>
          <cell r="LD17">
            <v>1.5</v>
          </cell>
          <cell r="LE17" t="str">
            <v>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7" t="str">
            <v>m</v>
          </cell>
          <cell r="LG17">
            <v>1</v>
          </cell>
          <cell r="LH17">
            <v>22000</v>
          </cell>
          <cell r="LI17">
            <v>22000</v>
          </cell>
        </row>
        <row r="18">
          <cell r="KM18">
            <v>1.6</v>
          </cell>
          <cell r="KN18" t="str">
            <v>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KO18" t="str">
            <v>m2</v>
          </cell>
          <cell r="KP18">
            <v>1</v>
          </cell>
          <cell r="KQ18">
            <v>12120</v>
          </cell>
          <cell r="KR18">
            <v>12120</v>
          </cell>
          <cell r="LD18">
            <v>1.6</v>
          </cell>
          <cell r="LE18" t="str">
            <v>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LF18" t="str">
            <v>m2</v>
          </cell>
          <cell r="LG18">
            <v>1</v>
          </cell>
          <cell r="LH18">
            <v>30000</v>
          </cell>
          <cell r="LI18">
            <v>30000</v>
          </cell>
        </row>
        <row r="19">
          <cell r="KM19">
            <v>1.7</v>
          </cell>
          <cell r="KN19" t="str">
            <v>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KO19" t="str">
            <v>m2</v>
          </cell>
          <cell r="KP19">
            <v>1</v>
          </cell>
          <cell r="KQ19">
            <v>14443</v>
          </cell>
          <cell r="KR19">
            <v>14443</v>
          </cell>
          <cell r="LD19">
            <v>1.7</v>
          </cell>
          <cell r="LE19" t="str">
            <v>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LF19" t="str">
            <v>m2</v>
          </cell>
          <cell r="LG19">
            <v>1</v>
          </cell>
          <cell r="LH19">
            <v>40000</v>
          </cell>
          <cell r="LI19">
            <v>40000</v>
          </cell>
        </row>
        <row r="20">
          <cell r="KM20" t="str">
            <v>2</v>
          </cell>
          <cell r="KN20" t="str">
            <v>PINTURAS VINÍLICAS</v>
          </cell>
          <cell r="KO20">
            <v>0</v>
          </cell>
          <cell r="KP20">
            <v>0</v>
          </cell>
          <cell r="KQ20">
            <v>0</v>
          </cell>
          <cell r="KR20">
            <v>0</v>
          </cell>
          <cell r="LD20" t="str">
            <v>2</v>
          </cell>
          <cell r="LE20" t="str">
            <v>PINTURAS VINÍLICAS</v>
          </cell>
          <cell r="LF20">
            <v>0</v>
          </cell>
          <cell r="LG20">
            <v>0</v>
          </cell>
          <cell r="LH20">
            <v>0</v>
          </cell>
          <cell r="LI20">
            <v>0</v>
          </cell>
        </row>
        <row r="21">
          <cell r="KM21">
            <v>2.1</v>
          </cell>
          <cell r="KN21" t="str">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ell>
          <cell r="KO21" t="str">
            <v>m2</v>
          </cell>
          <cell r="KP21">
            <v>1</v>
          </cell>
          <cell r="KQ21">
            <v>10908</v>
          </cell>
          <cell r="KR21">
            <v>10908</v>
          </cell>
          <cell r="LD21">
            <v>2.1</v>
          </cell>
          <cell r="LE21" t="str">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ell>
          <cell r="LF21" t="str">
            <v>m2</v>
          </cell>
          <cell r="LG21">
            <v>1</v>
          </cell>
          <cell r="LH21">
            <v>17000</v>
          </cell>
          <cell r="LI21">
            <v>17000</v>
          </cell>
        </row>
        <row r="22">
          <cell r="KM22">
            <v>2.2000000000000002</v>
          </cell>
          <cell r="KN22" t="str">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ell>
          <cell r="KO22" t="str">
            <v>m2</v>
          </cell>
          <cell r="KP22">
            <v>1</v>
          </cell>
          <cell r="KQ22">
            <v>11514</v>
          </cell>
          <cell r="KR22">
            <v>11514</v>
          </cell>
          <cell r="LD22">
            <v>2.2000000000000002</v>
          </cell>
          <cell r="LE22" t="str">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ell>
          <cell r="LF22" t="str">
            <v>m2</v>
          </cell>
          <cell r="LG22">
            <v>1</v>
          </cell>
          <cell r="LH22">
            <v>16000</v>
          </cell>
          <cell r="LI22">
            <v>16000</v>
          </cell>
        </row>
        <row r="23">
          <cell r="KM23">
            <v>2.2999999999999998</v>
          </cell>
          <cell r="KN23" t="str">
            <v>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KO23" t="str">
            <v>m2</v>
          </cell>
          <cell r="KP23">
            <v>1</v>
          </cell>
          <cell r="KQ23">
            <v>11312</v>
          </cell>
          <cell r="KR23">
            <v>11312</v>
          </cell>
          <cell r="LD23">
            <v>2.2999999999999998</v>
          </cell>
          <cell r="LE23" t="str">
            <v>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LF23" t="str">
            <v>m2</v>
          </cell>
          <cell r="LG23">
            <v>1</v>
          </cell>
          <cell r="LH23">
            <v>16000</v>
          </cell>
          <cell r="LI23">
            <v>16000</v>
          </cell>
        </row>
        <row r="24">
          <cell r="KM24">
            <v>2.4</v>
          </cell>
          <cell r="KN24" t="str">
            <v>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24" t="str">
            <v>m</v>
          </cell>
          <cell r="KP24">
            <v>1</v>
          </cell>
          <cell r="KQ24">
            <v>10302</v>
          </cell>
          <cell r="KR24">
            <v>10302</v>
          </cell>
          <cell r="LD24">
            <v>2.4</v>
          </cell>
          <cell r="LE24" t="str">
            <v>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24" t="str">
            <v>m</v>
          </cell>
          <cell r="LG24">
            <v>1</v>
          </cell>
          <cell r="LH24">
            <v>8500</v>
          </cell>
          <cell r="LI24">
            <v>8500</v>
          </cell>
        </row>
        <row r="25">
          <cell r="KM25">
            <v>2.5</v>
          </cell>
          <cell r="KN25" t="str">
            <v>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25" t="str">
            <v>m2</v>
          </cell>
          <cell r="KP25">
            <v>1</v>
          </cell>
          <cell r="KQ25">
            <v>9292</v>
          </cell>
          <cell r="KR25">
            <v>9292</v>
          </cell>
          <cell r="LD25">
            <v>2.5</v>
          </cell>
          <cell r="LE25" t="str">
            <v>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25" t="str">
            <v>m2</v>
          </cell>
          <cell r="LG25">
            <v>1</v>
          </cell>
          <cell r="LH25">
            <v>14000</v>
          </cell>
          <cell r="LI25">
            <v>14000</v>
          </cell>
        </row>
        <row r="26">
          <cell r="KM26">
            <v>2.6</v>
          </cell>
          <cell r="KN26" t="str">
            <v>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6" t="str">
            <v>m2</v>
          </cell>
          <cell r="KP26">
            <v>1</v>
          </cell>
          <cell r="KQ26">
            <v>7575</v>
          </cell>
          <cell r="KR26">
            <v>7575</v>
          </cell>
          <cell r="LD26">
            <v>2.6</v>
          </cell>
          <cell r="LE26" t="str">
            <v>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6" t="str">
            <v>m2</v>
          </cell>
          <cell r="LG26">
            <v>1</v>
          </cell>
          <cell r="LH26">
            <v>12000</v>
          </cell>
          <cell r="LI26">
            <v>12000</v>
          </cell>
        </row>
        <row r="27">
          <cell r="KM27">
            <v>2.7</v>
          </cell>
          <cell r="KN27" t="str">
            <v>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7" t="str">
            <v>m2</v>
          </cell>
          <cell r="KP27">
            <v>1</v>
          </cell>
          <cell r="KQ27">
            <v>75770.2</v>
          </cell>
          <cell r="KR27">
            <v>75770.2</v>
          </cell>
          <cell r="LD27">
            <v>2.7</v>
          </cell>
          <cell r="LE27" t="str">
            <v>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7" t="str">
            <v>m2</v>
          </cell>
          <cell r="LG27">
            <v>1</v>
          </cell>
          <cell r="LH27">
            <v>11000</v>
          </cell>
          <cell r="LI27">
            <v>11000</v>
          </cell>
        </row>
        <row r="28">
          <cell r="KM28">
            <v>2.8</v>
          </cell>
          <cell r="KN28" t="str">
            <v>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8" t="str">
            <v>m</v>
          </cell>
          <cell r="KP28">
            <v>1</v>
          </cell>
          <cell r="KQ28">
            <v>5282.3</v>
          </cell>
          <cell r="KR28">
            <v>5282.3</v>
          </cell>
          <cell r="LD28">
            <v>2.8</v>
          </cell>
          <cell r="LE28" t="str">
            <v>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8" t="str">
            <v>m</v>
          </cell>
          <cell r="LG28">
            <v>1</v>
          </cell>
          <cell r="LH28">
            <v>6000</v>
          </cell>
          <cell r="LI28">
            <v>6000</v>
          </cell>
        </row>
        <row r="29">
          <cell r="KM29">
            <v>2.9</v>
          </cell>
          <cell r="KN29" t="str">
            <v>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9" t="str">
            <v>m</v>
          </cell>
          <cell r="KP29">
            <v>1</v>
          </cell>
          <cell r="KQ29">
            <v>6363</v>
          </cell>
          <cell r="KR29">
            <v>6363</v>
          </cell>
          <cell r="LD29">
            <v>2.9</v>
          </cell>
          <cell r="LE29" t="str">
            <v>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9" t="str">
            <v>m</v>
          </cell>
          <cell r="LG29">
            <v>1</v>
          </cell>
          <cell r="LH29">
            <v>6000</v>
          </cell>
          <cell r="LI29">
            <v>6000</v>
          </cell>
        </row>
        <row r="30">
          <cell r="KM30">
            <v>2.1</v>
          </cell>
          <cell r="KN30" t="str">
            <v>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v>
          </cell>
          <cell r="KO30" t="str">
            <v>m2</v>
          </cell>
          <cell r="KP30">
            <v>1</v>
          </cell>
          <cell r="KQ30">
            <v>12221</v>
          </cell>
          <cell r="KR30">
            <v>12221</v>
          </cell>
          <cell r="LD30">
            <v>2.1</v>
          </cell>
          <cell r="LE30" t="str">
            <v>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v>
          </cell>
          <cell r="LF30" t="str">
            <v>m2</v>
          </cell>
          <cell r="LG30">
            <v>1</v>
          </cell>
          <cell r="LH30">
            <v>22000</v>
          </cell>
          <cell r="LI30">
            <v>22000</v>
          </cell>
        </row>
        <row r="31">
          <cell r="KM31">
            <v>2.11</v>
          </cell>
          <cell r="KN31" t="str">
            <v>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31" t="str">
            <v>m</v>
          </cell>
          <cell r="KP31">
            <v>1</v>
          </cell>
          <cell r="KQ31">
            <v>3232</v>
          </cell>
          <cell r="KR31">
            <v>3232</v>
          </cell>
          <cell r="LD31">
            <v>2.11</v>
          </cell>
          <cell r="LE31" t="str">
            <v>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31" t="str">
            <v>m</v>
          </cell>
          <cell r="LG31">
            <v>1</v>
          </cell>
          <cell r="LH31">
            <v>6000</v>
          </cell>
          <cell r="LI31">
            <v>6000</v>
          </cell>
        </row>
        <row r="32">
          <cell r="KM32">
            <v>2.12</v>
          </cell>
          <cell r="KN32" t="str">
            <v>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v>
          </cell>
          <cell r="KO32" t="str">
            <v>m2</v>
          </cell>
          <cell r="KP32">
            <v>1</v>
          </cell>
          <cell r="KQ32">
            <v>7676</v>
          </cell>
          <cell r="KR32">
            <v>7676</v>
          </cell>
          <cell r="LD32">
            <v>2.12</v>
          </cell>
          <cell r="LE32" t="str">
            <v>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v>
          </cell>
          <cell r="LF32" t="str">
            <v>m2</v>
          </cell>
          <cell r="LG32">
            <v>1</v>
          </cell>
          <cell r="LH32">
            <v>13000</v>
          </cell>
          <cell r="LI32">
            <v>13000</v>
          </cell>
        </row>
        <row r="33">
          <cell r="KM33" t="str">
            <v>2.13</v>
          </cell>
          <cell r="KN33" t="str">
            <v>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KO33" t="str">
            <v>m2</v>
          </cell>
          <cell r="KP33">
            <v>1</v>
          </cell>
          <cell r="KQ33">
            <v>5151</v>
          </cell>
          <cell r="KR33">
            <v>5151</v>
          </cell>
          <cell r="LD33" t="str">
            <v>2.13</v>
          </cell>
          <cell r="LE33" t="str">
            <v>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LF33" t="str">
            <v>m2</v>
          </cell>
          <cell r="LG33">
            <v>1</v>
          </cell>
          <cell r="LH33">
            <v>12000</v>
          </cell>
          <cell r="LI33">
            <v>12000</v>
          </cell>
        </row>
        <row r="34">
          <cell r="KM34" t="str">
            <v>3</v>
          </cell>
          <cell r="KN34" t="str">
            <v>PINTURAS TIPO TRÁFICO  Y PINTURA PARA CANCHAS</v>
          </cell>
          <cell r="KO34">
            <v>0</v>
          </cell>
          <cell r="KP34">
            <v>0</v>
          </cell>
          <cell r="KQ34">
            <v>0</v>
          </cell>
          <cell r="KR34">
            <v>0</v>
          </cell>
          <cell r="LD34" t="str">
            <v>3</v>
          </cell>
          <cell r="LE34" t="str">
            <v>PINTURAS TIPO TRÁFICO  Y PINTURA PARA CANCHAS</v>
          </cell>
          <cell r="LF34">
            <v>0</v>
          </cell>
          <cell r="LG34">
            <v>0</v>
          </cell>
          <cell r="LH34">
            <v>0</v>
          </cell>
          <cell r="LI34">
            <v>0</v>
          </cell>
        </row>
        <row r="35">
          <cell r="KM35">
            <v>3.1</v>
          </cell>
          <cell r="KN35" t="str">
            <v>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v>
          </cell>
          <cell r="KO35" t="str">
            <v>m2</v>
          </cell>
          <cell r="KP35">
            <v>1</v>
          </cell>
          <cell r="KQ35">
            <v>35552</v>
          </cell>
          <cell r="KR35">
            <v>35552</v>
          </cell>
          <cell r="LD35">
            <v>3.1</v>
          </cell>
          <cell r="LE35" t="str">
            <v>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v>
          </cell>
          <cell r="LF35" t="str">
            <v>m2</v>
          </cell>
          <cell r="LG35">
            <v>1</v>
          </cell>
          <cell r="LH35">
            <v>38000</v>
          </cell>
          <cell r="LI35">
            <v>38000</v>
          </cell>
        </row>
        <row r="36">
          <cell r="KM36">
            <v>3.2</v>
          </cell>
          <cell r="KN36" t="str">
            <v>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v>
          </cell>
          <cell r="KO36" t="str">
            <v>m2</v>
          </cell>
          <cell r="KP36">
            <v>1</v>
          </cell>
          <cell r="KQ36">
            <v>17675</v>
          </cell>
          <cell r="KR36">
            <v>17675</v>
          </cell>
          <cell r="LD36">
            <v>3.2</v>
          </cell>
          <cell r="LE36" t="str">
            <v>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v>
          </cell>
          <cell r="LF36" t="str">
            <v>m2</v>
          </cell>
          <cell r="LG36">
            <v>1</v>
          </cell>
          <cell r="LH36">
            <v>38000</v>
          </cell>
          <cell r="LI36">
            <v>38000</v>
          </cell>
        </row>
        <row r="37">
          <cell r="KM37">
            <v>3.3</v>
          </cell>
          <cell r="KN37" t="str">
            <v>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7" t="str">
            <v>un</v>
          </cell>
          <cell r="KP37">
            <v>1</v>
          </cell>
          <cell r="KQ37">
            <v>353500</v>
          </cell>
          <cell r="KR37">
            <v>353500</v>
          </cell>
          <cell r="LD37">
            <v>3.3</v>
          </cell>
          <cell r="LE37" t="str">
            <v>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7" t="str">
            <v>un</v>
          </cell>
          <cell r="LG37">
            <v>1</v>
          </cell>
          <cell r="LH37">
            <v>420000</v>
          </cell>
          <cell r="LI37">
            <v>420000</v>
          </cell>
        </row>
        <row r="38">
          <cell r="KM38">
            <v>3.4</v>
          </cell>
          <cell r="KN38" t="str">
            <v>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8" t="str">
            <v>un</v>
          </cell>
          <cell r="KP38">
            <v>1</v>
          </cell>
          <cell r="KQ38">
            <v>17372</v>
          </cell>
          <cell r="KR38">
            <v>17372</v>
          </cell>
          <cell r="LD38">
            <v>3.4</v>
          </cell>
          <cell r="LE38" t="str">
            <v>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8" t="str">
            <v>un</v>
          </cell>
          <cell r="LG38">
            <v>1</v>
          </cell>
          <cell r="LH38">
            <v>75000</v>
          </cell>
          <cell r="LI38">
            <v>75000</v>
          </cell>
        </row>
        <row r="39">
          <cell r="KM39">
            <v>3.5</v>
          </cell>
          <cell r="KN39" t="str">
            <v>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9" t="str">
            <v>un</v>
          </cell>
          <cell r="KP39">
            <v>1</v>
          </cell>
          <cell r="KQ39">
            <v>454500</v>
          </cell>
          <cell r="KR39">
            <v>454500</v>
          </cell>
          <cell r="LD39">
            <v>3.5</v>
          </cell>
          <cell r="LE39" t="str">
            <v>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9" t="str">
            <v>un</v>
          </cell>
          <cell r="LG39">
            <v>1</v>
          </cell>
          <cell r="LH39">
            <v>650000</v>
          </cell>
          <cell r="LI39">
            <v>650000</v>
          </cell>
        </row>
        <row r="40">
          <cell r="KM40">
            <v>3.6</v>
          </cell>
          <cell r="KN40" t="str">
            <v>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v>
          </cell>
          <cell r="KO40" t="str">
            <v>m</v>
          </cell>
          <cell r="KP40">
            <v>1</v>
          </cell>
          <cell r="KQ40">
            <v>2121</v>
          </cell>
          <cell r="KR40">
            <v>2121</v>
          </cell>
          <cell r="LD40">
            <v>3.6</v>
          </cell>
          <cell r="LE40" t="str">
            <v>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v>
          </cell>
          <cell r="LF40" t="str">
            <v>m</v>
          </cell>
          <cell r="LG40">
            <v>1</v>
          </cell>
          <cell r="LH40">
            <v>5000</v>
          </cell>
          <cell r="LI40">
            <v>5000</v>
          </cell>
        </row>
        <row r="41">
          <cell r="KM41">
            <v>3.7</v>
          </cell>
          <cell r="KN41" t="str">
            <v>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v>
          </cell>
          <cell r="KO41" t="str">
            <v>m2</v>
          </cell>
          <cell r="KP41">
            <v>1</v>
          </cell>
          <cell r="KQ41">
            <v>32522</v>
          </cell>
          <cell r="KR41">
            <v>32522</v>
          </cell>
          <cell r="LD41">
            <v>3.7</v>
          </cell>
          <cell r="LE41" t="str">
            <v>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v>
          </cell>
          <cell r="LF41" t="str">
            <v>m2</v>
          </cell>
          <cell r="LG41">
            <v>1</v>
          </cell>
          <cell r="LH41">
            <v>45000</v>
          </cell>
          <cell r="LI41">
            <v>45000</v>
          </cell>
        </row>
        <row r="42">
          <cell r="KM42">
            <v>3.8</v>
          </cell>
          <cell r="KN42" t="str">
            <v>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v>
          </cell>
          <cell r="KO42" t="str">
            <v>un</v>
          </cell>
          <cell r="KP42">
            <v>1</v>
          </cell>
          <cell r="KQ42">
            <v>79790</v>
          </cell>
          <cell r="KR42">
            <v>79790</v>
          </cell>
          <cell r="LD42">
            <v>3.8</v>
          </cell>
          <cell r="LE42" t="str">
            <v>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v>
          </cell>
          <cell r="LF42" t="str">
            <v>un</v>
          </cell>
          <cell r="LG42">
            <v>1</v>
          </cell>
          <cell r="LH42">
            <v>45000</v>
          </cell>
          <cell r="LI42">
            <v>45000</v>
          </cell>
        </row>
        <row r="43">
          <cell r="KM43">
            <v>3.9</v>
          </cell>
          <cell r="KN43" t="str">
            <v>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v>
          </cell>
          <cell r="KO43" t="str">
            <v>m</v>
          </cell>
          <cell r="KP43">
            <v>1</v>
          </cell>
          <cell r="KQ43">
            <v>42420</v>
          </cell>
          <cell r="KR43">
            <v>42420</v>
          </cell>
          <cell r="LD43">
            <v>3.9</v>
          </cell>
          <cell r="LE43" t="str">
            <v>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v>
          </cell>
          <cell r="LF43" t="str">
            <v>m</v>
          </cell>
          <cell r="LG43">
            <v>1</v>
          </cell>
          <cell r="LH43">
            <v>18000</v>
          </cell>
          <cell r="LI43">
            <v>18000</v>
          </cell>
        </row>
        <row r="44">
          <cell r="KM44">
            <v>3.1</v>
          </cell>
          <cell r="KN44" t="str">
            <v>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v>
          </cell>
          <cell r="KO44" t="str">
            <v>un</v>
          </cell>
          <cell r="KP44">
            <v>1</v>
          </cell>
          <cell r="KQ44">
            <v>1111000</v>
          </cell>
          <cell r="KR44">
            <v>1111000</v>
          </cell>
          <cell r="LD44">
            <v>3.1</v>
          </cell>
          <cell r="LE44" t="str">
            <v>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v>
          </cell>
          <cell r="LF44" t="str">
            <v>un</v>
          </cell>
          <cell r="LG44">
            <v>1</v>
          </cell>
          <cell r="LH44">
            <v>650000</v>
          </cell>
          <cell r="LI44">
            <v>650000</v>
          </cell>
        </row>
        <row r="45">
          <cell r="KM45">
            <v>3.11</v>
          </cell>
          <cell r="KN45" t="str">
            <v>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v>
          </cell>
          <cell r="KO45" t="str">
            <v>un</v>
          </cell>
          <cell r="KP45">
            <v>1</v>
          </cell>
          <cell r="KQ45">
            <v>911020</v>
          </cell>
          <cell r="KR45">
            <v>911020</v>
          </cell>
          <cell r="LD45">
            <v>3.11</v>
          </cell>
          <cell r="LE45" t="str">
            <v>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v>
          </cell>
          <cell r="LF45" t="str">
            <v>un</v>
          </cell>
          <cell r="LG45">
            <v>1</v>
          </cell>
          <cell r="LH45">
            <v>535000</v>
          </cell>
          <cell r="LI45">
            <v>535000</v>
          </cell>
        </row>
        <row r="46">
          <cell r="KM46">
            <v>3.12</v>
          </cell>
          <cell r="KN46" t="str">
            <v>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v>
          </cell>
          <cell r="KO46" t="str">
            <v>und</v>
          </cell>
          <cell r="KP46">
            <v>1</v>
          </cell>
          <cell r="KQ46">
            <v>90122.3</v>
          </cell>
          <cell r="KR46">
            <v>90122.3</v>
          </cell>
          <cell r="LD46">
            <v>3.12</v>
          </cell>
          <cell r="LE46" t="str">
            <v>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v>
          </cell>
          <cell r="LF46" t="str">
            <v>und</v>
          </cell>
          <cell r="LG46">
            <v>1</v>
          </cell>
          <cell r="LH46">
            <v>49500.000000000007</v>
          </cell>
          <cell r="LI46">
            <v>49500.000000000007</v>
          </cell>
        </row>
        <row r="47">
          <cell r="KM47">
            <v>3.13</v>
          </cell>
          <cell r="KN47" t="str">
            <v>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v>
          </cell>
          <cell r="KO47" t="str">
            <v>un</v>
          </cell>
          <cell r="KP47">
            <v>1</v>
          </cell>
          <cell r="KQ47">
            <v>186850</v>
          </cell>
          <cell r="KR47">
            <v>186850</v>
          </cell>
          <cell r="LD47">
            <v>3.13</v>
          </cell>
          <cell r="LE47" t="str">
            <v>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v>
          </cell>
          <cell r="LF47" t="str">
            <v>un</v>
          </cell>
          <cell r="LG47">
            <v>1</v>
          </cell>
          <cell r="LH47">
            <v>560000</v>
          </cell>
          <cell r="LI47">
            <v>560000</v>
          </cell>
        </row>
        <row r="48">
          <cell r="KM48">
            <v>3.14</v>
          </cell>
          <cell r="KN48" t="str">
            <v>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v>
          </cell>
          <cell r="KO48" t="str">
            <v>m</v>
          </cell>
          <cell r="KP48">
            <v>1</v>
          </cell>
          <cell r="KQ48">
            <v>21715</v>
          </cell>
          <cell r="KR48">
            <v>21715</v>
          </cell>
          <cell r="LD48">
            <v>3.14</v>
          </cell>
          <cell r="LE48" t="str">
            <v>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v>
          </cell>
          <cell r="LF48" t="str">
            <v>m</v>
          </cell>
          <cell r="LG48">
            <v>1</v>
          </cell>
          <cell r="LH48">
            <v>7000</v>
          </cell>
          <cell r="LI48">
            <v>7000</v>
          </cell>
        </row>
        <row r="49">
          <cell r="KM49" t="str">
            <v>4</v>
          </cell>
          <cell r="KN49" t="str">
            <v>PINTURAS EPÓXICAS Y ANTIHUMEDAD</v>
          </cell>
          <cell r="KO49">
            <v>0</v>
          </cell>
          <cell r="KP49">
            <v>0</v>
          </cell>
          <cell r="KQ49">
            <v>0</v>
          </cell>
          <cell r="KR49">
            <v>0</v>
          </cell>
          <cell r="LD49" t="str">
            <v>4</v>
          </cell>
          <cell r="LE49" t="str">
            <v>PINTURAS EPÓXICAS Y ANTIHUMEDAD</v>
          </cell>
          <cell r="LF49">
            <v>0</v>
          </cell>
          <cell r="LG49">
            <v>0</v>
          </cell>
          <cell r="LH49">
            <v>0</v>
          </cell>
          <cell r="LI49">
            <v>0</v>
          </cell>
        </row>
        <row r="50">
          <cell r="KM50">
            <v>4.0999999999999996</v>
          </cell>
          <cell r="KN50" t="str">
            <v>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v>
          </cell>
          <cell r="KO50" t="str">
            <v>m2</v>
          </cell>
          <cell r="KP50">
            <v>1</v>
          </cell>
          <cell r="KQ50">
            <v>26260</v>
          </cell>
          <cell r="KR50">
            <v>26260</v>
          </cell>
          <cell r="LD50">
            <v>4.0999999999999996</v>
          </cell>
          <cell r="LE50" t="str">
            <v>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v>
          </cell>
          <cell r="LF50" t="str">
            <v>m2</v>
          </cell>
          <cell r="LG50">
            <v>1</v>
          </cell>
          <cell r="LH50">
            <v>48000</v>
          </cell>
          <cell r="LI50">
            <v>48000</v>
          </cell>
        </row>
        <row r="51">
          <cell r="KM51">
            <v>4.2</v>
          </cell>
          <cell r="KN51" t="str">
            <v>Aplicación de PINTURA EPÓXICA EN CIELOS (dos componentes proporción 1:3, no tóxica) tipo epoxiconstrucción de pintuco o equivalente, semimate, sobre estuco plástico, 2 a 3 manos o las necesarias para lograr una superficie pareja a satisfacción de la interventoría, color blanco.</v>
          </cell>
          <cell r="KO51" t="str">
            <v>m2</v>
          </cell>
          <cell r="KP51">
            <v>1</v>
          </cell>
          <cell r="KQ51">
            <v>28280</v>
          </cell>
          <cell r="KR51">
            <v>28280</v>
          </cell>
          <cell r="LD51">
            <v>4.2</v>
          </cell>
          <cell r="LE51" t="str">
            <v>Aplicación de PINTURA EPÓXICA EN CIELOS (dos componentes proporción 1:3, no tóxica) tipo epoxiconstrucción de pintuco o equivalente, semimate, sobre estuco plástico, 2 a 3 manos o las necesarias para lograr una superficie pareja a satisfacción de la interventoría, color blanco.</v>
          </cell>
          <cell r="LF51" t="str">
            <v>m2</v>
          </cell>
          <cell r="LG51">
            <v>1</v>
          </cell>
          <cell r="LH51">
            <v>53000</v>
          </cell>
          <cell r="LI51">
            <v>53000</v>
          </cell>
        </row>
        <row r="52">
          <cell r="KM52">
            <v>4.3</v>
          </cell>
          <cell r="KN52" t="str">
            <v>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KO52" t="str">
            <v>m2</v>
          </cell>
          <cell r="KP52">
            <v>1</v>
          </cell>
          <cell r="KQ52">
            <v>11312</v>
          </cell>
          <cell r="KR52">
            <v>11312</v>
          </cell>
          <cell r="LD52">
            <v>4.3</v>
          </cell>
          <cell r="LE52" t="str">
            <v>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LF52" t="str">
            <v>m2</v>
          </cell>
          <cell r="LG52">
            <v>1</v>
          </cell>
          <cell r="LH52">
            <v>20000</v>
          </cell>
          <cell r="LI52">
            <v>20000</v>
          </cell>
        </row>
        <row r="53">
          <cell r="KM53">
            <v>4.4000000000000004</v>
          </cell>
          <cell r="KN53" t="str">
            <v>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KO53" t="str">
            <v>m2</v>
          </cell>
          <cell r="KP53">
            <v>1</v>
          </cell>
          <cell r="KQ53">
            <v>12322</v>
          </cell>
          <cell r="KR53">
            <v>12322</v>
          </cell>
          <cell r="LD53">
            <v>4.4000000000000004</v>
          </cell>
          <cell r="LE53" t="str">
            <v>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LF53" t="str">
            <v>m2</v>
          </cell>
          <cell r="LG53">
            <v>1</v>
          </cell>
          <cell r="LH53">
            <v>22000</v>
          </cell>
          <cell r="LI53">
            <v>22000</v>
          </cell>
        </row>
        <row r="54">
          <cell r="KM54" t="str">
            <v>4.5</v>
          </cell>
          <cell r="KN54" t="str">
            <v>Suministro de MANO DE OBRA para aplicación de Pintura EPÓXICA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KO54" t="str">
            <v>m2</v>
          </cell>
          <cell r="KP54">
            <v>1</v>
          </cell>
          <cell r="KQ54">
            <v>9039.5</v>
          </cell>
          <cell r="KR54">
            <v>9039.5</v>
          </cell>
          <cell r="LD54" t="str">
            <v>4.5</v>
          </cell>
          <cell r="LE54" t="str">
            <v>Suministro de MANO DE OBRA para aplicación de Pintura EPÓXICA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LF54" t="str">
            <v>m2</v>
          </cell>
          <cell r="LG54">
            <v>1</v>
          </cell>
          <cell r="LH54">
            <v>45000</v>
          </cell>
          <cell r="LI54">
            <v>45000</v>
          </cell>
        </row>
        <row r="55">
          <cell r="KM55" t="str">
            <v>5</v>
          </cell>
          <cell r="KN55" t="str">
            <v>PINTURAS ESMALTE</v>
          </cell>
          <cell r="KO55">
            <v>0</v>
          </cell>
          <cell r="KP55">
            <v>0</v>
          </cell>
          <cell r="KQ55">
            <v>0</v>
          </cell>
          <cell r="KR55">
            <v>0</v>
          </cell>
          <cell r="LD55" t="str">
            <v>5</v>
          </cell>
          <cell r="LE55" t="str">
            <v>PINTURAS ESMALTE</v>
          </cell>
          <cell r="LF55">
            <v>0</v>
          </cell>
          <cell r="LG55">
            <v>0</v>
          </cell>
          <cell r="LH55">
            <v>0</v>
          </cell>
          <cell r="LI55">
            <v>0</v>
          </cell>
        </row>
        <row r="56">
          <cell r="KM56" t="str">
            <v>5,1</v>
          </cell>
          <cell r="KN56" t="str">
            <v>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KO56" t="str">
            <v>m2</v>
          </cell>
          <cell r="KP56">
            <v>1</v>
          </cell>
          <cell r="KQ56">
            <v>8059.8</v>
          </cell>
          <cell r="KR56">
            <v>8059.8</v>
          </cell>
          <cell r="LD56" t="str">
            <v>5,1</v>
          </cell>
          <cell r="LE56" t="str">
            <v>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LF56" t="str">
            <v>m2</v>
          </cell>
          <cell r="LG56">
            <v>1</v>
          </cell>
          <cell r="LH56">
            <v>40000</v>
          </cell>
          <cell r="LI56">
            <v>40000</v>
          </cell>
        </row>
        <row r="57">
          <cell r="KM57">
            <v>5.2</v>
          </cell>
          <cell r="KN57" t="str">
            <v>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v>
          </cell>
          <cell r="KO57" t="str">
            <v>m2</v>
          </cell>
          <cell r="KP57">
            <v>1</v>
          </cell>
          <cell r="KQ57">
            <v>10201</v>
          </cell>
          <cell r="KR57">
            <v>10201</v>
          </cell>
          <cell r="LD57">
            <v>5.2</v>
          </cell>
          <cell r="LE57" t="str">
            <v>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v>
          </cell>
          <cell r="LF57" t="str">
            <v>m2</v>
          </cell>
          <cell r="LG57">
            <v>1</v>
          </cell>
          <cell r="LH57">
            <v>45000</v>
          </cell>
          <cell r="LI57">
            <v>45000</v>
          </cell>
        </row>
        <row r="58">
          <cell r="KM58">
            <v>5.3</v>
          </cell>
          <cell r="KN58" t="str">
            <v>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KO58" t="str">
            <v>m2</v>
          </cell>
          <cell r="KP58">
            <v>1</v>
          </cell>
          <cell r="KQ58">
            <v>7563.89</v>
          </cell>
          <cell r="KR58">
            <v>7563.89</v>
          </cell>
          <cell r="LD58">
            <v>5.3</v>
          </cell>
          <cell r="LE58" t="str">
            <v>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LF58" t="str">
            <v>m2</v>
          </cell>
          <cell r="LG58">
            <v>1</v>
          </cell>
          <cell r="LH58">
            <v>33000</v>
          </cell>
          <cell r="LI58">
            <v>33000</v>
          </cell>
        </row>
        <row r="59">
          <cell r="KM59">
            <v>5.4</v>
          </cell>
          <cell r="KN59" t="str">
            <v>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v>
          </cell>
          <cell r="KO59" t="str">
            <v>m</v>
          </cell>
          <cell r="KP59">
            <v>1</v>
          </cell>
          <cell r="KQ59">
            <v>7230.59</v>
          </cell>
          <cell r="KR59">
            <v>7230.59</v>
          </cell>
          <cell r="LD59">
            <v>5.4</v>
          </cell>
          <cell r="LE59" t="str">
            <v>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v>
          </cell>
          <cell r="LF59" t="str">
            <v>m</v>
          </cell>
          <cell r="LG59">
            <v>1</v>
          </cell>
          <cell r="LH59">
            <v>5000</v>
          </cell>
          <cell r="LI59">
            <v>5000</v>
          </cell>
        </row>
        <row r="60">
          <cell r="KM60">
            <v>5.5</v>
          </cell>
          <cell r="KN60" t="str">
            <v>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KO60" t="str">
            <v>m2</v>
          </cell>
          <cell r="KP60">
            <v>1</v>
          </cell>
          <cell r="KQ60">
            <v>12423</v>
          </cell>
          <cell r="KR60">
            <v>12423</v>
          </cell>
          <cell r="LD60">
            <v>5.5</v>
          </cell>
          <cell r="LE60" t="str">
            <v>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LF60" t="str">
            <v>m2</v>
          </cell>
          <cell r="LG60">
            <v>1</v>
          </cell>
          <cell r="LH60">
            <v>23000</v>
          </cell>
          <cell r="LI60">
            <v>23000</v>
          </cell>
        </row>
        <row r="61">
          <cell r="KM61" t="str">
            <v>6</v>
          </cell>
          <cell r="KN61" t="str">
            <v>PINTURA PARA PISOS Y TECHOS EN MADERA</v>
          </cell>
          <cell r="KO61">
            <v>0</v>
          </cell>
          <cell r="KP61">
            <v>0</v>
          </cell>
          <cell r="KQ61">
            <v>0</v>
          </cell>
          <cell r="KR61">
            <v>0</v>
          </cell>
          <cell r="LD61" t="str">
            <v>6</v>
          </cell>
          <cell r="LE61" t="str">
            <v>PINTURA PARA PISOS Y TECHOS EN MADERA</v>
          </cell>
          <cell r="LF61">
            <v>0</v>
          </cell>
          <cell r="LG61">
            <v>0</v>
          </cell>
          <cell r="LH61">
            <v>0</v>
          </cell>
          <cell r="LI61">
            <v>0</v>
          </cell>
        </row>
        <row r="62">
          <cell r="KM62" t="str">
            <v>6,1</v>
          </cell>
          <cell r="KN62" t="str">
            <v>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KO62" t="str">
            <v>m2</v>
          </cell>
          <cell r="KP62">
            <v>1</v>
          </cell>
          <cell r="KQ62">
            <v>14220.8</v>
          </cell>
          <cell r="KR62">
            <v>14220.8</v>
          </cell>
          <cell r="LD62" t="str">
            <v>6,1</v>
          </cell>
          <cell r="LE62" t="str">
            <v>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LF62" t="str">
            <v>m2</v>
          </cell>
          <cell r="LG62">
            <v>1</v>
          </cell>
          <cell r="LH62">
            <v>40000</v>
          </cell>
          <cell r="LI62">
            <v>40000</v>
          </cell>
        </row>
        <row r="63">
          <cell r="KM63" t="str">
            <v>6,2</v>
          </cell>
          <cell r="KN63" t="str">
            <v>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KO63" t="str">
            <v>m2</v>
          </cell>
          <cell r="KP63">
            <v>1</v>
          </cell>
          <cell r="KQ63">
            <v>9615.2000000000007</v>
          </cell>
          <cell r="KR63">
            <v>9615.2000000000007</v>
          </cell>
          <cell r="LD63" t="str">
            <v>6,2</v>
          </cell>
          <cell r="LE63" t="str">
            <v>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LF63" t="str">
            <v>m2</v>
          </cell>
          <cell r="LG63">
            <v>1</v>
          </cell>
          <cell r="LH63">
            <v>32000</v>
          </cell>
          <cell r="LI63">
            <v>32000</v>
          </cell>
        </row>
        <row r="64">
          <cell r="KM64" t="str">
            <v>7</v>
          </cell>
          <cell r="KN64" t="str">
            <v>OBRAS VARIAS</v>
          </cell>
          <cell r="KO64">
            <v>0</v>
          </cell>
          <cell r="KP64">
            <v>0</v>
          </cell>
          <cell r="KQ64">
            <v>0</v>
          </cell>
          <cell r="KR64">
            <v>0</v>
          </cell>
          <cell r="LD64" t="str">
            <v>7</v>
          </cell>
          <cell r="LE64" t="str">
            <v>OBRAS VARIAS</v>
          </cell>
          <cell r="LF64">
            <v>0</v>
          </cell>
          <cell r="LG64">
            <v>0</v>
          </cell>
          <cell r="LH64">
            <v>0</v>
          </cell>
          <cell r="LI64">
            <v>0</v>
          </cell>
        </row>
        <row r="65">
          <cell r="KM65">
            <v>7.1</v>
          </cell>
          <cell r="KN65" t="str">
            <v>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ell>
          <cell r="KO65" t="str">
            <v>m2</v>
          </cell>
          <cell r="KP65">
            <v>1</v>
          </cell>
          <cell r="KQ65">
            <v>9090</v>
          </cell>
          <cell r="KR65">
            <v>9090</v>
          </cell>
          <cell r="LD65">
            <v>7.1</v>
          </cell>
          <cell r="LE65" t="str">
            <v>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ell>
          <cell r="LF65" t="str">
            <v>m2</v>
          </cell>
          <cell r="LG65">
            <v>1</v>
          </cell>
          <cell r="LH65">
            <v>18000</v>
          </cell>
          <cell r="LI65">
            <v>18000</v>
          </cell>
        </row>
        <row r="66">
          <cell r="KM66">
            <v>7.2</v>
          </cell>
          <cell r="KN66" t="str">
            <v>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v>
          </cell>
          <cell r="KO66" t="str">
            <v>m3</v>
          </cell>
          <cell r="KP66">
            <v>1</v>
          </cell>
          <cell r="KQ66">
            <v>16968</v>
          </cell>
          <cell r="KR66">
            <v>16968</v>
          </cell>
          <cell r="LD66">
            <v>7.2</v>
          </cell>
          <cell r="LE66" t="str">
            <v>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v>
          </cell>
          <cell r="LF66" t="str">
            <v>m3</v>
          </cell>
          <cell r="LG66">
            <v>1</v>
          </cell>
          <cell r="LH66">
            <v>14000</v>
          </cell>
          <cell r="LI66">
            <v>14000</v>
          </cell>
        </row>
        <row r="67">
          <cell r="KM67">
            <v>7.3</v>
          </cell>
          <cell r="KN67" t="str">
            <v>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v>
          </cell>
          <cell r="KO67" t="str">
            <v>m2</v>
          </cell>
          <cell r="KP67">
            <v>1</v>
          </cell>
          <cell r="KQ67">
            <v>7979</v>
          </cell>
          <cell r="KR67">
            <v>7979</v>
          </cell>
          <cell r="LD67">
            <v>7.3</v>
          </cell>
          <cell r="LE67" t="str">
            <v>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v>
          </cell>
          <cell r="LF67" t="str">
            <v>m2</v>
          </cell>
          <cell r="LG67">
            <v>1</v>
          </cell>
          <cell r="LH67">
            <v>35000</v>
          </cell>
          <cell r="LI67">
            <v>35000</v>
          </cell>
        </row>
        <row r="68">
          <cell r="KM68">
            <v>7.4</v>
          </cell>
          <cell r="KN68" t="str">
            <v>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v>
          </cell>
          <cell r="KO68" t="str">
            <v>m2</v>
          </cell>
          <cell r="KP68">
            <v>1</v>
          </cell>
          <cell r="KQ68">
            <v>6565</v>
          </cell>
          <cell r="KR68">
            <v>6565</v>
          </cell>
          <cell r="LD68">
            <v>7.4</v>
          </cell>
          <cell r="LE68" t="str">
            <v>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v>
          </cell>
          <cell r="LF68" t="str">
            <v>m2</v>
          </cell>
          <cell r="LG68">
            <v>1</v>
          </cell>
          <cell r="LH68">
            <v>8000</v>
          </cell>
          <cell r="LI68">
            <v>8000</v>
          </cell>
        </row>
        <row r="69">
          <cell r="KM69">
            <v>7.5</v>
          </cell>
          <cell r="KN69" t="str">
            <v>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69" t="str">
            <v>día</v>
          </cell>
          <cell r="KP69">
            <v>1</v>
          </cell>
          <cell r="KQ69">
            <v>31108</v>
          </cell>
          <cell r="KR69">
            <v>31108</v>
          </cell>
          <cell r="LD69">
            <v>7.5</v>
          </cell>
          <cell r="LE69" t="str">
            <v>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69" t="str">
            <v>día</v>
          </cell>
          <cell r="LG69">
            <v>1</v>
          </cell>
          <cell r="LH69">
            <v>15000</v>
          </cell>
          <cell r="LI69">
            <v>15000</v>
          </cell>
        </row>
        <row r="70">
          <cell r="KM70">
            <v>7.6</v>
          </cell>
          <cell r="KN70" t="str">
            <v>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0" t="str">
            <v>día</v>
          </cell>
          <cell r="KP70">
            <v>1</v>
          </cell>
          <cell r="KQ70">
            <v>70000</v>
          </cell>
          <cell r="KR70">
            <v>70000</v>
          </cell>
          <cell r="LD70">
            <v>7.6</v>
          </cell>
          <cell r="LE70" t="str">
            <v>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0" t="str">
            <v>día</v>
          </cell>
          <cell r="LG70">
            <v>1</v>
          </cell>
          <cell r="LH70">
            <v>30000</v>
          </cell>
          <cell r="LI70">
            <v>30000</v>
          </cell>
        </row>
        <row r="71">
          <cell r="KM71">
            <v>7.7</v>
          </cell>
          <cell r="KN71" t="str">
            <v>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1" t="str">
            <v>día</v>
          </cell>
          <cell r="KP71">
            <v>1</v>
          </cell>
          <cell r="KQ71">
            <v>68680</v>
          </cell>
          <cell r="KR71">
            <v>68680</v>
          </cell>
          <cell r="LD71">
            <v>7.7</v>
          </cell>
          <cell r="LE71" t="str">
            <v>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1" t="str">
            <v>día</v>
          </cell>
          <cell r="LG71">
            <v>1</v>
          </cell>
          <cell r="LH71">
            <v>60000</v>
          </cell>
          <cell r="LI71">
            <v>60000</v>
          </cell>
        </row>
        <row r="72">
          <cell r="KM72">
            <v>7.8</v>
          </cell>
          <cell r="KN72" t="str">
            <v>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2" t="str">
            <v>día</v>
          </cell>
          <cell r="KP72">
            <v>1</v>
          </cell>
          <cell r="KQ72">
            <v>99485</v>
          </cell>
          <cell r="KR72">
            <v>99485</v>
          </cell>
          <cell r="LD72">
            <v>7.8</v>
          </cell>
          <cell r="LE72" t="str">
            <v>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2" t="str">
            <v>día</v>
          </cell>
          <cell r="LG72">
            <v>1</v>
          </cell>
          <cell r="LH72">
            <v>75000</v>
          </cell>
          <cell r="LI72">
            <v>75000</v>
          </cell>
        </row>
        <row r="73">
          <cell r="KM73">
            <v>7.9</v>
          </cell>
          <cell r="KN73" t="str">
            <v>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3" t="str">
            <v>día</v>
          </cell>
          <cell r="KP73">
            <v>1</v>
          </cell>
          <cell r="KQ73">
            <v>11110</v>
          </cell>
          <cell r="KR73">
            <v>11110</v>
          </cell>
          <cell r="LD73">
            <v>7.9</v>
          </cell>
          <cell r="LE73" t="str">
            <v>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3" t="str">
            <v>día</v>
          </cell>
          <cell r="LG73">
            <v>1</v>
          </cell>
          <cell r="LH73">
            <v>90000</v>
          </cell>
          <cell r="LI73">
            <v>90000</v>
          </cell>
        </row>
        <row r="74">
          <cell r="KM74">
            <v>7.1</v>
          </cell>
          <cell r="KN74" t="str">
            <v>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4" t="str">
            <v>día</v>
          </cell>
          <cell r="KP74">
            <v>1</v>
          </cell>
          <cell r="KQ74">
            <v>160000</v>
          </cell>
          <cell r="KR74">
            <v>160000</v>
          </cell>
          <cell r="LD74">
            <v>7.1</v>
          </cell>
          <cell r="LE74" t="str">
            <v>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4" t="str">
            <v>día</v>
          </cell>
          <cell r="LG74">
            <v>1</v>
          </cell>
          <cell r="LH74">
            <v>110000</v>
          </cell>
          <cell r="LI74">
            <v>110000</v>
          </cell>
        </row>
        <row r="75">
          <cell r="KM75">
            <v>7.11</v>
          </cell>
          <cell r="KN75" t="str">
            <v>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5" t="str">
            <v>día</v>
          </cell>
          <cell r="KP75">
            <v>1</v>
          </cell>
          <cell r="KQ75">
            <v>190000</v>
          </cell>
          <cell r="KR75">
            <v>190000</v>
          </cell>
          <cell r="LD75">
            <v>7.11</v>
          </cell>
          <cell r="LE75" t="str">
            <v>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5" t="str">
            <v>día</v>
          </cell>
          <cell r="LG75">
            <v>1</v>
          </cell>
          <cell r="LH75">
            <v>125000</v>
          </cell>
          <cell r="LI75">
            <v>125000</v>
          </cell>
        </row>
        <row r="76">
          <cell r="KM76">
            <v>7.12</v>
          </cell>
          <cell r="KN76" t="str">
            <v>Aplicación de BARNIZ PARA MADERA EN MUROS Y PISOS TIPO BARNEX. Incluye suministro de mano de obra, catalizador, masillado, lijado, tintilla, color que indique la Interventoría, sellado de poros y todo lo necesario para su correcto acabado que indique la Interventoría</v>
          </cell>
          <cell r="KO76" t="str">
            <v>m2</v>
          </cell>
          <cell r="KP76">
            <v>1</v>
          </cell>
          <cell r="KQ76">
            <v>8080</v>
          </cell>
          <cell r="KR76">
            <v>8080</v>
          </cell>
          <cell r="LD76">
            <v>7.12</v>
          </cell>
          <cell r="LE76" t="str">
            <v>Aplicación de BARNIZ PARA MADERA EN MUROS Y PISOS TIPO BARNEX. Incluye suministro de mano de obra, catalizador, masillado, lijado, tintilla, color que indique la Interventoría, sellado de poros y todo lo necesario para su correcto acabado que indique la Interventoría</v>
          </cell>
          <cell r="LF76" t="str">
            <v>m2</v>
          </cell>
          <cell r="LG76">
            <v>1</v>
          </cell>
          <cell r="LH76">
            <v>28000</v>
          </cell>
          <cell r="LI76">
            <v>28000</v>
          </cell>
        </row>
      </sheetData>
      <sheetData sheetId="7"/>
      <sheetData sheetId="8"/>
      <sheetData sheetId="9"/>
      <sheetData sheetId="10">
        <row r="11">
          <cell r="I11">
            <v>120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election activeCell="B25" sqref="B25"/>
    </sheetView>
  </sheetViews>
  <sheetFormatPr baseColWidth="10" defaultColWidth="11.5" defaultRowHeight="15"/>
  <cols>
    <col min="1" max="1" width="5.83203125" style="1" bestFit="1" customWidth="1"/>
    <col min="2" max="2" width="83.83203125" style="1" customWidth="1"/>
    <col min="3" max="16384" width="11.5" style="1"/>
  </cols>
  <sheetData>
    <row r="1" spans="1:2" ht="37.5" customHeight="1">
      <c r="A1" s="506" t="s">
        <v>0</v>
      </c>
      <c r="B1" s="507"/>
    </row>
    <row r="2" spans="1:2" ht="51" customHeight="1">
      <c r="A2" s="508" t="s">
        <v>162</v>
      </c>
      <c r="B2" s="509"/>
    </row>
    <row r="3" spans="1:2" ht="18">
      <c r="A3" s="508" t="s">
        <v>1</v>
      </c>
      <c r="B3" s="509"/>
    </row>
    <row r="4" spans="1:2" ht="133.5" customHeight="1">
      <c r="A4" s="510" t="s">
        <v>161</v>
      </c>
      <c r="B4" s="511"/>
    </row>
    <row r="5" spans="1:2" ht="27" customHeight="1">
      <c r="A5" s="512"/>
      <c r="B5" s="513"/>
    </row>
    <row r="6" spans="1:2" ht="16">
      <c r="A6" s="2"/>
      <c r="B6" s="2"/>
    </row>
    <row r="7" spans="1:2" ht="29.25" customHeight="1">
      <c r="A7" s="3" t="s">
        <v>2</v>
      </c>
      <c r="B7" s="4" t="s">
        <v>3</v>
      </c>
    </row>
    <row r="8" spans="1:2" ht="22.5" customHeight="1">
      <c r="A8" s="5">
        <v>1</v>
      </c>
      <c r="B8" s="201" t="s">
        <v>163</v>
      </c>
    </row>
    <row r="9" spans="1:2" ht="22.5" customHeight="1">
      <c r="A9" s="5">
        <v>2</v>
      </c>
      <c r="B9" s="201" t="s">
        <v>164</v>
      </c>
    </row>
    <row r="10" spans="1:2" ht="22.5" customHeight="1">
      <c r="A10" s="5">
        <v>3</v>
      </c>
      <c r="B10" s="201" t="s">
        <v>320</v>
      </c>
    </row>
    <row r="11" spans="1:2" ht="22.5" customHeight="1">
      <c r="A11" s="5">
        <v>4</v>
      </c>
      <c r="B11" s="201" t="s">
        <v>321</v>
      </c>
    </row>
    <row r="12" spans="1:2" ht="22.5" hidden="1" customHeight="1">
      <c r="A12" s="5">
        <v>5</v>
      </c>
      <c r="B12" s="201"/>
    </row>
    <row r="13" spans="1:2" ht="22.5" hidden="1" customHeight="1">
      <c r="A13" s="5">
        <v>6</v>
      </c>
      <c r="B13" s="201"/>
    </row>
    <row r="14" spans="1:2" ht="22.5" hidden="1" customHeight="1">
      <c r="A14" s="5">
        <v>7</v>
      </c>
      <c r="B14" s="201"/>
    </row>
    <row r="15" spans="1:2" ht="22.5" hidden="1" customHeight="1">
      <c r="A15" s="5">
        <v>8</v>
      </c>
      <c r="B15" s="201"/>
    </row>
    <row r="16" spans="1:2" ht="22.5" hidden="1" customHeight="1">
      <c r="A16" s="5">
        <v>9</v>
      </c>
      <c r="B16" s="201"/>
    </row>
    <row r="17" spans="1:2" ht="22.5" hidden="1" customHeight="1">
      <c r="A17" s="5">
        <v>10</v>
      </c>
      <c r="B17" s="201"/>
    </row>
    <row r="18" spans="1:2" ht="22.5" hidden="1" customHeight="1">
      <c r="A18" s="5">
        <v>11</v>
      </c>
      <c r="B18" s="201"/>
    </row>
    <row r="19" spans="1:2" ht="22.5" hidden="1" customHeight="1">
      <c r="A19" s="5">
        <v>12</v>
      </c>
      <c r="B19" s="201"/>
    </row>
    <row r="20" spans="1:2" ht="22.5" hidden="1" customHeight="1">
      <c r="A20" s="5">
        <v>13</v>
      </c>
      <c r="B20" s="201"/>
    </row>
    <row r="21" spans="1:2" ht="22.5" hidden="1" customHeight="1">
      <c r="A21" s="5">
        <v>14</v>
      </c>
      <c r="B21" s="201"/>
    </row>
    <row r="22" spans="1:2" ht="22.5" hidden="1" customHeight="1">
      <c r="A22" s="5">
        <v>15</v>
      </c>
      <c r="B22" s="159"/>
    </row>
    <row r="23" spans="1:2" ht="22.5" hidden="1" customHeight="1">
      <c r="A23" s="5">
        <v>16</v>
      </c>
      <c r="B23" s="158"/>
    </row>
    <row r="24" spans="1:2" ht="22.5" hidden="1" customHeight="1">
      <c r="A24" s="5">
        <v>17</v>
      </c>
      <c r="B24" s="158"/>
    </row>
    <row r="25" spans="1:2" ht="22.5" customHeight="1">
      <c r="A25" s="6"/>
      <c r="B25" s="7"/>
    </row>
    <row r="26" spans="1:2" ht="12.75" customHeight="1">
      <c r="A26" s="505" t="s">
        <v>4</v>
      </c>
      <c r="B26" s="505"/>
    </row>
    <row r="27" spans="1:2" ht="70.5" customHeight="1">
      <c r="A27" s="505" t="s">
        <v>160</v>
      </c>
      <c r="B27" s="505"/>
    </row>
  </sheetData>
  <sheetProtection algorithmName="SHA-512" hashValue="YLpVNjEJVQ2e8+oD9OJqasxYjVKiKDdpDq/aSkRCK6ami7l0GDbtXJPyMhoWuNiTdsGEH+CsFbshopK6NdeXmw==" saltValue="BlpaMSQzb85eoksGKFAn6g==" spinCount="100000" sheet="1" objects="1" scenarios="1"/>
  <mergeCells count="7">
    <mergeCell ref="A27:B27"/>
    <mergeCell ref="A1:B1"/>
    <mergeCell ref="A2:B2"/>
    <mergeCell ref="A3:B3"/>
    <mergeCell ref="A4:B4"/>
    <mergeCell ref="A5:B5"/>
    <mergeCell ref="A26:B26"/>
  </mergeCells>
  <pageMargins left="0.7" right="0.7" top="0.75" bottom="0.75" header="0.3" footer="0.3"/>
  <pageSetup paperSize="9" orientation="portrait" horizontalDpi="4294967292"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13"/>
  <sheetViews>
    <sheetView zoomScale="118" workbookViewId="0">
      <selection activeCell="G16" sqref="G16"/>
    </sheetView>
  </sheetViews>
  <sheetFormatPr baseColWidth="10" defaultRowHeight="15"/>
  <cols>
    <col min="2" max="2" width="7.83203125" bestFit="1" customWidth="1"/>
    <col min="3" max="3" width="26.33203125" customWidth="1"/>
    <col min="4" max="4" width="11.1640625" bestFit="1" customWidth="1"/>
    <col min="5" max="5" width="19" customWidth="1"/>
    <col min="6" max="6" width="18.83203125" customWidth="1"/>
    <col min="7" max="7" width="21.1640625" customWidth="1"/>
  </cols>
  <sheetData>
    <row r="1" spans="2:7" ht="16" thickBot="1"/>
    <row r="2" spans="2:7" ht="15" customHeight="1">
      <c r="B2" s="721" t="s">
        <v>196</v>
      </c>
      <c r="C2" s="722"/>
      <c r="D2" s="722"/>
      <c r="E2" s="722"/>
      <c r="F2" s="722"/>
      <c r="G2" s="723"/>
    </row>
    <row r="3" spans="2:7" ht="18" customHeight="1">
      <c r="B3" s="724"/>
      <c r="C3" s="725"/>
      <c r="D3" s="725"/>
      <c r="E3" s="725"/>
      <c r="F3" s="725"/>
      <c r="G3" s="726"/>
    </row>
    <row r="4" spans="2:7" ht="23.25" customHeight="1" thickBot="1">
      <c r="B4" s="727"/>
      <c r="C4" s="728"/>
      <c r="D4" s="728"/>
      <c r="E4" s="728"/>
      <c r="F4" s="728"/>
      <c r="G4" s="729"/>
    </row>
    <row r="6" spans="2:7" ht="16" thickBot="1"/>
    <row r="7" spans="2:7" ht="17" thickBot="1">
      <c r="B7" s="730" t="s">
        <v>2</v>
      </c>
      <c r="C7" s="733" t="s">
        <v>49</v>
      </c>
      <c r="D7" s="736" t="s">
        <v>195</v>
      </c>
      <c r="E7" s="737"/>
      <c r="F7" s="737"/>
      <c r="G7" s="739"/>
    </row>
    <row r="8" spans="2:7" ht="25">
      <c r="B8" s="731"/>
      <c r="C8" s="734"/>
      <c r="D8" s="308" t="s">
        <v>151</v>
      </c>
      <c r="E8" s="309" t="s">
        <v>198</v>
      </c>
      <c r="F8" s="310" t="s">
        <v>199</v>
      </c>
      <c r="G8" s="740" t="s">
        <v>200</v>
      </c>
    </row>
    <row r="9" spans="2:7" ht="16" thickBot="1">
      <c r="B9" s="732"/>
      <c r="C9" s="735"/>
      <c r="D9" s="311" t="s">
        <v>197</v>
      </c>
      <c r="E9" s="312" t="s">
        <v>197</v>
      </c>
      <c r="F9" s="313" t="s">
        <v>197</v>
      </c>
      <c r="G9" s="741"/>
    </row>
    <row r="10" spans="2:7" ht="16" thickBot="1">
      <c r="B10" s="262">
        <v>1</v>
      </c>
      <c r="C10" s="259" t="s">
        <v>163</v>
      </c>
      <c r="D10" s="306"/>
      <c r="E10" s="306"/>
      <c r="F10" s="307" t="str">
        <f>IFERROR((D10/E10)," ")</f>
        <v xml:space="preserve"> </v>
      </c>
      <c r="G10" s="251"/>
    </row>
    <row r="11" spans="2:7" ht="31" thickBot="1">
      <c r="B11" s="263">
        <v>2</v>
      </c>
      <c r="C11" s="260" t="s">
        <v>164</v>
      </c>
      <c r="D11" s="184"/>
      <c r="E11" s="184"/>
      <c r="F11" s="54" t="str">
        <f t="shared" ref="F11" si="0">IFERROR((D11/E11)," ")</f>
        <v xml:space="preserve"> </v>
      </c>
      <c r="G11" s="251"/>
    </row>
    <row r="12" spans="2:7" ht="16" thickBot="1">
      <c r="B12" s="263">
        <v>3</v>
      </c>
      <c r="C12" s="260" t="s">
        <v>165</v>
      </c>
      <c r="D12" s="184" t="s">
        <v>155</v>
      </c>
      <c r="E12" s="184" t="s">
        <v>296</v>
      </c>
      <c r="F12" s="54" t="s">
        <v>296</v>
      </c>
      <c r="G12" s="251" t="s">
        <v>290</v>
      </c>
    </row>
    <row r="13" spans="2:7">
      <c r="B13" s="263">
        <v>4</v>
      </c>
      <c r="C13" s="260" t="s">
        <v>166</v>
      </c>
      <c r="D13" s="184" t="s">
        <v>155</v>
      </c>
      <c r="E13" s="184" t="s">
        <v>296</v>
      </c>
      <c r="F13" s="54" t="s">
        <v>296</v>
      </c>
      <c r="G13" s="251" t="s">
        <v>290</v>
      </c>
    </row>
  </sheetData>
  <sheetProtection algorithmName="SHA-512" hashValue="n9jWLz3GqsZhwbRX7iV1QAVwKStvgHrJwQT2CZ9C3jaCQcVVhOpnDig/t/QaQB6TSEapHFxWBQ8eDA907xIXkQ==" saltValue="S2yub4SvjBkj0VJV1vr5IA==" spinCount="100000" sheet="1" objects="1" scenarios="1"/>
  <mergeCells count="5">
    <mergeCell ref="B7:B9"/>
    <mergeCell ref="C7:C9"/>
    <mergeCell ref="D7:G7"/>
    <mergeCell ref="B2:G4"/>
    <mergeCell ref="G8:G9"/>
  </mergeCells>
  <conditionalFormatting sqref="G10:G13">
    <cfRule type="cellIs" dxfId="15" priority="1" operator="equal">
      <formula>"NO CUMPLE"</formula>
    </cfRule>
  </conditionalFormatting>
  <dataValidations count="1">
    <dataValidation type="list" allowBlank="1" showInputMessage="1" showErrorMessage="1" sqref="G10:G13" xr:uid="{00000000-0002-0000-0900-000000000000}">
      <formula1>"CUMPLE, NO CUMPLE"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140"/>
  <sheetViews>
    <sheetView zoomScale="85" zoomScaleNormal="85" workbookViewId="0">
      <selection activeCell="AL1" sqref="AL1:AO1048576"/>
    </sheetView>
  </sheetViews>
  <sheetFormatPr baseColWidth="10" defaultColWidth="11.5" defaultRowHeight="15" outlineLevelRow="1"/>
  <cols>
    <col min="1" max="1" width="9.83203125" style="70" customWidth="1"/>
    <col min="2" max="2" width="21.33203125" style="70" customWidth="1"/>
    <col min="3" max="3" width="19.6640625" style="70" customWidth="1"/>
    <col min="4" max="4" width="9.33203125" style="70" customWidth="1"/>
    <col min="5" max="5" width="17" style="70" bestFit="1" customWidth="1"/>
    <col min="6" max="6" width="6.6640625" style="70" customWidth="1"/>
    <col min="7" max="7" width="16.83203125" style="70" customWidth="1"/>
    <col min="8" max="8" width="6.6640625" style="70" customWidth="1"/>
    <col min="9" max="9" width="20.33203125" style="70" customWidth="1"/>
    <col min="10" max="10" width="6.6640625" style="70" customWidth="1"/>
    <col min="11" max="11" width="18.33203125" style="70" hidden="1" customWidth="1"/>
    <col min="12" max="12" width="6.6640625" style="70" hidden="1" customWidth="1"/>
    <col min="13" max="13" width="20.5" style="70" hidden="1" customWidth="1"/>
    <col min="14" max="14" width="6.6640625" style="70" hidden="1" customWidth="1"/>
    <col min="15" max="15" width="16.5" style="70" hidden="1" customWidth="1"/>
    <col min="16" max="16" width="6.6640625" style="70" hidden="1" customWidth="1"/>
    <col min="17" max="17" width="17" style="70" hidden="1" customWidth="1"/>
    <col min="18" max="18" width="6.6640625" style="70" hidden="1" customWidth="1"/>
    <col min="19" max="19" width="17" style="70" hidden="1" customWidth="1"/>
    <col min="20" max="20" width="6.6640625" style="70" hidden="1" customWidth="1"/>
    <col min="21" max="21" width="17" style="70" hidden="1" customWidth="1"/>
    <col min="22" max="22" width="6.6640625" style="70" hidden="1" customWidth="1"/>
    <col min="23" max="23" width="17" style="70" hidden="1" customWidth="1"/>
    <col min="24" max="24" width="6.6640625" style="70" hidden="1" customWidth="1"/>
    <col min="25" max="25" width="17" style="70" hidden="1" customWidth="1"/>
    <col min="26" max="26" width="6.6640625" style="70" hidden="1" customWidth="1"/>
    <col min="27" max="27" width="14.83203125" style="70" hidden="1" customWidth="1"/>
    <col min="28" max="28" width="6.6640625" style="70" hidden="1" customWidth="1"/>
    <col min="29" max="29" width="17" style="70" hidden="1" customWidth="1"/>
    <col min="30" max="30" width="6.6640625" style="70" hidden="1" customWidth="1"/>
    <col min="31" max="31" width="14.83203125" style="70" hidden="1" customWidth="1"/>
    <col min="32" max="32" width="6.6640625" style="70" hidden="1" customWidth="1"/>
    <col min="33" max="33" width="14.83203125" style="70" hidden="1" customWidth="1"/>
    <col min="34" max="34" width="6.6640625" style="70" hidden="1" customWidth="1"/>
    <col min="35" max="35" width="14.83203125" style="70" hidden="1" customWidth="1"/>
    <col min="36" max="36" width="6.6640625" style="70" hidden="1" customWidth="1"/>
    <col min="37" max="37" width="4.6640625" style="70" hidden="1" customWidth="1"/>
    <col min="38" max="38" width="27.5" style="70" hidden="1" customWidth="1"/>
    <col min="39" max="40" width="13.5" style="70" hidden="1" customWidth="1"/>
    <col min="41" max="41" width="16.83203125" style="70" hidden="1" customWidth="1"/>
    <col min="42" max="16384" width="11.5" style="70"/>
  </cols>
  <sheetData>
    <row r="1" spans="1:41" s="141" customFormat="1" ht="24.75" customHeight="1">
      <c r="A1" s="848" t="s">
        <v>116</v>
      </c>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140"/>
      <c r="AB1" s="140"/>
      <c r="AC1" s="140"/>
      <c r="AD1" s="140"/>
      <c r="AE1" s="140"/>
      <c r="AF1" s="140"/>
      <c r="AG1" s="140"/>
      <c r="AH1" s="140"/>
      <c r="AI1" s="140"/>
      <c r="AJ1" s="140"/>
    </row>
    <row r="3" spans="1:41">
      <c r="A3" s="850" t="s">
        <v>117</v>
      </c>
      <c r="B3" s="850"/>
      <c r="E3" s="851" t="s">
        <v>118</v>
      </c>
      <c r="F3" s="851"/>
      <c r="G3" s="851"/>
      <c r="H3" s="851"/>
      <c r="K3" s="852" t="s">
        <v>119</v>
      </c>
      <c r="L3" s="852"/>
      <c r="M3" s="852"/>
    </row>
    <row r="4" spans="1:41" s="142" customFormat="1" ht="30.75" customHeight="1">
      <c r="A4" s="156" t="s">
        <v>120</v>
      </c>
      <c r="B4" s="191">
        <v>6</v>
      </c>
      <c r="E4" s="850" t="s">
        <v>121</v>
      </c>
      <c r="F4" s="850"/>
      <c r="G4" s="850" t="s">
        <v>122</v>
      </c>
      <c r="H4" s="850"/>
      <c r="K4" s="853" t="str">
        <f>+'10. EVALUACIÓN'!I8</f>
        <v>Media aritmética</v>
      </c>
      <c r="L4" s="854"/>
      <c r="M4" s="855"/>
    </row>
    <row r="5" spans="1:41" ht="30.75" customHeight="1">
      <c r="A5" s="157" t="s">
        <v>123</v>
      </c>
      <c r="B5" s="191">
        <v>4</v>
      </c>
      <c r="E5" s="859">
        <v>140</v>
      </c>
      <c r="F5" s="859"/>
      <c r="G5" s="859">
        <v>60</v>
      </c>
      <c r="H5" s="859"/>
      <c r="K5" s="856"/>
      <c r="L5" s="857"/>
      <c r="M5" s="858"/>
    </row>
    <row r="6" spans="1:41">
      <c r="A6" s="121"/>
      <c r="B6" s="121"/>
      <c r="D6" s="143"/>
    </row>
    <row r="7" spans="1:41" s="144" customFormat="1" ht="21" customHeight="1">
      <c r="A7" s="860" t="s">
        <v>93</v>
      </c>
      <c r="B7" s="156" t="s">
        <v>124</v>
      </c>
      <c r="C7" s="861">
        <v>1</v>
      </c>
      <c r="D7" s="862"/>
      <c r="E7" s="845">
        <v>2</v>
      </c>
      <c r="F7" s="845"/>
      <c r="G7" s="845">
        <v>3</v>
      </c>
      <c r="H7" s="845"/>
      <c r="I7" s="845">
        <v>4</v>
      </c>
      <c r="J7" s="845"/>
      <c r="K7" s="845">
        <v>5</v>
      </c>
      <c r="L7" s="845"/>
      <c r="M7" s="845">
        <v>6</v>
      </c>
      <c r="N7" s="845"/>
      <c r="O7" s="845">
        <v>7</v>
      </c>
      <c r="P7" s="845"/>
      <c r="Q7" s="845">
        <v>8</v>
      </c>
      <c r="R7" s="845"/>
      <c r="S7" s="845">
        <v>9</v>
      </c>
      <c r="T7" s="845"/>
      <c r="U7" s="845">
        <v>10</v>
      </c>
      <c r="V7" s="845"/>
      <c r="W7" s="845">
        <v>11</v>
      </c>
      <c r="X7" s="845"/>
      <c r="Y7" s="845">
        <v>12</v>
      </c>
      <c r="Z7" s="845"/>
      <c r="AA7" s="845">
        <v>13</v>
      </c>
      <c r="AB7" s="845"/>
      <c r="AC7" s="845">
        <v>14</v>
      </c>
      <c r="AD7" s="845"/>
      <c r="AE7" s="845">
        <v>15</v>
      </c>
      <c r="AF7" s="845"/>
      <c r="AG7" s="845">
        <v>16</v>
      </c>
      <c r="AH7" s="845"/>
      <c r="AI7" s="845">
        <v>17</v>
      </c>
      <c r="AJ7" s="845"/>
    </row>
    <row r="8" spans="1:41" s="142" customFormat="1" ht="35.25" customHeight="1">
      <c r="A8" s="860"/>
      <c r="B8" s="145" t="s">
        <v>125</v>
      </c>
      <c r="C8" s="846" t="str">
        <f>IF(C7="","",IF(VLOOKUP(C7,EVALUACION,5,FALSE)="H","Habilitado","No habilitado"))</f>
        <v>No habilitado</v>
      </c>
      <c r="D8" s="847"/>
      <c r="E8" s="846" t="str">
        <f>IF(E7="","",IF(VLOOKUP(E7,EVALUACION,5,FALSE)="H","Habilitado","No habilitado"))</f>
        <v>No habilitado</v>
      </c>
      <c r="F8" s="847"/>
      <c r="G8" s="846" t="str">
        <f ca="1">IF(G7="","",IF(VLOOKUP(G7,EVALUACION,5,FALSE)="H","Habilitado","No habilitado"))</f>
        <v>No habilitado</v>
      </c>
      <c r="H8" s="847"/>
      <c r="I8" s="846" t="str">
        <f ca="1">IF(I7="","",IF(VLOOKUP(I7,EVALUACION,5,FALSE)="H","Habilitado","No habilitado"))</f>
        <v>No habilitado</v>
      </c>
      <c r="J8" s="847"/>
      <c r="K8" s="846" t="str">
        <f ca="1">IF(K7="","",IF(VLOOKUP(K7,EVALUACION,5,FALSE)="H","Habilitado","No habilitado"))</f>
        <v>No habilitado</v>
      </c>
      <c r="L8" s="847"/>
      <c r="M8" s="846" t="str">
        <f ca="1">IF(M7="","",IF(VLOOKUP(M7,EVALUACION,5,FALSE)="H","Habilitado","No habilitado"))</f>
        <v>No habilitado</v>
      </c>
      <c r="N8" s="847"/>
      <c r="O8" s="846" t="str">
        <f ca="1">IF(O7="","",IF(VLOOKUP(O7,EVALUACION,5,FALSE)="H","Habilitado","No habilitado"))</f>
        <v>No habilitado</v>
      </c>
      <c r="P8" s="847"/>
      <c r="Q8" s="846" t="str">
        <f ca="1">IF(Q7="","",IF(VLOOKUP(Q7,EVALUACION,5,FALSE)="H","Habilitado","No habilitado"))</f>
        <v>No habilitado</v>
      </c>
      <c r="R8" s="847"/>
      <c r="S8" s="846" t="str">
        <f ca="1">IF(S7="","",IF(VLOOKUP(S7,EVALUACION,5,FALSE)="H","Habilitado","No habilitado"))</f>
        <v>No habilitado</v>
      </c>
      <c r="T8" s="847"/>
      <c r="U8" s="846" t="str">
        <f ca="1">IF(U7="","",IF(VLOOKUP(U7,EVALUACION,5,FALSE)="H","Habilitado","No habilitado"))</f>
        <v>No habilitado</v>
      </c>
      <c r="V8" s="847"/>
      <c r="W8" s="846" t="str">
        <f ca="1">IF(W7="","",IF(VLOOKUP(W7,EVALUACION,5,FALSE)="H","Habilitado","No habilitado"))</f>
        <v>No habilitado</v>
      </c>
      <c r="X8" s="847"/>
      <c r="Y8" s="846" t="str">
        <f ca="1">IF(Y7="","",IF(VLOOKUP(Y7,EVALUACION,5,FALSE)="H","Habilitado","No habilitado"))</f>
        <v>No habilitado</v>
      </c>
      <c r="Z8" s="847"/>
      <c r="AA8" s="846" t="str">
        <f ca="1">IF(AA7="","",IF(VLOOKUP(AA7,EVALUACION,5,FALSE)="H","Habilitado","No habilitado"))</f>
        <v>No habilitado</v>
      </c>
      <c r="AB8" s="847"/>
      <c r="AC8" s="846" t="str">
        <f ca="1">IF(AC7="","",IF(VLOOKUP(AC7,EVALUACION,5,FALSE)="H","Habilitado","No habilitado"))</f>
        <v>No habilitado</v>
      </c>
      <c r="AD8" s="847"/>
      <c r="AE8" s="846" t="str">
        <f>IF(AE7="","",IF(VLOOKUP(AE7,EVALUACION,5,FALSE)="H","Habilitado","No habilitado"))</f>
        <v>No habilitado</v>
      </c>
      <c r="AF8" s="847"/>
      <c r="AG8" s="846" t="str">
        <f>IF(AG7="","",IF(VLOOKUP(AG7,EVALUACION,5,FALSE)="H","Habilitado","No habilitado"))</f>
        <v>No habilitado</v>
      </c>
      <c r="AH8" s="847"/>
      <c r="AI8" s="846" t="str">
        <f>IF(AI7="","",IF(VLOOKUP(AI7,EVALUACION,5,FALSE)="H","Habilitado","No habilitado"))</f>
        <v>No habilitado</v>
      </c>
      <c r="AJ8" s="847"/>
    </row>
    <row r="9" spans="1:41" s="142" customFormat="1" ht="23.25" customHeight="1">
      <c r="A9" s="860" t="s">
        <v>126</v>
      </c>
      <c r="B9" s="860"/>
      <c r="C9" s="863" t="str">
        <f>IF(C14="","",SUM(D14:D101))</f>
        <v/>
      </c>
      <c r="D9" s="864"/>
      <c r="E9" s="863" t="str">
        <f>IF(E14="","",SUM(F14:F101))</f>
        <v/>
      </c>
      <c r="F9" s="864"/>
      <c r="G9" s="863" t="str">
        <f t="shared" ref="G9" ca="1" si="0">IF(G14="","",SUM(H14:H101))</f>
        <v/>
      </c>
      <c r="H9" s="864"/>
      <c r="I9" s="863" t="str">
        <f t="shared" ref="I9" ca="1" si="1">IF(I14="","",SUM(J14:J101))</f>
        <v/>
      </c>
      <c r="J9" s="864"/>
      <c r="K9" s="863" t="str">
        <f t="shared" ref="K9" ca="1" si="2">IF(K14="","",SUM(L14:L101))</f>
        <v/>
      </c>
      <c r="L9" s="864"/>
      <c r="M9" s="863" t="str">
        <f t="shared" ref="M9" ca="1" si="3">IF(M14="","",SUM(N14:N101))</f>
        <v/>
      </c>
      <c r="N9" s="864"/>
      <c r="O9" s="863" t="str">
        <f t="shared" ref="O9" ca="1" si="4">IF(O14="","",SUM(P14:P101))</f>
        <v/>
      </c>
      <c r="P9" s="864"/>
      <c r="Q9" s="863" t="str">
        <f t="shared" ref="Q9" ca="1" si="5">IF(Q14="","",SUM(R14:R101))</f>
        <v/>
      </c>
      <c r="R9" s="864"/>
      <c r="S9" s="863" t="str">
        <f t="shared" ref="S9" ca="1" si="6">IF(S14="","",SUM(T14:T101))</f>
        <v/>
      </c>
      <c r="T9" s="864"/>
      <c r="U9" s="863" t="str">
        <f t="shared" ref="U9" ca="1" si="7">IF(U14="","",SUM(V14:V101))</f>
        <v/>
      </c>
      <c r="V9" s="864"/>
      <c r="W9" s="863" t="str">
        <f t="shared" ref="W9" ca="1" si="8">IF(W14="","",SUM(X14:X101))</f>
        <v/>
      </c>
      <c r="X9" s="864"/>
      <c r="Y9" s="863" t="str">
        <f t="shared" ref="Y9" ca="1" si="9">IF(Y14="","",SUM(Z14:Z101))</f>
        <v/>
      </c>
      <c r="Z9" s="864"/>
      <c r="AA9" s="863" t="str">
        <f t="shared" ref="AA9" ca="1" si="10">IF(AA14="","",SUM(AB14:AB101))</f>
        <v/>
      </c>
      <c r="AB9" s="864"/>
      <c r="AC9" s="863" t="str">
        <f t="shared" ref="AC9" ca="1" si="11">IF(AC14="","",SUM(AD14:AD101))</f>
        <v/>
      </c>
      <c r="AD9" s="864"/>
      <c r="AE9" s="863" t="str">
        <f>IF(AE77="","",SUM(AF77:AF101))</f>
        <v/>
      </c>
      <c r="AF9" s="864"/>
      <c r="AG9" s="863" t="str">
        <f>IF(AG77="","",SUM(AH77:AH101))</f>
        <v/>
      </c>
      <c r="AH9" s="864"/>
      <c r="AI9" s="863" t="str">
        <f>IF(AI77="","",SUM(AJ77:AJ101))</f>
        <v/>
      </c>
      <c r="AJ9" s="864"/>
    </row>
    <row r="10" spans="1:41" s="142" customFormat="1" ht="23.25" customHeight="1">
      <c r="A10" s="860" t="s">
        <v>127</v>
      </c>
      <c r="B10" s="860"/>
      <c r="C10" s="863" t="str">
        <f>IF(C104="","",SUM(D104:D140))</f>
        <v/>
      </c>
      <c r="D10" s="864"/>
      <c r="E10" s="863" t="str">
        <f>IF(E104="","",SUM(F104:F140))</f>
        <v/>
      </c>
      <c r="F10" s="864"/>
      <c r="G10" s="863" t="str">
        <f ca="1">IF(G104="","",SUM(H104:H140))</f>
        <v/>
      </c>
      <c r="H10" s="864"/>
      <c r="I10" s="863" t="str">
        <f t="shared" ref="I10" ca="1" si="12">IF(I104="","",SUM(J104:J140))</f>
        <v/>
      </c>
      <c r="J10" s="864"/>
      <c r="K10" s="863" t="str">
        <f t="shared" ref="K10" ca="1" si="13">IF(K104="","",SUM(L104:L140))</f>
        <v/>
      </c>
      <c r="L10" s="864"/>
      <c r="M10" s="863" t="str">
        <f t="shared" ref="M10" ca="1" si="14">IF(M104="","",SUM(N104:N140))</f>
        <v/>
      </c>
      <c r="N10" s="864"/>
      <c r="O10" s="863" t="str">
        <f t="shared" ref="O10" ca="1" si="15">IF(O104="","",SUM(P104:P140))</f>
        <v/>
      </c>
      <c r="P10" s="864"/>
      <c r="Q10" s="863" t="str">
        <f t="shared" ref="Q10" ca="1" si="16">IF(Q104="","",SUM(R104:R140))</f>
        <v/>
      </c>
      <c r="R10" s="864"/>
      <c r="S10" s="863" t="str">
        <f t="shared" ref="S10" ca="1" si="17">IF(S104="","",SUM(T104:T140))</f>
        <v/>
      </c>
      <c r="T10" s="864"/>
      <c r="U10" s="863" t="str">
        <f t="shared" ref="U10" ca="1" si="18">IF(U104="","",SUM(V104:V140))</f>
        <v/>
      </c>
      <c r="V10" s="864"/>
      <c r="W10" s="863" t="str">
        <f t="shared" ref="W10" ca="1" si="19">IF(W104="","",SUM(X104:X140))</f>
        <v/>
      </c>
      <c r="X10" s="864"/>
      <c r="Y10" s="863" t="str">
        <f t="shared" ref="Y10" ca="1" si="20">IF(Y104="","",SUM(Z104:Z140))</f>
        <v/>
      </c>
      <c r="Z10" s="864"/>
      <c r="AA10" s="863" t="str">
        <f ca="1">IF(AA104="","",SUM(AB104:AB140))</f>
        <v/>
      </c>
      <c r="AB10" s="864"/>
      <c r="AC10" s="863" t="str">
        <f t="shared" ref="AC10" ca="1" si="21">IF(AC104="","",SUM(AD104:AD140))</f>
        <v/>
      </c>
      <c r="AD10" s="864"/>
      <c r="AE10" s="863" t="str">
        <f>IF(AE104="","",SUM(AF104:AF135))</f>
        <v/>
      </c>
      <c r="AF10" s="864"/>
      <c r="AG10" s="863" t="str">
        <f>IF(AG104="","",SUM(AH104:AH135))</f>
        <v/>
      </c>
      <c r="AH10" s="864"/>
      <c r="AI10" s="863" t="str">
        <f>IF(AI104="","",SUM(AJ104:AJ135))</f>
        <v/>
      </c>
      <c r="AJ10" s="864"/>
    </row>
    <row r="11" spans="1:41" s="142" customFormat="1" ht="23.25" customHeight="1">
      <c r="A11" s="860" t="s">
        <v>128</v>
      </c>
      <c r="B11" s="860"/>
      <c r="C11" s="863" t="str">
        <f>IF(C7="","",IF(C8="No habilitado","",C9+C10))</f>
        <v/>
      </c>
      <c r="D11" s="864"/>
      <c r="E11" s="863" t="str">
        <f>IF(E7="","",IF(E8="No habilitado","",E9+E10))</f>
        <v/>
      </c>
      <c r="F11" s="864"/>
      <c r="G11" s="863" t="str">
        <f t="shared" ref="G11" ca="1" si="22">IF(G7="","",IF(G8="No habilitado","",G9+G10))</f>
        <v/>
      </c>
      <c r="H11" s="864"/>
      <c r="I11" s="863" t="str">
        <f t="shared" ref="I11" ca="1" si="23">IF(I7="","",IF(I8="No habilitado","",I9+I10))</f>
        <v/>
      </c>
      <c r="J11" s="864"/>
      <c r="K11" s="863" t="str">
        <f t="shared" ref="K11" ca="1" si="24">IF(K7="","",IF(K8="No habilitado","",K9+K10))</f>
        <v/>
      </c>
      <c r="L11" s="864"/>
      <c r="M11" s="863" t="str">
        <f t="shared" ref="M11" ca="1" si="25">IF(M7="","",IF(M8="No habilitado","",M9+M10))</f>
        <v/>
      </c>
      <c r="N11" s="864"/>
      <c r="O11" s="863" t="str">
        <f t="shared" ref="O11" ca="1" si="26">IF(O7="","",IF(O8="No habilitado","",O9+O10))</f>
        <v/>
      </c>
      <c r="P11" s="864"/>
      <c r="Q11" s="863" t="str">
        <f t="shared" ref="Q11" ca="1" si="27">IF(Q7="","",IF(Q8="No habilitado","",Q9+Q10))</f>
        <v/>
      </c>
      <c r="R11" s="864"/>
      <c r="S11" s="863" t="str">
        <f t="shared" ref="S11" ca="1" si="28">IF(S7="","",IF(S8="No habilitado","",S9+S10))</f>
        <v/>
      </c>
      <c r="T11" s="864"/>
      <c r="U11" s="863" t="str">
        <f t="shared" ref="U11" ca="1" si="29">IF(U7="","",IF(U8="No habilitado","",U9+U10))</f>
        <v/>
      </c>
      <c r="V11" s="864"/>
      <c r="W11" s="863" t="str">
        <f t="shared" ref="W11" ca="1" si="30">IF(W7="","",IF(W8="No habilitado","",W9+W10))</f>
        <v/>
      </c>
      <c r="X11" s="864"/>
      <c r="Y11" s="863" t="str">
        <f t="shared" ref="Y11" ca="1" si="31">IF(Y7="","",IF(Y8="No habilitado","",Y9+Y10))</f>
        <v/>
      </c>
      <c r="Z11" s="864"/>
      <c r="AA11" s="863" t="str">
        <f t="shared" ref="AA11" ca="1" si="32">IF(AA7="","",IF(AA8="No habilitado","",AA9+AA10))</f>
        <v/>
      </c>
      <c r="AB11" s="864"/>
      <c r="AC11" s="863" t="str">
        <f t="shared" ref="AC11" ca="1" si="33">IF(AC7="","",IF(AC8="No habilitado","",AC9+AC10))</f>
        <v/>
      </c>
      <c r="AD11" s="864"/>
      <c r="AE11" s="863" t="str">
        <f t="shared" ref="AE11" si="34">IF(AE7="","",IF(AE8="No habilitado","",AE9+AE10))</f>
        <v/>
      </c>
      <c r="AF11" s="864"/>
      <c r="AG11" s="863" t="str">
        <f t="shared" ref="AG11" si="35">IF(AG7="","",IF(AG8="No habilitado","",AG9+AG10))</f>
        <v/>
      </c>
      <c r="AH11" s="864"/>
      <c r="AI11" s="863" t="str">
        <f t="shared" ref="AI11" si="36">IF(AI7="","",IF(AI8="No habilitado","",AI9+AI10))</f>
        <v/>
      </c>
      <c r="AJ11" s="864"/>
    </row>
    <row r="12" spans="1:41" ht="21" customHeight="1"/>
    <row r="13" spans="1:41" ht="21.75" customHeight="1">
      <c r="A13" s="146" t="s">
        <v>129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N13" s="70" t="s">
        <v>148</v>
      </c>
      <c r="AO13" s="70" t="s">
        <v>149</v>
      </c>
    </row>
    <row r="14" spans="1:41" ht="21.75" customHeight="1" outlineLevel="1">
      <c r="A14" s="273" t="s">
        <v>211</v>
      </c>
      <c r="B14" s="148" t="e">
        <f ca="1">IF(A14="","",IF($K$4="Media aritmética",ROUND(AVERAGE(C14,E14,G14,I14,K14,M14,O14,Q14,S14,U14,W14,Y14,AA14,AC14,AE14,AG14,AI14),2),ROUND(_xlfn.STDEV.P(C14,E14,G14,I14,K14,M14,O14,Q14,S14,U14,W14,Y14,AA14,AC14,AE14,AG14,AI14),2)))</f>
        <v>#DIV/0!</v>
      </c>
      <c r="C14" s="149" t="str">
        <f t="shared" ref="C14:C45" si="37">IF($C$8="Habilitado",IF($A14="","",ROUND(VLOOKUP($A14,OFERENTE_1,15,FALSE),2)),"")</f>
        <v/>
      </c>
      <c r="D14" s="150" t="str">
        <f>IF($A14="","",IF(C14="","",IF($K$4="Media aritmética",(C14&lt;=$B14)*($E$5/$B$4)+(C14&gt;$B14)*0,IF(AND(ROUND(AVERAGE($C14,$E14,$G14,$I14,$K14,$M14,$O14,$Q14,$S14,$U14,$W14,$Y14,$AA14,$AC14,$AE14,$AG14,$AI14),2)-$B14/2&lt;=C14,(ROUND(AVERAGE($C14,$E14,$G14,$I14,$K14,$M14,$O14,$Q14,$S14,$U14,$W14,$Y14,$AA14,$AC14,$AE14,$AG14,$AI14),2)+$B14/2&gt;=C14)),($E$5/$B$4),0))))</f>
        <v/>
      </c>
      <c r="E14" s="149" t="str">
        <f t="shared" ref="E14:E45" si="38">IF($E$8="Habilitado",IF($A14="","",ROUND(VLOOKUP($A14,OFERENTE_2,15,FALSE),2)),"")</f>
        <v/>
      </c>
      <c r="F14" s="150" t="str">
        <f>IF($A14="","",IF(E14="","",IF($K$4="Media aritmética",(E14&lt;=$B14)*($E$5/$B$4)+(E14&gt;$B14)*0,IF(AND(ROUND(AVERAGE($C14,$E14,$G14,$I14,$K14,$M14,$O14,$Q14,$S14,$U14,$W14,$Y14,$AA14,$AC14,$AE14,$AG14,$AI14),2)-$B14/2&lt;=E14,(ROUND(AVERAGE($C14,$E14,$G14,$I14,$K14,$M14,$O14,$Q14,$S14,$U14,$W14,$Y14,$AA14,$AC14,$AE14,$AG14,$AI14),2)+$B14/2&gt;=E14)),($E$5/$B$4),0))))</f>
        <v/>
      </c>
      <c r="G14" s="149" t="str">
        <f t="shared" ref="G14:G45" ca="1" si="39">IF($G$8="Habilitado",IF($A14="","",ROUND(VLOOKUP($A14,OFERENTE_3,15,FALSE),2)),"")</f>
        <v/>
      </c>
      <c r="H14" s="150" t="str">
        <f ca="1">IF($A14="","",IF(G14="","",IF($K$4="Media aritmética",(G14&lt;=$B14)*($E$5/$B$4)+(G14&gt;$B14)*0,IF(AND(ROUND(AVERAGE($C14,$E14,$G14,$I14,$K14,$M14,$O14,$Q14,$S14,$U14,$W14,$Y14,$AA14,$AC14,$AE14,$AG14,$AI14),2)-$B14/2&lt;=G14,(ROUND(AVERAGE($C14,$E14,$G14,$I14,$K14,$M14,$O14,$Q14,$S14,$U14,$W14,$Y14,$AA14,$AC14,$AE14,$AG14,$AI14),2)+$B14/2&gt;=G14)),($E$5/$B$4),0))))</f>
        <v/>
      </c>
      <c r="I14" s="149" t="str">
        <f t="shared" ref="I14:I45" ca="1" si="40">IF($I$8="Habilitado",IF($A14="","",ROUND(VLOOKUP($A14,OFERENTE_4,15,FALSE),2)),"")</f>
        <v/>
      </c>
      <c r="J14" s="150" t="str">
        <f ca="1">IF($A14="","",IF(I14="","",IF($K$4="Media aritmética",(I14&lt;=$B14)*($E$5/$B$4)+(I14&gt;$B14)*0,IF(AND(ROUND(AVERAGE($C14,$E14,$G14,$I14,$K14,$M14,$O14,$Q14,$S14,$U14,$W14,$Y14,$AA14,$AC14,$AE14,$AG14,$AI14),2)-$B14/2&lt;=I14,(ROUND(AVERAGE($C14,$E14,$G14,$I14,$K14,$M14,$O14,$Q14,$S14,$U14,$W14,$Y14,$AA14,$AC14,$AE14,$AG14,$AI14),2)+$B14/2&gt;=I14)),($E$5/$B$4),0))))</f>
        <v/>
      </c>
      <c r="K14" s="149" t="str">
        <f t="shared" ref="K14:K45" ca="1" si="41">IF($K$8="Habilitado",IF($A14="","",ROUND(VLOOKUP($A14,OFERENTE_5,15,FALSE),2)),"")</f>
        <v/>
      </c>
      <c r="L14" s="150" t="str">
        <f ca="1">IF($A14="","",IF(K14="","",IF($K$4="Media aritmética",(K14&lt;=$B14)*($E$5/$B$4)+(K14&gt;$B14)*0,IF(AND(ROUND(AVERAGE($C14,$E14,$G14,$I14,$K14,$M14,$O14,$Q14,$S14,$U14,$W14,$Y14,$AA14,$AC14,$AE14,$AG14,$AI14),2)-$B14/2&lt;=K14,(ROUND(AVERAGE($C14,$E14,$G14,$I14,$K14,$M14,$O14,$Q14,$S14,$U14,$W14,$Y14,$AA14,$AC14,$AE14,$AG14,$AI14),2)+$B14/2&gt;=K14)),($E$5/$B$4),0))))</f>
        <v/>
      </c>
      <c r="M14" s="149" t="str">
        <f t="shared" ref="M14:M77" ca="1" si="42">IF($M$8="Habilitado",IF($A14="","",ROUND(VLOOKUP($A14,OFERENTE_6,15,FALSE),2)),"")</f>
        <v/>
      </c>
      <c r="N14" s="150" t="str">
        <f ca="1">IF($A14="","",IF(M14="","",IF($K$4="Media aritmética",(M14&lt;=$B14)*($E$5/$B$4)+(M14&gt;$B14)*0,IF(AND(ROUND(AVERAGE($C14,$E14,$G14,$I14,$K14,$M14,$O14,$Q14,$S14,$U14,$W14,$Y14,$AA14,$AC14,$AE14,$AG14,$AI14),2)-$B14/2&lt;=M14,(ROUND(AVERAGE($C14,$E14,$G14,$I14,$K14,$M14,$O14,$Q14,$S14,$U14,$W14,$Y14,$AA14,$AC14,$AE14,$AG14,$AI14),2)+$B14/2&gt;=M14)),($E$5/$B$4),0))))</f>
        <v/>
      </c>
      <c r="O14" s="149" t="str">
        <f t="shared" ref="O14:O45" ca="1" si="43">IF($O$8="Habilitado",IF($A14="","",ROUND(VLOOKUP($A14,OFERENTE_7,15,FALSE),2)),"")</f>
        <v/>
      </c>
      <c r="P14" s="150" t="str">
        <f ca="1">IF($A14="","",IF(O14="","",IF($K$4="Media aritmética",(O14&lt;=$B14)*($E$5/$B$4)+(O14&gt;$B14)*0,IF(AND(ROUND(AVERAGE($C14,$E14,$G14,$I14,$K14,$M14,$O14,$Q14,$S14,$U14,$W14,$Y14,$AA14,$AC14,$AE14,$AG14,$AI14),2)-$B14/2&lt;=O14,(ROUND(AVERAGE($C14,$E14,$G14,$I14,$K14,$M14,$O14,$Q14,$S14,$U14,$W14,$Y14,$AA14,$AC14,$AE14,$AG14,$AI14),2)+$B14/2&gt;=O14)),($E$5/$B$4),0))))</f>
        <v/>
      </c>
      <c r="Q14" s="149" t="str">
        <f t="shared" ref="Q14:Q45" ca="1" si="44">IF($Q$8="Habilitado",IF($A14="","",ROUND(VLOOKUP($A14,OFERENTE_8,15,FALSE),2)),"")</f>
        <v/>
      </c>
      <c r="R14" s="150" t="str">
        <f ca="1">IF($A14="","",IF(Q14="","",IF($K$4="Media aritmética",(Q14&lt;=$B14)*($E$5/$B$4)+(Q14&gt;$B14)*0,IF(AND(ROUND(AVERAGE($C14,$E14,$G14,$I14,$K14,$M14,$O14,$Q14,$S14,$U14,$W14,$Y14,$AA14,$AC14,$AE14,$AG14,$AI14),2)-$B14/2&lt;=Q14,(ROUND(AVERAGE($C14,$E14,$G14,$I14,$K14,$M14,$O14,$Q14,$S14,$U14,$W14,$Y14,$AA14,$AC14,$AE14,$AG14,$AI14),2)+$B14/2&gt;=Q14)),($E$5/$B$4),0))))</f>
        <v/>
      </c>
      <c r="S14" s="149" t="str">
        <f t="shared" ref="S14:S45" ca="1" si="45">IF($S$8="Habilitado",IF($A14="","",ROUND(VLOOKUP($A14,OFERENTE_9,15,FALSE),2)),"")</f>
        <v/>
      </c>
      <c r="T14" s="150" t="str">
        <f ca="1">IF($A14="","",IF(S14="","",IF($K$4="Media aritmética",(S14&lt;=$B14)*($E$5/$B$4)+(S14&gt;$B14)*0,IF(AND(ROUND(AVERAGE($C14,$E14,$G14,$I14,$K14,$M14,$O14,$Q14,$S14,$U14,$W14,$Y14,$AA14,$AC14,$AE14,$AG14,$AI14),2)-$B14/2&lt;=S14,(ROUND(AVERAGE($C14,$E14,$G14,$I14,$K14,$M14,$O14,$Q14,$S14,$U14,$W14,$Y14,$AA14,$AC14,$AE14,$AG14,$AI14),2)+$B14/2&gt;=S14)),($E$5/$B$4),0))))</f>
        <v/>
      </c>
      <c r="U14" s="149" t="str">
        <f t="shared" ref="U14:U45" ca="1" si="46">IF($U$8="Habilitado",IF($A14="","",ROUND(VLOOKUP($A14,OFERENTE_10,15,FALSE),2)),"")</f>
        <v/>
      </c>
      <c r="V14" s="150" t="str">
        <f ca="1">IF($A14="","",IF(U14="","",IF($K$4="Media aritmética",(U14&lt;=$B14)*($E$5/$B$4)+(U14&gt;$B14)*0,IF(AND(ROUND(AVERAGE($C14,$E14,$G14,$I14,$K14,$M14,$O14,$Q14,$S14,$U14,$W14,$Y14,$AA14,$AC14,$AE14,$AG14,$AI14),2)-$B14/2&lt;=U14,(ROUND(AVERAGE($C14,$E14,$G14,$I14,$K14,$M14,$O14,$Q14,$S14,$U14,$W14,$Y14,$AA14,$AC14,$AE14,$AG14,$AI14),2)+$B14/2&gt;=U14)),($E$5/$B$4),0))))</f>
        <v/>
      </c>
      <c r="W14" s="149" t="str">
        <f t="shared" ref="W14:W45" ca="1" si="47">IF($W$8="Habilitado",IF($A14="","",ROUND(VLOOKUP($A14,OFERENTE_11,15,FALSE),2)),"")</f>
        <v/>
      </c>
      <c r="X14" s="150" t="str">
        <f ca="1">IF($A14="","",IF(W14="","",IF($K$4="Media aritmética",(W14&lt;=$B14)*($E$5/$B$4)+(W14&gt;$B14)*0,IF(AND(ROUND(AVERAGE($C14,$E14,$G14,$I14,$K14,$M14,$O14,$Q14,$S14,$U14,$W14,$Y14,$AA14,$AC14,$AE14,$AG14,$AI14),2)-$B14/2&lt;=W14,(ROUND(AVERAGE($C14,$E14,$G14,$I14,$K14,$M14,$O14,$Q14,$S14,$U14,$W14,$Y14,$AA14,$AC14,$AE14,$AG14,$AI14),2)+$B14/2&gt;=W14)),($E$5/$B$4),0))))</f>
        <v/>
      </c>
      <c r="Y14" s="149" t="str">
        <f t="shared" ref="Y14:Y45" ca="1" si="48">IF($Y$8="Habilitado",IF($A14="","",ROUND(VLOOKUP($A14,OFERENTE_12,15,FALSE),2)),"")</f>
        <v/>
      </c>
      <c r="Z14" s="150" t="str">
        <f ca="1">IF($A14="","",IF(Y14="","",IF($K$4="Media aritmética",(Y14&lt;=$B14)*($E$5/$B$4)+(Y14&gt;$B14)*0,IF(AND(ROUND(AVERAGE($C14,$E14,$G14,$I14,$K14,$M14,$O14,$Q14,$S14,$U14,$W14,$Y14,$AA14,$AC14,$AE14,$AG14,$AI14),2)-$B14/2&lt;=Y14,(ROUND(AVERAGE($C14,$E14,$G14,$I14,$K14,$M14,$O14,$Q14,$S14,$U14,$W14,$Y14,$AA14,$AC14,$AE14,$AG14,$AI14),2)+$B14/2&gt;=Y14)),($E$5/$B$4),0))))</f>
        <v/>
      </c>
      <c r="AA14" s="149" t="str">
        <f t="shared" ref="AA14:AA45" ca="1" si="49">IF($AA$8="Habilitado",IF($A14="","",ROUND(VLOOKUP($A14,OFERENTE_13,15,FALSE),2)),"")</f>
        <v/>
      </c>
      <c r="AB14" s="150" t="str">
        <f ca="1">IF($A14="","",IF(AA14="","",IF($K$4="Media aritmética",(AA14&lt;=$B14)*($E$5/$B$4)+(AA14&gt;$B14)*0,IF(AND(ROUND(AVERAGE($C14,$E14,$G14,$I14,$K14,$M14,$O14,$Q14,$S14,$U14,$W14,$Y14,$AA14,$AC14,$AE14,$AG14,$AI14),2)-$B14/2&lt;=AA14,(ROUND(AVERAGE($C14,$E14,$G14,$I14,$K14,$M14,$O14,$Q14,$S14,$U14,$W14,$Y14,$AA14,$AC14,$AE14,$AG14,$AI14),2)+$B14/2&gt;=AA14)),($E$5/$B$4),0))))</f>
        <v/>
      </c>
      <c r="AC14" s="149" t="str">
        <f t="shared" ref="AC14:AC45" ca="1" si="50">IF($AC$8="Habilitado",IF($A14="","",ROUND(VLOOKUP($A14,OFERENTE_14,15,FALSE),2)),"")</f>
        <v/>
      </c>
      <c r="AD14" s="150" t="str">
        <f ca="1">IF($A14="","",IF(AC14="","",IF($K$4="Media aritmética",(AC14&lt;=$B14)*($E$5/$B$4)+(AC14&gt;$B14)*0,IF(AND(ROUND(AVERAGE($C14,$E14,$G14,$I14,$K14,$M14,$O14,$Q14,$S14,$U14,$W14,$Y14,$AA14,$AC14,$AE14,$AG14,$AI14),2)-$B14/2&lt;=AC14,(ROUND(AVERAGE($C14,$E14,$G14,$I14,$K14,$M14,$O14,$Q14,$S14,$U14,$W14,$Y14,$AA14,$AC14,$AE14,$AG14,$AI14),2)+$B14/2&gt;=AC14)),($E$5/$B$4),0))))</f>
        <v/>
      </c>
      <c r="AE14" s="146"/>
      <c r="AF14" s="146"/>
      <c r="AG14" s="146"/>
      <c r="AH14" s="146"/>
      <c r="AI14" s="146"/>
      <c r="AJ14" s="146"/>
      <c r="AL14" s="211" t="e">
        <f ca="1">AVERAGE(C14,E14,G14,I14,K14,M14,O14,Q14,S14,U14,W14,Y14,AC14)</f>
        <v>#DIV/0!</v>
      </c>
      <c r="AM14" s="70" t="e">
        <f ca="1">_xlfn.STDEV.P(C14,E14,G14,I14,K14,M14,O14,Q14,S14,U14,W14,Y14,AC14)</f>
        <v>#DIV/0!</v>
      </c>
      <c r="AN14" s="276" t="e">
        <f ca="1">AL14+(AM14/2)</f>
        <v>#DIV/0!</v>
      </c>
      <c r="AO14" s="276" t="e">
        <f ca="1">AL14-(AM14/2)</f>
        <v>#DIV/0!</v>
      </c>
    </row>
    <row r="15" spans="1:41" ht="21.75" customHeight="1" outlineLevel="1">
      <c r="A15" s="273">
        <v>1.2</v>
      </c>
      <c r="B15" s="148" t="e">
        <f t="shared" ref="B15:B68" ca="1" si="51">IF(A15="","",IF($K$4="Media aritmética",ROUND(AVERAGE(C15,E15,G15,I15,K15,M15,O15,Q15,S15,U15,W15,Y15,AA15,AC15,AE15,AG15,AI15),2),ROUND(_xlfn.STDEV.P(C15,E15,G15,I15,K15,M15,O15,Q15,S15,U15,W15,Y15,AA15,AC15,AE15,AG15,AI15),2)))</f>
        <v>#DIV/0!</v>
      </c>
      <c r="C15" s="149" t="str">
        <f t="shared" si="37"/>
        <v/>
      </c>
      <c r="D15" s="150" t="str">
        <f t="shared" ref="D15:D68" si="52">IF($A15="","",IF(C15="","",IF($K$4="Media aritmética",(C15&lt;=$B15)*($E$5/$B$4)+(C15&gt;$B15)*0,IF(AND(ROUND(AVERAGE($C15,$E15,$G15,$I15,$K15,$M15,$O15,$Q15,$S15,$U15,$W15,$Y15,$AA15,$AC15,$AE15,$AG15,$AI15),2)-$B15/2&lt;=C15,(ROUND(AVERAGE($C15,$E15,$G15,$I15,$K15,$M15,$O15,$Q15,$S15,$U15,$W15,$Y15,$AA15,$AC15,$AE15,$AG15,$AI15),2)+$B15/2&gt;=C15)),($E$5/$B$4),0))))</f>
        <v/>
      </c>
      <c r="E15" s="149" t="str">
        <f t="shared" si="38"/>
        <v/>
      </c>
      <c r="F15" s="150" t="str">
        <f t="shared" ref="F15:F68" si="53">IF($A15="","",IF(E15="","",IF($K$4="Media aritmética",(E15&lt;=$B15)*($E$5/$B$4)+(E15&gt;$B15)*0,IF(AND(ROUND(AVERAGE($C15,$E15,$G15,$I15,$K15,$M15,$O15,$Q15,$S15,$U15,$W15,$Y15,$AA15,$AC15,$AE15,$AG15,$AI15),2)-$B15/2&lt;=E15,(ROUND(AVERAGE($C15,$E15,$G15,$I15,$K15,$M15,$O15,$Q15,$S15,$U15,$W15,$Y15,$AA15,$AC15,$AE15,$AG15,$AI15),2)+$B15/2&gt;=E15)),($E$5/$B$4),0))))</f>
        <v/>
      </c>
      <c r="G15" s="149" t="str">
        <f t="shared" ca="1" si="39"/>
        <v/>
      </c>
      <c r="H15" s="150" t="str">
        <f t="shared" ref="H15:H68" ca="1" si="54">IF($A15="","",IF(G15="","",IF($K$4="Media aritmética",(G15&lt;=$B15)*($E$5/$B$4)+(G15&gt;$B15)*0,IF(AND(ROUND(AVERAGE($C15,$E15,$G15,$I15,$K15,$M15,$O15,$Q15,$S15,$U15,$W15,$Y15,$AA15,$AC15,$AE15,$AG15,$AI15),2)-$B15/2&lt;=G15,(ROUND(AVERAGE($C15,$E15,$G15,$I15,$K15,$M15,$O15,$Q15,$S15,$U15,$W15,$Y15,$AA15,$AC15,$AE15,$AG15,$AI15),2)+$B15/2&gt;=G15)),($E$5/$B$4),0))))</f>
        <v/>
      </c>
      <c r="I15" s="149" t="str">
        <f t="shared" ca="1" si="40"/>
        <v/>
      </c>
      <c r="J15" s="150" t="str">
        <f t="shared" ref="J15:J68" ca="1" si="55">IF($A15="","",IF(I15="","",IF($K$4="Media aritmética",(I15&lt;=$B15)*($E$5/$B$4)+(I15&gt;$B15)*0,IF(AND(ROUND(AVERAGE($C15,$E15,$G15,$I15,$K15,$M15,$O15,$Q15,$S15,$U15,$W15,$Y15,$AA15,$AC15,$AE15,$AG15,$AI15),2)-$B15/2&lt;=I15,(ROUND(AVERAGE($C15,$E15,$G15,$I15,$K15,$M15,$O15,$Q15,$S15,$U15,$W15,$Y15,$AA15,$AC15,$AE15,$AG15,$AI15),2)+$B15/2&gt;=I15)),($E$5/$B$4),0))))</f>
        <v/>
      </c>
      <c r="K15" s="149" t="str">
        <f t="shared" ca="1" si="41"/>
        <v/>
      </c>
      <c r="L15" s="150" t="str">
        <f t="shared" ref="L15:L68" ca="1" si="56">IF($A15="","",IF(K15="","",IF($K$4="Media aritmética",(K15&lt;=$B15)*($E$5/$B$4)+(K15&gt;$B15)*0,IF(AND(ROUND(AVERAGE($C15,$E15,$G15,$I15,$K15,$M15,$O15,$Q15,$S15,$U15,$W15,$Y15,$AA15,$AC15,$AE15,$AG15,$AI15),2)-$B15/2&lt;=K15,(ROUND(AVERAGE($C15,$E15,$G15,$I15,$K15,$M15,$O15,$Q15,$S15,$U15,$W15,$Y15,$AA15,$AC15,$AE15,$AG15,$AI15),2)+$B15/2&gt;=K15)),($E$5/$B$4),0))))</f>
        <v/>
      </c>
      <c r="M15" s="149" t="str">
        <f t="shared" ca="1" si="42"/>
        <v/>
      </c>
      <c r="N15" s="150" t="str">
        <f t="shared" ref="N15:N68" ca="1" si="57">IF($A15="","",IF(M15="","",IF($K$4="Media aritmética",(M15&lt;=$B15)*($E$5/$B$4)+(M15&gt;$B15)*0,IF(AND(ROUND(AVERAGE($C15,$E15,$G15,$I15,$K15,$M15,$O15,$Q15,$S15,$U15,$W15,$Y15,$AA15,$AC15,$AE15,$AG15,$AI15),2)-$B15/2&lt;=M15,(ROUND(AVERAGE($C15,$E15,$G15,$I15,$K15,$M15,$O15,$Q15,$S15,$U15,$W15,$Y15,$AA15,$AC15,$AE15,$AG15,$AI15),2)+$B15/2&gt;=M15)),($E$5/$B$4),0))))</f>
        <v/>
      </c>
      <c r="O15" s="149" t="str">
        <f t="shared" ca="1" si="43"/>
        <v/>
      </c>
      <c r="P15" s="150" t="str">
        <f t="shared" ref="P15:P68" ca="1" si="58">IF($A15="","",IF(O15="","",IF($K$4="Media aritmética",(O15&lt;=$B15)*($E$5/$B$4)+(O15&gt;$B15)*0,IF(AND(ROUND(AVERAGE($C15,$E15,$G15,$I15,$K15,$M15,$O15,$Q15,$S15,$U15,$W15,$Y15,$AA15,$AC15,$AE15,$AG15,$AI15),2)-$B15/2&lt;=O15,(ROUND(AVERAGE($C15,$E15,$G15,$I15,$K15,$M15,$O15,$Q15,$S15,$U15,$W15,$Y15,$AA15,$AC15,$AE15,$AG15,$AI15),2)+$B15/2&gt;=O15)),($E$5/$B$4),0))))</f>
        <v/>
      </c>
      <c r="Q15" s="149" t="str">
        <f t="shared" ca="1" si="44"/>
        <v/>
      </c>
      <c r="R15" s="150" t="str">
        <f t="shared" ref="R15:R68" ca="1" si="59">IF($A15="","",IF(Q15="","",IF($K$4="Media aritmética",(Q15&lt;=$B15)*($E$5/$B$4)+(Q15&gt;$B15)*0,IF(AND(ROUND(AVERAGE($C15,$E15,$G15,$I15,$K15,$M15,$O15,$Q15,$S15,$U15,$W15,$Y15,$AA15,$AC15,$AE15,$AG15,$AI15),2)-$B15/2&lt;=Q15,(ROUND(AVERAGE($C15,$E15,$G15,$I15,$K15,$M15,$O15,$Q15,$S15,$U15,$W15,$Y15,$AA15,$AC15,$AE15,$AG15,$AI15),2)+$B15/2&gt;=Q15)),($E$5/$B$4),0))))</f>
        <v/>
      </c>
      <c r="S15" s="149" t="str">
        <f t="shared" ca="1" si="45"/>
        <v/>
      </c>
      <c r="T15" s="150" t="str">
        <f t="shared" ref="T15:T68" ca="1" si="60">IF($A15="","",IF(S15="","",IF($K$4="Media aritmética",(S15&lt;=$B15)*($E$5/$B$4)+(S15&gt;$B15)*0,IF(AND(ROUND(AVERAGE($C15,$E15,$G15,$I15,$K15,$M15,$O15,$Q15,$S15,$U15,$W15,$Y15,$AA15,$AC15,$AE15,$AG15,$AI15),2)-$B15/2&lt;=S15,(ROUND(AVERAGE($C15,$E15,$G15,$I15,$K15,$M15,$O15,$Q15,$S15,$U15,$W15,$Y15,$AA15,$AC15,$AE15,$AG15,$AI15),2)+$B15/2&gt;=S15)),($E$5/$B$4),0))))</f>
        <v/>
      </c>
      <c r="U15" s="149" t="str">
        <f t="shared" ca="1" si="46"/>
        <v/>
      </c>
      <c r="V15" s="150" t="str">
        <f t="shared" ref="V15:V68" ca="1" si="61">IF($A15="","",IF(U15="","",IF($K$4="Media aritmética",(U15&lt;=$B15)*($E$5/$B$4)+(U15&gt;$B15)*0,IF(AND(ROUND(AVERAGE($C15,$E15,$G15,$I15,$K15,$M15,$O15,$Q15,$S15,$U15,$W15,$Y15,$AA15,$AC15,$AE15,$AG15,$AI15),2)-$B15/2&lt;=U15,(ROUND(AVERAGE($C15,$E15,$G15,$I15,$K15,$M15,$O15,$Q15,$S15,$U15,$W15,$Y15,$AA15,$AC15,$AE15,$AG15,$AI15),2)+$B15/2&gt;=U15)),($E$5/$B$4),0))))</f>
        <v/>
      </c>
      <c r="W15" s="149" t="str">
        <f t="shared" ca="1" si="47"/>
        <v/>
      </c>
      <c r="X15" s="150" t="str">
        <f t="shared" ref="X15:X76" ca="1" si="62">IF($A15="","",IF(W15="","",IF($K$4="Media aritmética",(W15&lt;=$B15)*($E$5/$B$4)+(W15&gt;$B15)*0,IF(AND(ROUND(AVERAGE($C15,$E15,$G15,$I15,$K15,$M15,$O15,$Q15,$S15,$U15,$W15,$Y15,$AA15,$AC15,$AE15,$AG15,$AI15),2)-$B15/2&lt;=W15,(ROUND(AVERAGE($C15,$E15,$G15,$I15,$K15,$M15,$O15,$Q15,$S15,$U15,$W15,$Y15,$AA15,$AC15,$AE15,$AG15,$AI15),2)+$B15/2&gt;=W15)),($E$5/$B$4),0))))</f>
        <v/>
      </c>
      <c r="Y15" s="149" t="str">
        <f t="shared" ca="1" si="48"/>
        <v/>
      </c>
      <c r="Z15" s="150" t="str">
        <f t="shared" ref="Z15:Z76" ca="1" si="63">IF($A15="","",IF(Y15="","",IF($K$4="Media aritmética",(Y15&lt;=$B15)*($E$5/$B$4)+(Y15&gt;$B15)*0,IF(AND(ROUND(AVERAGE($C15,$E15,$G15,$I15,$K15,$M15,$O15,$Q15,$S15,$U15,$W15,$Y15,$AA15,$AC15,$AE15,$AG15,$AI15),2)-$B15/2&lt;=Y15,(ROUND(AVERAGE($C15,$E15,$G15,$I15,$K15,$M15,$O15,$Q15,$S15,$U15,$W15,$Y15,$AA15,$AC15,$AE15,$AG15,$AI15),2)+$B15/2&gt;=Y15)),($E$5/$B$4),0))))</f>
        <v/>
      </c>
      <c r="AA15" s="149" t="str">
        <f t="shared" ca="1" si="49"/>
        <v/>
      </c>
      <c r="AB15" s="150" t="str">
        <f t="shared" ref="AB15:AB76" ca="1" si="64">IF($A15="","",IF(AA15="","",IF($K$4="Media aritmética",(AA15&lt;=$B15)*($E$5/$B$4)+(AA15&gt;$B15)*0,IF(AND(ROUND(AVERAGE($C15,$E15,$G15,$I15,$K15,$M15,$O15,$Q15,$S15,$U15,$W15,$Y15,$AA15,$AC15,$AE15,$AG15,$AI15),2)-$B15/2&lt;=AA15,(ROUND(AVERAGE($C15,$E15,$G15,$I15,$K15,$M15,$O15,$Q15,$S15,$U15,$W15,$Y15,$AA15,$AC15,$AE15,$AG15,$AI15),2)+$B15/2&gt;=AA15)),($E$5/$B$4),0))))</f>
        <v/>
      </c>
      <c r="AC15" s="149" t="str">
        <f t="shared" ca="1" si="50"/>
        <v/>
      </c>
      <c r="AD15" s="150" t="str">
        <f t="shared" ref="AD15:AD76" ca="1" si="65">IF($A15="","",IF(AC15="","",IF($K$4="Media aritmética",(AC15&lt;=$B15)*($E$5/$B$4)+(AC15&gt;$B15)*0,IF(AND(ROUND(AVERAGE($C15,$E15,$G15,$I15,$K15,$M15,$O15,$Q15,$S15,$U15,$W15,$Y15,$AA15,$AC15,$AE15,$AG15,$AI15),2)-$B15/2&lt;=AC15,(ROUND(AVERAGE($C15,$E15,$G15,$I15,$K15,$M15,$O15,$Q15,$S15,$U15,$W15,$Y15,$AA15,$AC15,$AE15,$AG15,$AI15),2)+$B15/2&gt;=AC15)),($E$5/$B$4),0))))</f>
        <v/>
      </c>
      <c r="AE15" s="146"/>
      <c r="AF15" s="146"/>
      <c r="AG15" s="146"/>
      <c r="AH15" s="146"/>
      <c r="AI15" s="146"/>
      <c r="AJ15" s="146"/>
      <c r="AL15" s="211" t="e">
        <f t="shared" ref="AL15:AL78" ca="1" si="66">AVERAGE(C15,E15,G15,I15,K15,M15,O15,Q15,S15,U15,W15,Y15,AC15)</f>
        <v>#DIV/0!</v>
      </c>
      <c r="AM15" s="70" t="e">
        <f t="shared" ref="AM15:AM78" ca="1" si="67">_xlfn.STDEV.P(C15,E15,G15,I15,K15,M15,O15,Q15,S15,U15,W15,Y15,AC15)</f>
        <v>#DIV/0!</v>
      </c>
      <c r="AN15" s="276" t="e">
        <f t="shared" ref="AN15:AN78" ca="1" si="68">AL15+(AM15/2)</f>
        <v>#DIV/0!</v>
      </c>
      <c r="AO15" s="276" t="e">
        <f t="shared" ref="AO15:AO78" ca="1" si="69">AL15-(AM15/2)</f>
        <v>#DIV/0!</v>
      </c>
    </row>
    <row r="16" spans="1:41" ht="21.75" customHeight="1" outlineLevel="1">
      <c r="A16" s="273" t="s">
        <v>212</v>
      </c>
      <c r="B16" s="148" t="e">
        <f t="shared" ca="1" si="51"/>
        <v>#DIV/0!</v>
      </c>
      <c r="C16" s="149" t="str">
        <f t="shared" si="37"/>
        <v/>
      </c>
      <c r="D16" s="150" t="str">
        <f t="shared" si="52"/>
        <v/>
      </c>
      <c r="E16" s="149" t="str">
        <f t="shared" si="38"/>
        <v/>
      </c>
      <c r="F16" s="150" t="str">
        <f t="shared" si="53"/>
        <v/>
      </c>
      <c r="G16" s="149" t="str">
        <f t="shared" ca="1" si="39"/>
        <v/>
      </c>
      <c r="H16" s="150" t="str">
        <f t="shared" ca="1" si="54"/>
        <v/>
      </c>
      <c r="I16" s="149" t="str">
        <f t="shared" ca="1" si="40"/>
        <v/>
      </c>
      <c r="J16" s="150" t="str">
        <f t="shared" ca="1" si="55"/>
        <v/>
      </c>
      <c r="K16" s="149" t="str">
        <f t="shared" ca="1" si="41"/>
        <v/>
      </c>
      <c r="L16" s="150" t="str">
        <f t="shared" ca="1" si="56"/>
        <v/>
      </c>
      <c r="M16" s="149" t="str">
        <f t="shared" ca="1" si="42"/>
        <v/>
      </c>
      <c r="N16" s="150" t="str">
        <f t="shared" ca="1" si="57"/>
        <v/>
      </c>
      <c r="O16" s="149" t="str">
        <f t="shared" ca="1" si="43"/>
        <v/>
      </c>
      <c r="P16" s="150" t="str">
        <f t="shared" ca="1" si="58"/>
        <v/>
      </c>
      <c r="Q16" s="149" t="str">
        <f t="shared" ca="1" si="44"/>
        <v/>
      </c>
      <c r="R16" s="150" t="str">
        <f t="shared" ca="1" si="59"/>
        <v/>
      </c>
      <c r="S16" s="149" t="str">
        <f t="shared" ca="1" si="45"/>
        <v/>
      </c>
      <c r="T16" s="150" t="str">
        <f t="shared" ca="1" si="60"/>
        <v/>
      </c>
      <c r="U16" s="149" t="str">
        <f t="shared" ca="1" si="46"/>
        <v/>
      </c>
      <c r="V16" s="150" t="str">
        <f t="shared" ca="1" si="61"/>
        <v/>
      </c>
      <c r="W16" s="149" t="str">
        <f t="shared" ca="1" si="47"/>
        <v/>
      </c>
      <c r="X16" s="150" t="str">
        <f t="shared" ca="1" si="62"/>
        <v/>
      </c>
      <c r="Y16" s="149" t="str">
        <f t="shared" ca="1" si="48"/>
        <v/>
      </c>
      <c r="Z16" s="150" t="str">
        <f t="shared" ca="1" si="63"/>
        <v/>
      </c>
      <c r="AA16" s="149" t="str">
        <f t="shared" ca="1" si="49"/>
        <v/>
      </c>
      <c r="AB16" s="150" t="str">
        <f t="shared" ca="1" si="64"/>
        <v/>
      </c>
      <c r="AC16" s="149" t="str">
        <f t="shared" ca="1" si="50"/>
        <v/>
      </c>
      <c r="AD16" s="150" t="str">
        <f t="shared" ca="1" si="65"/>
        <v/>
      </c>
      <c r="AE16" s="146"/>
      <c r="AF16" s="146"/>
      <c r="AG16" s="146"/>
      <c r="AH16" s="146"/>
      <c r="AI16" s="146"/>
      <c r="AJ16" s="146"/>
      <c r="AL16" s="211" t="e">
        <f t="shared" ca="1" si="66"/>
        <v>#DIV/0!</v>
      </c>
      <c r="AM16" s="70" t="e">
        <f t="shared" ca="1" si="67"/>
        <v>#DIV/0!</v>
      </c>
      <c r="AN16" s="276" t="e">
        <f t="shared" ca="1" si="68"/>
        <v>#DIV/0!</v>
      </c>
      <c r="AO16" s="276" t="e">
        <f t="shared" ca="1" si="69"/>
        <v>#DIV/0!</v>
      </c>
    </row>
    <row r="17" spans="1:41" ht="21.75" customHeight="1" outlineLevel="1">
      <c r="A17" s="274">
        <v>1.6</v>
      </c>
      <c r="B17" s="148" t="e">
        <f t="shared" ca="1" si="51"/>
        <v>#DIV/0!</v>
      </c>
      <c r="C17" s="149" t="str">
        <f t="shared" si="37"/>
        <v/>
      </c>
      <c r="D17" s="150" t="str">
        <f t="shared" si="52"/>
        <v/>
      </c>
      <c r="E17" s="149" t="str">
        <f t="shared" si="38"/>
        <v/>
      </c>
      <c r="F17" s="150" t="str">
        <f t="shared" si="53"/>
        <v/>
      </c>
      <c r="G17" s="149" t="str">
        <f t="shared" ca="1" si="39"/>
        <v/>
      </c>
      <c r="H17" s="150" t="str">
        <f t="shared" ca="1" si="54"/>
        <v/>
      </c>
      <c r="I17" s="149" t="str">
        <f t="shared" ca="1" si="40"/>
        <v/>
      </c>
      <c r="J17" s="150" t="str">
        <f t="shared" ca="1" si="55"/>
        <v/>
      </c>
      <c r="K17" s="149" t="str">
        <f t="shared" ca="1" si="41"/>
        <v/>
      </c>
      <c r="L17" s="150" t="str">
        <f t="shared" ca="1" si="56"/>
        <v/>
      </c>
      <c r="M17" s="149" t="str">
        <f t="shared" ca="1" si="42"/>
        <v/>
      </c>
      <c r="N17" s="150" t="str">
        <f t="shared" ca="1" si="57"/>
        <v/>
      </c>
      <c r="O17" s="149" t="str">
        <f t="shared" ca="1" si="43"/>
        <v/>
      </c>
      <c r="P17" s="150" t="str">
        <f t="shared" ca="1" si="58"/>
        <v/>
      </c>
      <c r="Q17" s="149" t="str">
        <f t="shared" ca="1" si="44"/>
        <v/>
      </c>
      <c r="R17" s="150" t="str">
        <f t="shared" ca="1" si="59"/>
        <v/>
      </c>
      <c r="S17" s="149" t="str">
        <f t="shared" ca="1" si="45"/>
        <v/>
      </c>
      <c r="T17" s="150" t="str">
        <f t="shared" ca="1" si="60"/>
        <v/>
      </c>
      <c r="U17" s="149" t="str">
        <f t="shared" ca="1" si="46"/>
        <v/>
      </c>
      <c r="V17" s="150" t="str">
        <f t="shared" ca="1" si="61"/>
        <v/>
      </c>
      <c r="W17" s="149" t="str">
        <f t="shared" ca="1" si="47"/>
        <v/>
      </c>
      <c r="X17" s="150" t="str">
        <f t="shared" ca="1" si="62"/>
        <v/>
      </c>
      <c r="Y17" s="149" t="str">
        <f t="shared" ca="1" si="48"/>
        <v/>
      </c>
      <c r="Z17" s="150" t="str">
        <f t="shared" ca="1" si="63"/>
        <v/>
      </c>
      <c r="AA17" s="149" t="str">
        <f t="shared" ca="1" si="49"/>
        <v/>
      </c>
      <c r="AB17" s="150" t="str">
        <f t="shared" ca="1" si="64"/>
        <v/>
      </c>
      <c r="AC17" s="149" t="str">
        <f t="shared" ca="1" si="50"/>
        <v/>
      </c>
      <c r="AD17" s="150" t="str">
        <f t="shared" ca="1" si="65"/>
        <v/>
      </c>
      <c r="AE17" s="146"/>
      <c r="AF17" s="146"/>
      <c r="AG17" s="146"/>
      <c r="AH17" s="146"/>
      <c r="AI17" s="146"/>
      <c r="AJ17" s="146"/>
      <c r="AL17" s="211" t="e">
        <f t="shared" ca="1" si="66"/>
        <v>#DIV/0!</v>
      </c>
      <c r="AM17" s="70" t="e">
        <f t="shared" ca="1" si="67"/>
        <v>#DIV/0!</v>
      </c>
      <c r="AN17" s="276" t="e">
        <f t="shared" ca="1" si="68"/>
        <v>#DIV/0!</v>
      </c>
      <c r="AO17" s="276" t="e">
        <f t="shared" ca="1" si="69"/>
        <v>#DIV/0!</v>
      </c>
    </row>
    <row r="18" spans="1:41" ht="21.75" customHeight="1" outlineLevel="1">
      <c r="A18" s="273">
        <v>1.7</v>
      </c>
      <c r="B18" s="148" t="e">
        <f t="shared" ca="1" si="51"/>
        <v>#DIV/0!</v>
      </c>
      <c r="C18" s="149" t="str">
        <f t="shared" si="37"/>
        <v/>
      </c>
      <c r="D18" s="150" t="str">
        <f t="shared" si="52"/>
        <v/>
      </c>
      <c r="E18" s="149" t="str">
        <f t="shared" si="38"/>
        <v/>
      </c>
      <c r="F18" s="150" t="str">
        <f t="shared" si="53"/>
        <v/>
      </c>
      <c r="G18" s="149" t="str">
        <f t="shared" ca="1" si="39"/>
        <v/>
      </c>
      <c r="H18" s="150" t="str">
        <f t="shared" ca="1" si="54"/>
        <v/>
      </c>
      <c r="I18" s="149" t="str">
        <f t="shared" ca="1" si="40"/>
        <v/>
      </c>
      <c r="J18" s="150" t="str">
        <f t="shared" ca="1" si="55"/>
        <v/>
      </c>
      <c r="K18" s="149" t="str">
        <f t="shared" ca="1" si="41"/>
        <v/>
      </c>
      <c r="L18" s="150" t="str">
        <f t="shared" ca="1" si="56"/>
        <v/>
      </c>
      <c r="M18" s="149" t="str">
        <f t="shared" ca="1" si="42"/>
        <v/>
      </c>
      <c r="N18" s="150" t="str">
        <f t="shared" ca="1" si="57"/>
        <v/>
      </c>
      <c r="O18" s="149" t="str">
        <f t="shared" ca="1" si="43"/>
        <v/>
      </c>
      <c r="P18" s="150" t="str">
        <f t="shared" ca="1" si="58"/>
        <v/>
      </c>
      <c r="Q18" s="149" t="str">
        <f t="shared" ca="1" si="44"/>
        <v/>
      </c>
      <c r="R18" s="150" t="str">
        <f t="shared" ca="1" si="59"/>
        <v/>
      </c>
      <c r="S18" s="149" t="str">
        <f t="shared" ca="1" si="45"/>
        <v/>
      </c>
      <c r="T18" s="150" t="str">
        <f t="shared" ca="1" si="60"/>
        <v/>
      </c>
      <c r="U18" s="149" t="str">
        <f t="shared" ca="1" si="46"/>
        <v/>
      </c>
      <c r="V18" s="150" t="str">
        <f t="shared" ca="1" si="61"/>
        <v/>
      </c>
      <c r="W18" s="149" t="str">
        <f t="shared" ca="1" si="47"/>
        <v/>
      </c>
      <c r="X18" s="150" t="str">
        <f t="shared" ca="1" si="62"/>
        <v/>
      </c>
      <c r="Y18" s="149" t="str">
        <f t="shared" ca="1" si="48"/>
        <v/>
      </c>
      <c r="Z18" s="150" t="str">
        <f t="shared" ca="1" si="63"/>
        <v/>
      </c>
      <c r="AA18" s="149" t="str">
        <f t="shared" ca="1" si="49"/>
        <v/>
      </c>
      <c r="AB18" s="150" t="str">
        <f t="shared" ca="1" si="64"/>
        <v/>
      </c>
      <c r="AC18" s="149" t="str">
        <f t="shared" ca="1" si="50"/>
        <v/>
      </c>
      <c r="AD18" s="150" t="str">
        <f t="shared" ca="1" si="65"/>
        <v/>
      </c>
      <c r="AE18" s="146"/>
      <c r="AF18" s="146"/>
      <c r="AG18" s="146"/>
      <c r="AH18" s="146"/>
      <c r="AI18" s="146"/>
      <c r="AJ18" s="146"/>
      <c r="AL18" s="211" t="e">
        <f t="shared" ca="1" si="66"/>
        <v>#DIV/0!</v>
      </c>
      <c r="AM18" s="70" t="e">
        <f t="shared" ca="1" si="67"/>
        <v>#DIV/0!</v>
      </c>
      <c r="AN18" s="276" t="e">
        <f t="shared" ca="1" si="68"/>
        <v>#DIV/0!</v>
      </c>
      <c r="AO18" s="276" t="e">
        <f t="shared" ca="1" si="69"/>
        <v>#DIV/0!</v>
      </c>
    </row>
    <row r="19" spans="1:41" ht="21.75" customHeight="1" outlineLevel="1">
      <c r="A19" s="273" t="s">
        <v>213</v>
      </c>
      <c r="B19" s="148" t="e">
        <f t="shared" ca="1" si="51"/>
        <v>#DIV/0!</v>
      </c>
      <c r="C19" s="149" t="str">
        <f t="shared" si="37"/>
        <v/>
      </c>
      <c r="D19" s="150" t="str">
        <f t="shared" si="52"/>
        <v/>
      </c>
      <c r="E19" s="149" t="str">
        <f t="shared" si="38"/>
        <v/>
      </c>
      <c r="F19" s="150" t="str">
        <f t="shared" si="53"/>
        <v/>
      </c>
      <c r="G19" s="149" t="str">
        <f t="shared" ca="1" si="39"/>
        <v/>
      </c>
      <c r="H19" s="150" t="str">
        <f t="shared" ca="1" si="54"/>
        <v/>
      </c>
      <c r="I19" s="149" t="str">
        <f t="shared" ca="1" si="40"/>
        <v/>
      </c>
      <c r="J19" s="150" t="str">
        <f t="shared" ca="1" si="55"/>
        <v/>
      </c>
      <c r="K19" s="149" t="str">
        <f t="shared" ca="1" si="41"/>
        <v/>
      </c>
      <c r="L19" s="150" t="str">
        <f t="shared" ca="1" si="56"/>
        <v/>
      </c>
      <c r="M19" s="149" t="str">
        <f t="shared" ca="1" si="42"/>
        <v/>
      </c>
      <c r="N19" s="150" t="str">
        <f t="shared" ca="1" si="57"/>
        <v/>
      </c>
      <c r="O19" s="149" t="str">
        <f t="shared" ca="1" si="43"/>
        <v/>
      </c>
      <c r="P19" s="150" t="str">
        <f t="shared" ca="1" si="58"/>
        <v/>
      </c>
      <c r="Q19" s="149" t="str">
        <f t="shared" ca="1" si="44"/>
        <v/>
      </c>
      <c r="R19" s="150" t="str">
        <f t="shared" ca="1" si="59"/>
        <v/>
      </c>
      <c r="S19" s="149" t="str">
        <f t="shared" ca="1" si="45"/>
        <v/>
      </c>
      <c r="T19" s="150" t="str">
        <f t="shared" ca="1" si="60"/>
        <v/>
      </c>
      <c r="U19" s="149" t="str">
        <f t="shared" ca="1" si="46"/>
        <v/>
      </c>
      <c r="V19" s="150" t="str">
        <f t="shared" ca="1" si="61"/>
        <v/>
      </c>
      <c r="W19" s="149" t="str">
        <f t="shared" ca="1" si="47"/>
        <v/>
      </c>
      <c r="X19" s="150" t="str">
        <f t="shared" ca="1" si="62"/>
        <v/>
      </c>
      <c r="Y19" s="149" t="str">
        <f t="shared" ca="1" si="48"/>
        <v/>
      </c>
      <c r="Z19" s="150" t="str">
        <f t="shared" ca="1" si="63"/>
        <v/>
      </c>
      <c r="AA19" s="149" t="str">
        <f t="shared" ca="1" si="49"/>
        <v/>
      </c>
      <c r="AB19" s="150" t="str">
        <f t="shared" ca="1" si="64"/>
        <v/>
      </c>
      <c r="AC19" s="149" t="str">
        <f t="shared" ca="1" si="50"/>
        <v/>
      </c>
      <c r="AD19" s="150" t="str">
        <f t="shared" ca="1" si="65"/>
        <v/>
      </c>
      <c r="AE19" s="146"/>
      <c r="AF19" s="146"/>
      <c r="AG19" s="146"/>
      <c r="AH19" s="146"/>
      <c r="AI19" s="146"/>
      <c r="AJ19" s="146"/>
      <c r="AL19" s="211" t="e">
        <f t="shared" ca="1" si="66"/>
        <v>#DIV/0!</v>
      </c>
      <c r="AM19" s="70" t="e">
        <f t="shared" ca="1" si="67"/>
        <v>#DIV/0!</v>
      </c>
      <c r="AN19" s="276" t="e">
        <f t="shared" ca="1" si="68"/>
        <v>#DIV/0!</v>
      </c>
      <c r="AO19" s="276" t="e">
        <f t="shared" ca="1" si="69"/>
        <v>#DIV/0!</v>
      </c>
    </row>
    <row r="20" spans="1:41" ht="21.75" hidden="1" customHeight="1" outlineLevel="1">
      <c r="A20" s="273"/>
      <c r="B20" s="148" t="str">
        <f t="shared" si="51"/>
        <v/>
      </c>
      <c r="C20" s="149" t="str">
        <f t="shared" si="37"/>
        <v/>
      </c>
      <c r="D20" s="150" t="str">
        <f t="shared" si="52"/>
        <v/>
      </c>
      <c r="E20" s="149" t="str">
        <f t="shared" si="38"/>
        <v/>
      </c>
      <c r="F20" s="150" t="str">
        <f t="shared" si="53"/>
        <v/>
      </c>
      <c r="G20" s="149" t="str">
        <f t="shared" ca="1" si="39"/>
        <v/>
      </c>
      <c r="H20" s="150" t="str">
        <f t="shared" si="54"/>
        <v/>
      </c>
      <c r="I20" s="149" t="str">
        <f t="shared" ca="1" si="40"/>
        <v/>
      </c>
      <c r="J20" s="150" t="str">
        <f t="shared" si="55"/>
        <v/>
      </c>
      <c r="K20" s="149" t="str">
        <f t="shared" ca="1" si="41"/>
        <v/>
      </c>
      <c r="L20" s="150" t="str">
        <f t="shared" si="56"/>
        <v/>
      </c>
      <c r="M20" s="149" t="str">
        <f t="shared" ca="1" si="42"/>
        <v/>
      </c>
      <c r="N20" s="150" t="str">
        <f t="shared" si="57"/>
        <v/>
      </c>
      <c r="O20" s="149" t="str">
        <f t="shared" ca="1" si="43"/>
        <v/>
      </c>
      <c r="P20" s="150" t="str">
        <f t="shared" si="58"/>
        <v/>
      </c>
      <c r="Q20" s="149" t="str">
        <f t="shared" ca="1" si="44"/>
        <v/>
      </c>
      <c r="R20" s="150" t="str">
        <f t="shared" si="59"/>
        <v/>
      </c>
      <c r="S20" s="149" t="str">
        <f t="shared" ca="1" si="45"/>
        <v/>
      </c>
      <c r="T20" s="150" t="str">
        <f t="shared" si="60"/>
        <v/>
      </c>
      <c r="U20" s="149" t="str">
        <f t="shared" ca="1" si="46"/>
        <v/>
      </c>
      <c r="V20" s="150" t="str">
        <f t="shared" si="61"/>
        <v/>
      </c>
      <c r="W20" s="149" t="str">
        <f t="shared" ca="1" si="47"/>
        <v/>
      </c>
      <c r="X20" s="150" t="str">
        <f t="shared" si="62"/>
        <v/>
      </c>
      <c r="Y20" s="149" t="str">
        <f t="shared" ca="1" si="48"/>
        <v/>
      </c>
      <c r="Z20" s="150" t="str">
        <f t="shared" si="63"/>
        <v/>
      </c>
      <c r="AA20" s="149" t="str">
        <f t="shared" ca="1" si="49"/>
        <v/>
      </c>
      <c r="AB20" s="150" t="str">
        <f t="shared" si="64"/>
        <v/>
      </c>
      <c r="AC20" s="149" t="str">
        <f t="shared" ca="1" si="50"/>
        <v/>
      </c>
      <c r="AD20" s="150" t="str">
        <f t="shared" si="65"/>
        <v/>
      </c>
      <c r="AE20" s="146"/>
      <c r="AF20" s="146"/>
      <c r="AG20" s="146"/>
      <c r="AH20" s="146"/>
      <c r="AI20" s="146"/>
      <c r="AJ20" s="146"/>
      <c r="AL20" s="211" t="e">
        <f t="shared" ca="1" si="66"/>
        <v>#DIV/0!</v>
      </c>
      <c r="AM20" s="70" t="e">
        <f t="shared" ca="1" si="67"/>
        <v>#DIV/0!</v>
      </c>
      <c r="AN20" s="276" t="e">
        <f t="shared" ca="1" si="68"/>
        <v>#DIV/0!</v>
      </c>
      <c r="AO20" s="276" t="e">
        <f t="shared" ca="1" si="69"/>
        <v>#DIV/0!</v>
      </c>
    </row>
    <row r="21" spans="1:41" ht="21.75" hidden="1" customHeight="1" outlineLevel="1">
      <c r="A21" s="273"/>
      <c r="B21" s="148" t="str">
        <f t="shared" si="51"/>
        <v/>
      </c>
      <c r="C21" s="149" t="str">
        <f t="shared" si="37"/>
        <v/>
      </c>
      <c r="D21" s="150" t="str">
        <f t="shared" si="52"/>
        <v/>
      </c>
      <c r="E21" s="149" t="str">
        <f t="shared" si="38"/>
        <v/>
      </c>
      <c r="F21" s="150" t="str">
        <f t="shared" si="53"/>
        <v/>
      </c>
      <c r="G21" s="149" t="str">
        <f t="shared" ca="1" si="39"/>
        <v/>
      </c>
      <c r="H21" s="150" t="str">
        <f t="shared" si="54"/>
        <v/>
      </c>
      <c r="I21" s="149" t="str">
        <f t="shared" ca="1" si="40"/>
        <v/>
      </c>
      <c r="J21" s="150" t="str">
        <f t="shared" si="55"/>
        <v/>
      </c>
      <c r="K21" s="149" t="str">
        <f t="shared" ca="1" si="41"/>
        <v/>
      </c>
      <c r="L21" s="150" t="str">
        <f t="shared" si="56"/>
        <v/>
      </c>
      <c r="M21" s="149" t="str">
        <f t="shared" ca="1" si="42"/>
        <v/>
      </c>
      <c r="N21" s="150" t="str">
        <f t="shared" si="57"/>
        <v/>
      </c>
      <c r="O21" s="149" t="str">
        <f t="shared" ca="1" si="43"/>
        <v/>
      </c>
      <c r="P21" s="150" t="str">
        <f t="shared" si="58"/>
        <v/>
      </c>
      <c r="Q21" s="149" t="str">
        <f t="shared" ca="1" si="44"/>
        <v/>
      </c>
      <c r="R21" s="150" t="str">
        <f t="shared" si="59"/>
        <v/>
      </c>
      <c r="S21" s="149" t="str">
        <f t="shared" ca="1" si="45"/>
        <v/>
      </c>
      <c r="T21" s="150" t="str">
        <f t="shared" si="60"/>
        <v/>
      </c>
      <c r="U21" s="149" t="str">
        <f t="shared" ca="1" si="46"/>
        <v/>
      </c>
      <c r="V21" s="150" t="str">
        <f t="shared" si="61"/>
        <v/>
      </c>
      <c r="W21" s="149" t="str">
        <f t="shared" ca="1" si="47"/>
        <v/>
      </c>
      <c r="X21" s="150" t="str">
        <f t="shared" si="62"/>
        <v/>
      </c>
      <c r="Y21" s="149" t="str">
        <f t="shared" ca="1" si="48"/>
        <v/>
      </c>
      <c r="Z21" s="150" t="str">
        <f t="shared" si="63"/>
        <v/>
      </c>
      <c r="AA21" s="149" t="str">
        <f t="shared" ca="1" si="49"/>
        <v/>
      </c>
      <c r="AB21" s="150" t="str">
        <f t="shared" si="64"/>
        <v/>
      </c>
      <c r="AC21" s="149" t="str">
        <f t="shared" ca="1" si="50"/>
        <v/>
      </c>
      <c r="AD21" s="150" t="str">
        <f t="shared" si="65"/>
        <v/>
      </c>
      <c r="AE21" s="146"/>
      <c r="AF21" s="146"/>
      <c r="AG21" s="146"/>
      <c r="AH21" s="146"/>
      <c r="AI21" s="146"/>
      <c r="AJ21" s="146"/>
      <c r="AL21" s="211" t="e">
        <f t="shared" ca="1" si="66"/>
        <v>#DIV/0!</v>
      </c>
      <c r="AM21" s="70" t="e">
        <f t="shared" ca="1" si="67"/>
        <v>#DIV/0!</v>
      </c>
      <c r="AN21" s="276" t="e">
        <f t="shared" ca="1" si="68"/>
        <v>#DIV/0!</v>
      </c>
      <c r="AO21" s="276" t="e">
        <f t="shared" ca="1" si="69"/>
        <v>#DIV/0!</v>
      </c>
    </row>
    <row r="22" spans="1:41" ht="21.75" hidden="1" customHeight="1" outlineLevel="1">
      <c r="A22" s="275"/>
      <c r="B22" s="148" t="str">
        <f t="shared" si="51"/>
        <v/>
      </c>
      <c r="C22" s="149" t="str">
        <f t="shared" si="37"/>
        <v/>
      </c>
      <c r="D22" s="150" t="str">
        <f t="shared" si="52"/>
        <v/>
      </c>
      <c r="E22" s="149" t="str">
        <f t="shared" si="38"/>
        <v/>
      </c>
      <c r="F22" s="150" t="str">
        <f t="shared" si="53"/>
        <v/>
      </c>
      <c r="G22" s="149" t="str">
        <f t="shared" ca="1" si="39"/>
        <v/>
      </c>
      <c r="H22" s="150" t="str">
        <f t="shared" si="54"/>
        <v/>
      </c>
      <c r="I22" s="149" t="str">
        <f t="shared" ca="1" si="40"/>
        <v/>
      </c>
      <c r="J22" s="150" t="str">
        <f t="shared" si="55"/>
        <v/>
      </c>
      <c r="K22" s="149" t="str">
        <f t="shared" ca="1" si="41"/>
        <v/>
      </c>
      <c r="L22" s="150" t="str">
        <f t="shared" si="56"/>
        <v/>
      </c>
      <c r="M22" s="149" t="str">
        <f t="shared" ca="1" si="42"/>
        <v/>
      </c>
      <c r="N22" s="150" t="str">
        <f t="shared" si="57"/>
        <v/>
      </c>
      <c r="O22" s="149" t="str">
        <f t="shared" ca="1" si="43"/>
        <v/>
      </c>
      <c r="P22" s="150" t="str">
        <f t="shared" si="58"/>
        <v/>
      </c>
      <c r="Q22" s="149" t="str">
        <f t="shared" ca="1" si="44"/>
        <v/>
      </c>
      <c r="R22" s="150" t="str">
        <f t="shared" si="59"/>
        <v/>
      </c>
      <c r="S22" s="149" t="str">
        <f t="shared" ca="1" si="45"/>
        <v/>
      </c>
      <c r="T22" s="150" t="str">
        <f t="shared" si="60"/>
        <v/>
      </c>
      <c r="U22" s="149" t="str">
        <f t="shared" ca="1" si="46"/>
        <v/>
      </c>
      <c r="V22" s="150" t="str">
        <f t="shared" si="61"/>
        <v/>
      </c>
      <c r="W22" s="149" t="str">
        <f t="shared" ca="1" si="47"/>
        <v/>
      </c>
      <c r="X22" s="150" t="str">
        <f t="shared" si="62"/>
        <v/>
      </c>
      <c r="Y22" s="149" t="str">
        <f t="shared" ca="1" si="48"/>
        <v/>
      </c>
      <c r="Z22" s="150" t="str">
        <f t="shared" si="63"/>
        <v/>
      </c>
      <c r="AA22" s="149" t="str">
        <f t="shared" ca="1" si="49"/>
        <v/>
      </c>
      <c r="AB22" s="150" t="str">
        <f t="shared" si="64"/>
        <v/>
      </c>
      <c r="AC22" s="149" t="str">
        <f t="shared" ca="1" si="50"/>
        <v/>
      </c>
      <c r="AD22" s="150" t="str">
        <f t="shared" si="65"/>
        <v/>
      </c>
      <c r="AE22" s="146"/>
      <c r="AF22" s="146"/>
      <c r="AG22" s="146"/>
      <c r="AH22" s="146"/>
      <c r="AI22" s="146"/>
      <c r="AJ22" s="146"/>
      <c r="AL22" s="211" t="e">
        <f t="shared" ca="1" si="66"/>
        <v>#DIV/0!</v>
      </c>
      <c r="AM22" s="70" t="e">
        <f t="shared" ca="1" si="67"/>
        <v>#DIV/0!</v>
      </c>
      <c r="AN22" s="276" t="e">
        <f t="shared" ca="1" si="68"/>
        <v>#DIV/0!</v>
      </c>
      <c r="AO22" s="276" t="e">
        <f t="shared" ca="1" si="69"/>
        <v>#DIV/0!</v>
      </c>
    </row>
    <row r="23" spans="1:41" ht="21.75" hidden="1" customHeight="1" outlineLevel="1">
      <c r="A23" s="275"/>
      <c r="B23" s="148" t="str">
        <f t="shared" si="51"/>
        <v/>
      </c>
      <c r="C23" s="149" t="str">
        <f t="shared" si="37"/>
        <v/>
      </c>
      <c r="D23" s="150" t="str">
        <f t="shared" si="52"/>
        <v/>
      </c>
      <c r="E23" s="149" t="str">
        <f t="shared" si="38"/>
        <v/>
      </c>
      <c r="F23" s="150" t="str">
        <f t="shared" si="53"/>
        <v/>
      </c>
      <c r="G23" s="149" t="str">
        <f t="shared" ca="1" si="39"/>
        <v/>
      </c>
      <c r="H23" s="150" t="str">
        <f t="shared" si="54"/>
        <v/>
      </c>
      <c r="I23" s="149" t="str">
        <f t="shared" ca="1" si="40"/>
        <v/>
      </c>
      <c r="J23" s="150" t="str">
        <f t="shared" si="55"/>
        <v/>
      </c>
      <c r="K23" s="149" t="str">
        <f t="shared" ca="1" si="41"/>
        <v/>
      </c>
      <c r="L23" s="150" t="str">
        <f t="shared" si="56"/>
        <v/>
      </c>
      <c r="M23" s="149" t="str">
        <f t="shared" ca="1" si="42"/>
        <v/>
      </c>
      <c r="N23" s="150" t="str">
        <f t="shared" si="57"/>
        <v/>
      </c>
      <c r="O23" s="149" t="str">
        <f t="shared" ca="1" si="43"/>
        <v/>
      </c>
      <c r="P23" s="150" t="str">
        <f t="shared" si="58"/>
        <v/>
      </c>
      <c r="Q23" s="149" t="str">
        <f t="shared" ca="1" si="44"/>
        <v/>
      </c>
      <c r="R23" s="150" t="str">
        <f t="shared" si="59"/>
        <v/>
      </c>
      <c r="S23" s="149" t="str">
        <f t="shared" ca="1" si="45"/>
        <v/>
      </c>
      <c r="T23" s="150" t="str">
        <f t="shared" si="60"/>
        <v/>
      </c>
      <c r="U23" s="149" t="str">
        <f t="shared" ca="1" si="46"/>
        <v/>
      </c>
      <c r="V23" s="150" t="str">
        <f t="shared" si="61"/>
        <v/>
      </c>
      <c r="W23" s="149" t="str">
        <f t="shared" ca="1" si="47"/>
        <v/>
      </c>
      <c r="X23" s="150" t="str">
        <f t="shared" si="62"/>
        <v/>
      </c>
      <c r="Y23" s="149" t="str">
        <f t="shared" ca="1" si="48"/>
        <v/>
      </c>
      <c r="Z23" s="150" t="str">
        <f t="shared" si="63"/>
        <v/>
      </c>
      <c r="AA23" s="149" t="str">
        <f t="shared" ca="1" si="49"/>
        <v/>
      </c>
      <c r="AB23" s="150" t="str">
        <f t="shared" si="64"/>
        <v/>
      </c>
      <c r="AC23" s="149" t="str">
        <f t="shared" ca="1" si="50"/>
        <v/>
      </c>
      <c r="AD23" s="150" t="str">
        <f t="shared" si="65"/>
        <v/>
      </c>
      <c r="AE23" s="146"/>
      <c r="AF23" s="146"/>
      <c r="AG23" s="146"/>
      <c r="AH23" s="146"/>
      <c r="AI23" s="146"/>
      <c r="AJ23" s="146"/>
      <c r="AL23" s="211" t="e">
        <f t="shared" ca="1" si="66"/>
        <v>#DIV/0!</v>
      </c>
      <c r="AM23" s="70" t="e">
        <f t="shared" ca="1" si="67"/>
        <v>#DIV/0!</v>
      </c>
      <c r="AN23" s="276" t="e">
        <f t="shared" ca="1" si="68"/>
        <v>#DIV/0!</v>
      </c>
      <c r="AO23" s="276" t="e">
        <f t="shared" ca="1" si="69"/>
        <v>#DIV/0!</v>
      </c>
    </row>
    <row r="24" spans="1:41" ht="21.75" hidden="1" customHeight="1" outlineLevel="1">
      <c r="A24" s="274"/>
      <c r="B24" s="148" t="str">
        <f t="shared" si="51"/>
        <v/>
      </c>
      <c r="C24" s="149" t="str">
        <f t="shared" si="37"/>
        <v/>
      </c>
      <c r="D24" s="150" t="str">
        <f t="shared" si="52"/>
        <v/>
      </c>
      <c r="E24" s="149" t="str">
        <f t="shared" si="38"/>
        <v/>
      </c>
      <c r="F24" s="150" t="str">
        <f t="shared" si="53"/>
        <v/>
      </c>
      <c r="G24" s="149" t="str">
        <f t="shared" ca="1" si="39"/>
        <v/>
      </c>
      <c r="H24" s="150" t="str">
        <f t="shared" si="54"/>
        <v/>
      </c>
      <c r="I24" s="149" t="str">
        <f t="shared" ca="1" si="40"/>
        <v/>
      </c>
      <c r="J24" s="150" t="str">
        <f t="shared" si="55"/>
        <v/>
      </c>
      <c r="K24" s="149" t="str">
        <f t="shared" ca="1" si="41"/>
        <v/>
      </c>
      <c r="L24" s="150" t="str">
        <f t="shared" si="56"/>
        <v/>
      </c>
      <c r="M24" s="149" t="str">
        <f t="shared" ca="1" si="42"/>
        <v/>
      </c>
      <c r="N24" s="150" t="str">
        <f t="shared" si="57"/>
        <v/>
      </c>
      <c r="O24" s="149" t="str">
        <f t="shared" ca="1" si="43"/>
        <v/>
      </c>
      <c r="P24" s="150" t="str">
        <f t="shared" si="58"/>
        <v/>
      </c>
      <c r="Q24" s="149" t="str">
        <f t="shared" ca="1" si="44"/>
        <v/>
      </c>
      <c r="R24" s="150" t="str">
        <f t="shared" si="59"/>
        <v/>
      </c>
      <c r="S24" s="149" t="str">
        <f t="shared" ca="1" si="45"/>
        <v/>
      </c>
      <c r="T24" s="150" t="str">
        <f t="shared" si="60"/>
        <v/>
      </c>
      <c r="U24" s="149" t="str">
        <f t="shared" ca="1" si="46"/>
        <v/>
      </c>
      <c r="V24" s="150" t="str">
        <f t="shared" si="61"/>
        <v/>
      </c>
      <c r="W24" s="149" t="str">
        <f t="shared" ca="1" si="47"/>
        <v/>
      </c>
      <c r="X24" s="150" t="str">
        <f t="shared" si="62"/>
        <v/>
      </c>
      <c r="Y24" s="149" t="str">
        <f t="shared" ca="1" si="48"/>
        <v/>
      </c>
      <c r="Z24" s="150" t="str">
        <f t="shared" si="63"/>
        <v/>
      </c>
      <c r="AA24" s="149" t="str">
        <f t="shared" ca="1" si="49"/>
        <v/>
      </c>
      <c r="AB24" s="150" t="str">
        <f t="shared" si="64"/>
        <v/>
      </c>
      <c r="AC24" s="149" t="str">
        <f t="shared" ca="1" si="50"/>
        <v/>
      </c>
      <c r="AD24" s="150" t="str">
        <f t="shared" si="65"/>
        <v/>
      </c>
      <c r="AE24" s="146"/>
      <c r="AF24" s="146"/>
      <c r="AG24" s="146"/>
      <c r="AH24" s="146"/>
      <c r="AI24" s="146"/>
      <c r="AJ24" s="146"/>
      <c r="AL24" s="211" t="e">
        <f t="shared" ca="1" si="66"/>
        <v>#DIV/0!</v>
      </c>
      <c r="AM24" s="70" t="e">
        <f t="shared" ca="1" si="67"/>
        <v>#DIV/0!</v>
      </c>
      <c r="AN24" s="276" t="e">
        <f t="shared" ca="1" si="68"/>
        <v>#DIV/0!</v>
      </c>
      <c r="AO24" s="276" t="e">
        <f t="shared" ca="1" si="69"/>
        <v>#DIV/0!</v>
      </c>
    </row>
    <row r="25" spans="1:41" ht="21.75" hidden="1" customHeight="1" outlineLevel="1">
      <c r="A25" s="273"/>
      <c r="B25" s="148" t="str">
        <f t="shared" si="51"/>
        <v/>
      </c>
      <c r="C25" s="149" t="str">
        <f t="shared" si="37"/>
        <v/>
      </c>
      <c r="D25" s="150" t="str">
        <f t="shared" si="52"/>
        <v/>
      </c>
      <c r="E25" s="149" t="str">
        <f t="shared" si="38"/>
        <v/>
      </c>
      <c r="F25" s="150" t="str">
        <f t="shared" si="53"/>
        <v/>
      </c>
      <c r="G25" s="149" t="str">
        <f t="shared" ca="1" si="39"/>
        <v/>
      </c>
      <c r="H25" s="150" t="str">
        <f t="shared" si="54"/>
        <v/>
      </c>
      <c r="I25" s="149" t="str">
        <f t="shared" ca="1" si="40"/>
        <v/>
      </c>
      <c r="J25" s="150" t="str">
        <f t="shared" si="55"/>
        <v/>
      </c>
      <c r="K25" s="149" t="str">
        <f t="shared" ca="1" si="41"/>
        <v/>
      </c>
      <c r="L25" s="150" t="str">
        <f t="shared" si="56"/>
        <v/>
      </c>
      <c r="M25" s="149" t="str">
        <f t="shared" ca="1" si="42"/>
        <v/>
      </c>
      <c r="N25" s="150" t="str">
        <f t="shared" si="57"/>
        <v/>
      </c>
      <c r="O25" s="149" t="str">
        <f t="shared" ca="1" si="43"/>
        <v/>
      </c>
      <c r="P25" s="150" t="str">
        <f t="shared" si="58"/>
        <v/>
      </c>
      <c r="Q25" s="149" t="str">
        <f t="shared" ca="1" si="44"/>
        <v/>
      </c>
      <c r="R25" s="150" t="str">
        <f t="shared" si="59"/>
        <v/>
      </c>
      <c r="S25" s="149" t="str">
        <f t="shared" ca="1" si="45"/>
        <v/>
      </c>
      <c r="T25" s="150" t="str">
        <f t="shared" si="60"/>
        <v/>
      </c>
      <c r="U25" s="149" t="str">
        <f t="shared" ca="1" si="46"/>
        <v/>
      </c>
      <c r="V25" s="150" t="str">
        <f t="shared" si="61"/>
        <v/>
      </c>
      <c r="W25" s="149" t="str">
        <f t="shared" ca="1" si="47"/>
        <v/>
      </c>
      <c r="X25" s="150" t="str">
        <f t="shared" si="62"/>
        <v/>
      </c>
      <c r="Y25" s="149" t="str">
        <f t="shared" ca="1" si="48"/>
        <v/>
      </c>
      <c r="Z25" s="150" t="str">
        <f t="shared" si="63"/>
        <v/>
      </c>
      <c r="AA25" s="149" t="str">
        <f t="shared" ca="1" si="49"/>
        <v/>
      </c>
      <c r="AB25" s="150" t="str">
        <f t="shared" si="64"/>
        <v/>
      </c>
      <c r="AC25" s="149" t="str">
        <f t="shared" ca="1" si="50"/>
        <v/>
      </c>
      <c r="AD25" s="150" t="str">
        <f t="shared" si="65"/>
        <v/>
      </c>
      <c r="AE25" s="146"/>
      <c r="AF25" s="146"/>
      <c r="AG25" s="146"/>
      <c r="AH25" s="146"/>
      <c r="AI25" s="146"/>
      <c r="AJ25" s="146"/>
      <c r="AL25" s="211" t="e">
        <f t="shared" ca="1" si="66"/>
        <v>#DIV/0!</v>
      </c>
      <c r="AM25" s="70" t="e">
        <f t="shared" ca="1" si="67"/>
        <v>#DIV/0!</v>
      </c>
      <c r="AN25" s="276" t="e">
        <f t="shared" ca="1" si="68"/>
        <v>#DIV/0!</v>
      </c>
      <c r="AO25" s="276" t="e">
        <f t="shared" ca="1" si="69"/>
        <v>#DIV/0!</v>
      </c>
    </row>
    <row r="26" spans="1:41" ht="21.75" hidden="1" customHeight="1" outlineLevel="1">
      <c r="A26" s="273"/>
      <c r="B26" s="148" t="str">
        <f t="shared" si="51"/>
        <v/>
      </c>
      <c r="C26" s="149" t="str">
        <f t="shared" si="37"/>
        <v/>
      </c>
      <c r="D26" s="150" t="str">
        <f t="shared" si="52"/>
        <v/>
      </c>
      <c r="E26" s="149" t="str">
        <f t="shared" si="38"/>
        <v/>
      </c>
      <c r="F26" s="150" t="str">
        <f t="shared" si="53"/>
        <v/>
      </c>
      <c r="G26" s="149" t="str">
        <f t="shared" ca="1" si="39"/>
        <v/>
      </c>
      <c r="H26" s="150" t="str">
        <f t="shared" si="54"/>
        <v/>
      </c>
      <c r="I26" s="149" t="str">
        <f t="shared" ca="1" si="40"/>
        <v/>
      </c>
      <c r="J26" s="150" t="str">
        <f t="shared" si="55"/>
        <v/>
      </c>
      <c r="K26" s="149" t="str">
        <f t="shared" ca="1" si="41"/>
        <v/>
      </c>
      <c r="L26" s="150" t="str">
        <f t="shared" si="56"/>
        <v/>
      </c>
      <c r="M26" s="149" t="str">
        <f t="shared" ca="1" si="42"/>
        <v/>
      </c>
      <c r="N26" s="150" t="str">
        <f t="shared" si="57"/>
        <v/>
      </c>
      <c r="O26" s="149" t="str">
        <f t="shared" ca="1" si="43"/>
        <v/>
      </c>
      <c r="P26" s="150" t="str">
        <f t="shared" si="58"/>
        <v/>
      </c>
      <c r="Q26" s="149" t="str">
        <f t="shared" ca="1" si="44"/>
        <v/>
      </c>
      <c r="R26" s="150" t="str">
        <f t="shared" si="59"/>
        <v/>
      </c>
      <c r="S26" s="149" t="str">
        <f t="shared" ca="1" si="45"/>
        <v/>
      </c>
      <c r="T26" s="150" t="str">
        <f t="shared" si="60"/>
        <v/>
      </c>
      <c r="U26" s="149" t="str">
        <f t="shared" ca="1" si="46"/>
        <v/>
      </c>
      <c r="V26" s="150" t="str">
        <f t="shared" si="61"/>
        <v/>
      </c>
      <c r="W26" s="149" t="str">
        <f t="shared" ca="1" si="47"/>
        <v/>
      </c>
      <c r="X26" s="150" t="str">
        <f t="shared" si="62"/>
        <v/>
      </c>
      <c r="Y26" s="149" t="str">
        <f t="shared" ca="1" si="48"/>
        <v/>
      </c>
      <c r="Z26" s="150" t="str">
        <f t="shared" si="63"/>
        <v/>
      </c>
      <c r="AA26" s="149" t="str">
        <f t="shared" ca="1" si="49"/>
        <v/>
      </c>
      <c r="AB26" s="150" t="str">
        <f t="shared" si="64"/>
        <v/>
      </c>
      <c r="AC26" s="149" t="str">
        <f t="shared" ca="1" si="50"/>
        <v/>
      </c>
      <c r="AD26" s="150" t="str">
        <f t="shared" si="65"/>
        <v/>
      </c>
      <c r="AE26" s="146"/>
      <c r="AF26" s="146"/>
      <c r="AG26" s="146"/>
      <c r="AH26" s="146"/>
      <c r="AI26" s="146"/>
      <c r="AJ26" s="146"/>
      <c r="AL26" s="211" t="e">
        <f t="shared" ca="1" si="66"/>
        <v>#DIV/0!</v>
      </c>
      <c r="AM26" s="70" t="e">
        <f t="shared" ca="1" si="67"/>
        <v>#DIV/0!</v>
      </c>
      <c r="AN26" s="276" t="e">
        <f t="shared" ca="1" si="68"/>
        <v>#DIV/0!</v>
      </c>
      <c r="AO26" s="276" t="e">
        <f t="shared" ca="1" si="69"/>
        <v>#DIV/0!</v>
      </c>
    </row>
    <row r="27" spans="1:41" ht="21.75" hidden="1" customHeight="1" outlineLevel="1">
      <c r="A27" s="273"/>
      <c r="B27" s="148" t="str">
        <f t="shared" si="51"/>
        <v/>
      </c>
      <c r="C27" s="149" t="str">
        <f t="shared" si="37"/>
        <v/>
      </c>
      <c r="D27" s="150" t="str">
        <f t="shared" si="52"/>
        <v/>
      </c>
      <c r="E27" s="149" t="str">
        <f t="shared" si="38"/>
        <v/>
      </c>
      <c r="F27" s="150" t="str">
        <f t="shared" si="53"/>
        <v/>
      </c>
      <c r="G27" s="149" t="str">
        <f t="shared" ca="1" si="39"/>
        <v/>
      </c>
      <c r="H27" s="150" t="str">
        <f t="shared" si="54"/>
        <v/>
      </c>
      <c r="I27" s="149" t="str">
        <f t="shared" ca="1" si="40"/>
        <v/>
      </c>
      <c r="J27" s="150" t="str">
        <f t="shared" si="55"/>
        <v/>
      </c>
      <c r="K27" s="149" t="str">
        <f t="shared" ca="1" si="41"/>
        <v/>
      </c>
      <c r="L27" s="150" t="str">
        <f t="shared" si="56"/>
        <v/>
      </c>
      <c r="M27" s="149" t="str">
        <f t="shared" ca="1" si="42"/>
        <v/>
      </c>
      <c r="N27" s="150" t="str">
        <f t="shared" si="57"/>
        <v/>
      </c>
      <c r="O27" s="149" t="str">
        <f t="shared" ca="1" si="43"/>
        <v/>
      </c>
      <c r="P27" s="150" t="str">
        <f t="shared" si="58"/>
        <v/>
      </c>
      <c r="Q27" s="149" t="str">
        <f t="shared" ca="1" si="44"/>
        <v/>
      </c>
      <c r="R27" s="150" t="str">
        <f t="shared" si="59"/>
        <v/>
      </c>
      <c r="S27" s="149" t="str">
        <f t="shared" ca="1" si="45"/>
        <v/>
      </c>
      <c r="T27" s="150" t="str">
        <f t="shared" si="60"/>
        <v/>
      </c>
      <c r="U27" s="149" t="str">
        <f t="shared" ca="1" si="46"/>
        <v/>
      </c>
      <c r="V27" s="150" t="str">
        <f t="shared" si="61"/>
        <v/>
      </c>
      <c r="W27" s="149" t="str">
        <f t="shared" ca="1" si="47"/>
        <v/>
      </c>
      <c r="X27" s="150" t="str">
        <f t="shared" si="62"/>
        <v/>
      </c>
      <c r="Y27" s="149" t="str">
        <f t="shared" ca="1" si="48"/>
        <v/>
      </c>
      <c r="Z27" s="150" t="str">
        <f t="shared" si="63"/>
        <v/>
      </c>
      <c r="AA27" s="149" t="str">
        <f t="shared" ca="1" si="49"/>
        <v/>
      </c>
      <c r="AB27" s="150" t="str">
        <f t="shared" si="64"/>
        <v/>
      </c>
      <c r="AC27" s="149" t="str">
        <f t="shared" ca="1" si="50"/>
        <v/>
      </c>
      <c r="AD27" s="150" t="str">
        <f t="shared" si="65"/>
        <v/>
      </c>
      <c r="AE27" s="146"/>
      <c r="AF27" s="146"/>
      <c r="AG27" s="146"/>
      <c r="AH27" s="146"/>
      <c r="AI27" s="146"/>
      <c r="AJ27" s="146"/>
      <c r="AL27" s="211" t="e">
        <f t="shared" ca="1" si="66"/>
        <v>#DIV/0!</v>
      </c>
      <c r="AM27" s="70" t="e">
        <f t="shared" ca="1" si="67"/>
        <v>#DIV/0!</v>
      </c>
      <c r="AN27" s="276" t="e">
        <f t="shared" ca="1" si="68"/>
        <v>#DIV/0!</v>
      </c>
      <c r="AO27" s="276" t="e">
        <f t="shared" ca="1" si="69"/>
        <v>#DIV/0!</v>
      </c>
    </row>
    <row r="28" spans="1:41" ht="21.75" hidden="1" customHeight="1" outlineLevel="1">
      <c r="A28" s="273"/>
      <c r="B28" s="148" t="str">
        <f t="shared" si="51"/>
        <v/>
      </c>
      <c r="C28" s="149" t="str">
        <f t="shared" si="37"/>
        <v/>
      </c>
      <c r="D28" s="150" t="str">
        <f t="shared" si="52"/>
        <v/>
      </c>
      <c r="E28" s="149" t="str">
        <f t="shared" si="38"/>
        <v/>
      </c>
      <c r="F28" s="150" t="str">
        <f t="shared" si="53"/>
        <v/>
      </c>
      <c r="G28" s="149" t="str">
        <f t="shared" ca="1" si="39"/>
        <v/>
      </c>
      <c r="H28" s="150" t="str">
        <f t="shared" si="54"/>
        <v/>
      </c>
      <c r="I28" s="149" t="str">
        <f t="shared" ca="1" si="40"/>
        <v/>
      </c>
      <c r="J28" s="150" t="str">
        <f t="shared" si="55"/>
        <v/>
      </c>
      <c r="K28" s="149" t="str">
        <f t="shared" ca="1" si="41"/>
        <v/>
      </c>
      <c r="L28" s="150" t="str">
        <f t="shared" si="56"/>
        <v/>
      </c>
      <c r="M28" s="149" t="str">
        <f t="shared" ca="1" si="42"/>
        <v/>
      </c>
      <c r="N28" s="150" t="str">
        <f t="shared" si="57"/>
        <v/>
      </c>
      <c r="O28" s="149" t="str">
        <f t="shared" ca="1" si="43"/>
        <v/>
      </c>
      <c r="P28" s="150" t="str">
        <f t="shared" si="58"/>
        <v/>
      </c>
      <c r="Q28" s="149" t="str">
        <f t="shared" ca="1" si="44"/>
        <v/>
      </c>
      <c r="R28" s="150" t="str">
        <f t="shared" si="59"/>
        <v/>
      </c>
      <c r="S28" s="149" t="str">
        <f t="shared" ca="1" si="45"/>
        <v/>
      </c>
      <c r="T28" s="150" t="str">
        <f t="shared" si="60"/>
        <v/>
      </c>
      <c r="U28" s="149" t="str">
        <f t="shared" ca="1" si="46"/>
        <v/>
      </c>
      <c r="V28" s="150" t="str">
        <f t="shared" si="61"/>
        <v/>
      </c>
      <c r="W28" s="149" t="str">
        <f t="shared" ca="1" si="47"/>
        <v/>
      </c>
      <c r="X28" s="150" t="str">
        <f t="shared" si="62"/>
        <v/>
      </c>
      <c r="Y28" s="149" t="str">
        <f t="shared" ca="1" si="48"/>
        <v/>
      </c>
      <c r="Z28" s="150" t="str">
        <f t="shared" si="63"/>
        <v/>
      </c>
      <c r="AA28" s="149" t="str">
        <f t="shared" ca="1" si="49"/>
        <v/>
      </c>
      <c r="AB28" s="150" t="str">
        <f t="shared" si="64"/>
        <v/>
      </c>
      <c r="AC28" s="149" t="str">
        <f t="shared" ca="1" si="50"/>
        <v/>
      </c>
      <c r="AD28" s="150" t="str">
        <f t="shared" si="65"/>
        <v/>
      </c>
      <c r="AE28" s="146"/>
      <c r="AF28" s="146"/>
      <c r="AG28" s="146"/>
      <c r="AH28" s="146"/>
      <c r="AI28" s="146"/>
      <c r="AJ28" s="146"/>
      <c r="AL28" s="211" t="e">
        <f t="shared" ca="1" si="66"/>
        <v>#DIV/0!</v>
      </c>
      <c r="AM28" s="70" t="e">
        <f t="shared" ca="1" si="67"/>
        <v>#DIV/0!</v>
      </c>
      <c r="AN28" s="276" t="e">
        <f t="shared" ca="1" si="68"/>
        <v>#DIV/0!</v>
      </c>
      <c r="AO28" s="276" t="e">
        <f t="shared" ca="1" si="69"/>
        <v>#DIV/0!</v>
      </c>
    </row>
    <row r="29" spans="1:41" ht="21.75" hidden="1" customHeight="1" outlineLevel="1">
      <c r="A29" s="273"/>
      <c r="B29" s="148" t="str">
        <f t="shared" si="51"/>
        <v/>
      </c>
      <c r="C29" s="149" t="str">
        <f t="shared" si="37"/>
        <v/>
      </c>
      <c r="D29" s="150" t="str">
        <f t="shared" si="52"/>
        <v/>
      </c>
      <c r="E29" s="149" t="str">
        <f t="shared" si="38"/>
        <v/>
      </c>
      <c r="F29" s="150" t="str">
        <f t="shared" si="53"/>
        <v/>
      </c>
      <c r="G29" s="149" t="str">
        <f t="shared" ca="1" si="39"/>
        <v/>
      </c>
      <c r="H29" s="150" t="str">
        <f t="shared" si="54"/>
        <v/>
      </c>
      <c r="I29" s="149" t="str">
        <f t="shared" ca="1" si="40"/>
        <v/>
      </c>
      <c r="J29" s="150" t="str">
        <f t="shared" si="55"/>
        <v/>
      </c>
      <c r="K29" s="149" t="str">
        <f t="shared" ca="1" si="41"/>
        <v/>
      </c>
      <c r="L29" s="150" t="str">
        <f t="shared" si="56"/>
        <v/>
      </c>
      <c r="M29" s="149" t="str">
        <f t="shared" ca="1" si="42"/>
        <v/>
      </c>
      <c r="N29" s="150" t="str">
        <f t="shared" si="57"/>
        <v/>
      </c>
      <c r="O29" s="149" t="str">
        <f t="shared" ca="1" si="43"/>
        <v/>
      </c>
      <c r="P29" s="150" t="str">
        <f t="shared" si="58"/>
        <v/>
      </c>
      <c r="Q29" s="149" t="str">
        <f t="shared" ca="1" si="44"/>
        <v/>
      </c>
      <c r="R29" s="150" t="str">
        <f t="shared" si="59"/>
        <v/>
      </c>
      <c r="S29" s="149" t="str">
        <f t="shared" ca="1" si="45"/>
        <v/>
      </c>
      <c r="T29" s="150" t="str">
        <f t="shared" si="60"/>
        <v/>
      </c>
      <c r="U29" s="149" t="str">
        <f t="shared" ca="1" si="46"/>
        <v/>
      </c>
      <c r="V29" s="150" t="str">
        <f t="shared" si="61"/>
        <v/>
      </c>
      <c r="W29" s="149" t="str">
        <f t="shared" ca="1" si="47"/>
        <v/>
      </c>
      <c r="X29" s="150" t="str">
        <f t="shared" si="62"/>
        <v/>
      </c>
      <c r="Y29" s="149" t="str">
        <f t="shared" ca="1" si="48"/>
        <v/>
      </c>
      <c r="Z29" s="150" t="str">
        <f t="shared" si="63"/>
        <v/>
      </c>
      <c r="AA29" s="149" t="str">
        <f t="shared" ca="1" si="49"/>
        <v/>
      </c>
      <c r="AB29" s="150" t="str">
        <f t="shared" si="64"/>
        <v/>
      </c>
      <c r="AC29" s="149" t="str">
        <f t="shared" ca="1" si="50"/>
        <v/>
      </c>
      <c r="AD29" s="150" t="str">
        <f t="shared" si="65"/>
        <v/>
      </c>
      <c r="AE29" s="146"/>
      <c r="AF29" s="146"/>
      <c r="AG29" s="146"/>
      <c r="AH29" s="146"/>
      <c r="AI29" s="146"/>
      <c r="AJ29" s="146"/>
      <c r="AL29" s="211" t="e">
        <f t="shared" ca="1" si="66"/>
        <v>#DIV/0!</v>
      </c>
      <c r="AM29" s="70" t="e">
        <f t="shared" ca="1" si="67"/>
        <v>#DIV/0!</v>
      </c>
      <c r="AN29" s="276" t="e">
        <f t="shared" ca="1" si="68"/>
        <v>#DIV/0!</v>
      </c>
      <c r="AO29" s="276" t="e">
        <f t="shared" ca="1" si="69"/>
        <v>#DIV/0!</v>
      </c>
    </row>
    <row r="30" spans="1:41" ht="21.75" hidden="1" customHeight="1" outlineLevel="1">
      <c r="A30" s="273"/>
      <c r="B30" s="148" t="str">
        <f t="shared" si="51"/>
        <v/>
      </c>
      <c r="C30" s="149" t="str">
        <f t="shared" si="37"/>
        <v/>
      </c>
      <c r="D30" s="150" t="str">
        <f t="shared" si="52"/>
        <v/>
      </c>
      <c r="E30" s="149" t="str">
        <f t="shared" si="38"/>
        <v/>
      </c>
      <c r="F30" s="150" t="str">
        <f t="shared" si="53"/>
        <v/>
      </c>
      <c r="G30" s="149" t="str">
        <f t="shared" ca="1" si="39"/>
        <v/>
      </c>
      <c r="H30" s="150" t="str">
        <f t="shared" si="54"/>
        <v/>
      </c>
      <c r="I30" s="149" t="str">
        <f t="shared" ca="1" si="40"/>
        <v/>
      </c>
      <c r="J30" s="150" t="str">
        <f t="shared" si="55"/>
        <v/>
      </c>
      <c r="K30" s="149" t="str">
        <f t="shared" ca="1" si="41"/>
        <v/>
      </c>
      <c r="L30" s="150" t="str">
        <f t="shared" si="56"/>
        <v/>
      </c>
      <c r="M30" s="149" t="str">
        <f t="shared" ca="1" si="42"/>
        <v/>
      </c>
      <c r="N30" s="150" t="str">
        <f t="shared" si="57"/>
        <v/>
      </c>
      <c r="O30" s="149" t="str">
        <f t="shared" ca="1" si="43"/>
        <v/>
      </c>
      <c r="P30" s="150" t="str">
        <f t="shared" si="58"/>
        <v/>
      </c>
      <c r="Q30" s="149" t="str">
        <f t="shared" ca="1" si="44"/>
        <v/>
      </c>
      <c r="R30" s="150" t="str">
        <f t="shared" si="59"/>
        <v/>
      </c>
      <c r="S30" s="149" t="str">
        <f t="shared" ca="1" si="45"/>
        <v/>
      </c>
      <c r="T30" s="150" t="str">
        <f t="shared" si="60"/>
        <v/>
      </c>
      <c r="U30" s="149" t="str">
        <f t="shared" ca="1" si="46"/>
        <v/>
      </c>
      <c r="V30" s="150" t="str">
        <f t="shared" si="61"/>
        <v/>
      </c>
      <c r="W30" s="149" t="str">
        <f t="shared" ca="1" si="47"/>
        <v/>
      </c>
      <c r="X30" s="150" t="str">
        <f t="shared" si="62"/>
        <v/>
      </c>
      <c r="Y30" s="149" t="str">
        <f t="shared" ca="1" si="48"/>
        <v/>
      </c>
      <c r="Z30" s="150" t="str">
        <f t="shared" si="63"/>
        <v/>
      </c>
      <c r="AA30" s="149" t="str">
        <f t="shared" ca="1" si="49"/>
        <v/>
      </c>
      <c r="AB30" s="150" t="str">
        <f t="shared" si="64"/>
        <v/>
      </c>
      <c r="AC30" s="149" t="str">
        <f t="shared" ca="1" si="50"/>
        <v/>
      </c>
      <c r="AD30" s="150" t="str">
        <f t="shared" si="65"/>
        <v/>
      </c>
      <c r="AE30" s="146"/>
      <c r="AF30" s="146"/>
      <c r="AG30" s="146"/>
      <c r="AH30" s="146"/>
      <c r="AI30" s="146"/>
      <c r="AJ30" s="146"/>
      <c r="AL30" s="211" t="e">
        <f t="shared" ca="1" si="66"/>
        <v>#DIV/0!</v>
      </c>
      <c r="AM30" s="70" t="e">
        <f t="shared" ca="1" si="67"/>
        <v>#DIV/0!</v>
      </c>
      <c r="AN30" s="276" t="e">
        <f t="shared" ca="1" si="68"/>
        <v>#DIV/0!</v>
      </c>
      <c r="AO30" s="276" t="e">
        <f t="shared" ca="1" si="69"/>
        <v>#DIV/0!</v>
      </c>
    </row>
    <row r="31" spans="1:41" ht="21.75" hidden="1" customHeight="1" outlineLevel="1">
      <c r="A31" s="273"/>
      <c r="B31" s="148" t="str">
        <f t="shared" si="51"/>
        <v/>
      </c>
      <c r="C31" s="149" t="str">
        <f t="shared" si="37"/>
        <v/>
      </c>
      <c r="D31" s="150" t="str">
        <f t="shared" si="52"/>
        <v/>
      </c>
      <c r="E31" s="149" t="str">
        <f t="shared" si="38"/>
        <v/>
      </c>
      <c r="F31" s="150" t="str">
        <f t="shared" si="53"/>
        <v/>
      </c>
      <c r="G31" s="149" t="str">
        <f t="shared" ca="1" si="39"/>
        <v/>
      </c>
      <c r="H31" s="150" t="str">
        <f t="shared" si="54"/>
        <v/>
      </c>
      <c r="I31" s="149" t="str">
        <f t="shared" ca="1" si="40"/>
        <v/>
      </c>
      <c r="J31" s="150" t="str">
        <f t="shared" si="55"/>
        <v/>
      </c>
      <c r="K31" s="149" t="str">
        <f t="shared" ca="1" si="41"/>
        <v/>
      </c>
      <c r="L31" s="150" t="str">
        <f t="shared" si="56"/>
        <v/>
      </c>
      <c r="M31" s="149" t="str">
        <f t="shared" ca="1" si="42"/>
        <v/>
      </c>
      <c r="N31" s="150" t="str">
        <f t="shared" si="57"/>
        <v/>
      </c>
      <c r="O31" s="149" t="str">
        <f t="shared" ca="1" si="43"/>
        <v/>
      </c>
      <c r="P31" s="150" t="str">
        <f t="shared" si="58"/>
        <v/>
      </c>
      <c r="Q31" s="149" t="str">
        <f t="shared" ca="1" si="44"/>
        <v/>
      </c>
      <c r="R31" s="150" t="str">
        <f t="shared" si="59"/>
        <v/>
      </c>
      <c r="S31" s="149" t="str">
        <f t="shared" ca="1" si="45"/>
        <v/>
      </c>
      <c r="T31" s="150" t="str">
        <f t="shared" si="60"/>
        <v/>
      </c>
      <c r="U31" s="149" t="str">
        <f t="shared" ca="1" si="46"/>
        <v/>
      </c>
      <c r="V31" s="150" t="str">
        <f t="shared" si="61"/>
        <v/>
      </c>
      <c r="W31" s="149" t="str">
        <f t="shared" ca="1" si="47"/>
        <v/>
      </c>
      <c r="X31" s="150" t="str">
        <f t="shared" si="62"/>
        <v/>
      </c>
      <c r="Y31" s="149" t="str">
        <f t="shared" ca="1" si="48"/>
        <v/>
      </c>
      <c r="Z31" s="150" t="str">
        <f t="shared" si="63"/>
        <v/>
      </c>
      <c r="AA31" s="149" t="str">
        <f t="shared" ca="1" si="49"/>
        <v/>
      </c>
      <c r="AB31" s="150" t="str">
        <f t="shared" si="64"/>
        <v/>
      </c>
      <c r="AC31" s="149" t="str">
        <f t="shared" ca="1" si="50"/>
        <v/>
      </c>
      <c r="AD31" s="150" t="str">
        <f t="shared" si="65"/>
        <v/>
      </c>
      <c r="AE31" s="146"/>
      <c r="AF31" s="146"/>
      <c r="AG31" s="146"/>
      <c r="AH31" s="146"/>
      <c r="AI31" s="146"/>
      <c r="AJ31" s="146"/>
      <c r="AL31" s="211" t="e">
        <f t="shared" ca="1" si="66"/>
        <v>#DIV/0!</v>
      </c>
      <c r="AM31" s="70" t="e">
        <f t="shared" ca="1" si="67"/>
        <v>#DIV/0!</v>
      </c>
      <c r="AN31" s="276" t="e">
        <f t="shared" ca="1" si="68"/>
        <v>#DIV/0!</v>
      </c>
      <c r="AO31" s="276" t="e">
        <f t="shared" ca="1" si="69"/>
        <v>#DIV/0!</v>
      </c>
    </row>
    <row r="32" spans="1:41" ht="21.75" hidden="1" customHeight="1" outlineLevel="1">
      <c r="A32" s="273"/>
      <c r="B32" s="148" t="str">
        <f t="shared" si="51"/>
        <v/>
      </c>
      <c r="C32" s="149" t="str">
        <f t="shared" si="37"/>
        <v/>
      </c>
      <c r="D32" s="150" t="str">
        <f t="shared" si="52"/>
        <v/>
      </c>
      <c r="E32" s="149" t="str">
        <f t="shared" si="38"/>
        <v/>
      </c>
      <c r="F32" s="150" t="str">
        <f t="shared" si="53"/>
        <v/>
      </c>
      <c r="G32" s="149" t="str">
        <f t="shared" ca="1" si="39"/>
        <v/>
      </c>
      <c r="H32" s="150" t="str">
        <f t="shared" si="54"/>
        <v/>
      </c>
      <c r="I32" s="149" t="str">
        <f t="shared" ca="1" si="40"/>
        <v/>
      </c>
      <c r="J32" s="150" t="str">
        <f t="shared" si="55"/>
        <v/>
      </c>
      <c r="K32" s="149" t="str">
        <f t="shared" ca="1" si="41"/>
        <v/>
      </c>
      <c r="L32" s="150" t="str">
        <f t="shared" si="56"/>
        <v/>
      </c>
      <c r="M32" s="149" t="str">
        <f t="shared" ca="1" si="42"/>
        <v/>
      </c>
      <c r="N32" s="150" t="str">
        <f t="shared" si="57"/>
        <v/>
      </c>
      <c r="O32" s="149" t="str">
        <f t="shared" ca="1" si="43"/>
        <v/>
      </c>
      <c r="P32" s="150" t="str">
        <f t="shared" si="58"/>
        <v/>
      </c>
      <c r="Q32" s="149" t="str">
        <f t="shared" ca="1" si="44"/>
        <v/>
      </c>
      <c r="R32" s="150" t="str">
        <f t="shared" si="59"/>
        <v/>
      </c>
      <c r="S32" s="149" t="str">
        <f t="shared" ca="1" si="45"/>
        <v/>
      </c>
      <c r="T32" s="150" t="str">
        <f t="shared" si="60"/>
        <v/>
      </c>
      <c r="U32" s="149" t="str">
        <f t="shared" ca="1" si="46"/>
        <v/>
      </c>
      <c r="V32" s="150" t="str">
        <f t="shared" si="61"/>
        <v/>
      </c>
      <c r="W32" s="149" t="str">
        <f t="shared" ca="1" si="47"/>
        <v/>
      </c>
      <c r="X32" s="150" t="str">
        <f t="shared" si="62"/>
        <v/>
      </c>
      <c r="Y32" s="149" t="str">
        <f t="shared" ca="1" si="48"/>
        <v/>
      </c>
      <c r="Z32" s="150" t="str">
        <f t="shared" si="63"/>
        <v/>
      </c>
      <c r="AA32" s="149" t="str">
        <f t="shared" ca="1" si="49"/>
        <v/>
      </c>
      <c r="AB32" s="150" t="str">
        <f t="shared" si="64"/>
        <v/>
      </c>
      <c r="AC32" s="149" t="str">
        <f t="shared" ca="1" si="50"/>
        <v/>
      </c>
      <c r="AD32" s="150" t="str">
        <f t="shared" si="65"/>
        <v/>
      </c>
      <c r="AE32" s="146"/>
      <c r="AF32" s="146"/>
      <c r="AG32" s="146"/>
      <c r="AH32" s="146"/>
      <c r="AI32" s="146"/>
      <c r="AJ32" s="146"/>
      <c r="AL32" s="211" t="e">
        <f t="shared" ca="1" si="66"/>
        <v>#DIV/0!</v>
      </c>
      <c r="AM32" s="70" t="e">
        <f t="shared" ca="1" si="67"/>
        <v>#DIV/0!</v>
      </c>
      <c r="AN32" s="276" t="e">
        <f t="shared" ca="1" si="68"/>
        <v>#DIV/0!</v>
      </c>
      <c r="AO32" s="276" t="e">
        <f t="shared" ca="1" si="69"/>
        <v>#DIV/0!</v>
      </c>
    </row>
    <row r="33" spans="1:41" ht="21.75" hidden="1" customHeight="1" outlineLevel="1">
      <c r="A33" s="273"/>
      <c r="B33" s="148" t="str">
        <f t="shared" si="51"/>
        <v/>
      </c>
      <c r="C33" s="149" t="str">
        <f t="shared" si="37"/>
        <v/>
      </c>
      <c r="D33" s="150" t="str">
        <f t="shared" si="52"/>
        <v/>
      </c>
      <c r="E33" s="149" t="str">
        <f t="shared" si="38"/>
        <v/>
      </c>
      <c r="F33" s="150" t="str">
        <f t="shared" si="53"/>
        <v/>
      </c>
      <c r="G33" s="149" t="str">
        <f t="shared" ca="1" si="39"/>
        <v/>
      </c>
      <c r="H33" s="150" t="str">
        <f t="shared" si="54"/>
        <v/>
      </c>
      <c r="I33" s="149" t="str">
        <f t="shared" ca="1" si="40"/>
        <v/>
      </c>
      <c r="J33" s="150" t="str">
        <f t="shared" si="55"/>
        <v/>
      </c>
      <c r="K33" s="149" t="str">
        <f t="shared" ca="1" si="41"/>
        <v/>
      </c>
      <c r="L33" s="150" t="str">
        <f t="shared" si="56"/>
        <v/>
      </c>
      <c r="M33" s="149" t="str">
        <f t="shared" ca="1" si="42"/>
        <v/>
      </c>
      <c r="N33" s="150" t="str">
        <f t="shared" si="57"/>
        <v/>
      </c>
      <c r="O33" s="149" t="str">
        <f t="shared" ca="1" si="43"/>
        <v/>
      </c>
      <c r="P33" s="150" t="str">
        <f t="shared" si="58"/>
        <v/>
      </c>
      <c r="Q33" s="149" t="str">
        <f t="shared" ca="1" si="44"/>
        <v/>
      </c>
      <c r="R33" s="150" t="str">
        <f t="shared" si="59"/>
        <v/>
      </c>
      <c r="S33" s="149" t="str">
        <f t="shared" ca="1" si="45"/>
        <v/>
      </c>
      <c r="T33" s="150" t="str">
        <f t="shared" si="60"/>
        <v/>
      </c>
      <c r="U33" s="149" t="str">
        <f t="shared" ca="1" si="46"/>
        <v/>
      </c>
      <c r="V33" s="150" t="str">
        <f t="shared" si="61"/>
        <v/>
      </c>
      <c r="W33" s="149" t="str">
        <f t="shared" ca="1" si="47"/>
        <v/>
      </c>
      <c r="X33" s="150" t="str">
        <f t="shared" si="62"/>
        <v/>
      </c>
      <c r="Y33" s="149" t="str">
        <f t="shared" ca="1" si="48"/>
        <v/>
      </c>
      <c r="Z33" s="150" t="str">
        <f t="shared" si="63"/>
        <v/>
      </c>
      <c r="AA33" s="149" t="str">
        <f t="shared" ca="1" si="49"/>
        <v/>
      </c>
      <c r="AB33" s="150" t="str">
        <f t="shared" si="64"/>
        <v/>
      </c>
      <c r="AC33" s="149" t="str">
        <f t="shared" ca="1" si="50"/>
        <v/>
      </c>
      <c r="AD33" s="150" t="str">
        <f t="shared" si="65"/>
        <v/>
      </c>
      <c r="AE33" s="146"/>
      <c r="AF33" s="146"/>
      <c r="AG33" s="146"/>
      <c r="AH33" s="146"/>
      <c r="AI33" s="146"/>
      <c r="AJ33" s="146"/>
      <c r="AL33" s="211" t="e">
        <f t="shared" ca="1" si="66"/>
        <v>#DIV/0!</v>
      </c>
      <c r="AM33" s="70" t="e">
        <f t="shared" ca="1" si="67"/>
        <v>#DIV/0!</v>
      </c>
      <c r="AN33" s="276" t="e">
        <f t="shared" ca="1" si="68"/>
        <v>#DIV/0!</v>
      </c>
      <c r="AO33" s="276" t="e">
        <f t="shared" ca="1" si="69"/>
        <v>#DIV/0!</v>
      </c>
    </row>
    <row r="34" spans="1:41" ht="21.75" hidden="1" customHeight="1" outlineLevel="1">
      <c r="A34" s="274"/>
      <c r="B34" s="148" t="str">
        <f t="shared" si="51"/>
        <v/>
      </c>
      <c r="C34" s="149" t="str">
        <f t="shared" si="37"/>
        <v/>
      </c>
      <c r="D34" s="150" t="str">
        <f t="shared" si="52"/>
        <v/>
      </c>
      <c r="E34" s="149" t="str">
        <f t="shared" si="38"/>
        <v/>
      </c>
      <c r="F34" s="150" t="str">
        <f t="shared" si="53"/>
        <v/>
      </c>
      <c r="G34" s="149" t="str">
        <f t="shared" ca="1" si="39"/>
        <v/>
      </c>
      <c r="H34" s="150" t="str">
        <f t="shared" si="54"/>
        <v/>
      </c>
      <c r="I34" s="149" t="str">
        <f t="shared" ca="1" si="40"/>
        <v/>
      </c>
      <c r="J34" s="150" t="str">
        <f t="shared" si="55"/>
        <v/>
      </c>
      <c r="K34" s="149" t="str">
        <f t="shared" ca="1" si="41"/>
        <v/>
      </c>
      <c r="L34" s="150" t="str">
        <f t="shared" si="56"/>
        <v/>
      </c>
      <c r="M34" s="149" t="str">
        <f t="shared" ca="1" si="42"/>
        <v/>
      </c>
      <c r="N34" s="150" t="str">
        <f t="shared" si="57"/>
        <v/>
      </c>
      <c r="O34" s="149" t="str">
        <f t="shared" ca="1" si="43"/>
        <v/>
      </c>
      <c r="P34" s="150" t="str">
        <f t="shared" si="58"/>
        <v/>
      </c>
      <c r="Q34" s="149" t="str">
        <f t="shared" ca="1" si="44"/>
        <v/>
      </c>
      <c r="R34" s="150" t="str">
        <f t="shared" si="59"/>
        <v/>
      </c>
      <c r="S34" s="149" t="str">
        <f t="shared" ca="1" si="45"/>
        <v/>
      </c>
      <c r="T34" s="150" t="str">
        <f t="shared" si="60"/>
        <v/>
      </c>
      <c r="U34" s="149" t="str">
        <f t="shared" ca="1" si="46"/>
        <v/>
      </c>
      <c r="V34" s="150" t="str">
        <f t="shared" si="61"/>
        <v/>
      </c>
      <c r="W34" s="149" t="str">
        <f t="shared" ca="1" si="47"/>
        <v/>
      </c>
      <c r="X34" s="150" t="str">
        <f t="shared" si="62"/>
        <v/>
      </c>
      <c r="Y34" s="149" t="str">
        <f t="shared" ca="1" si="48"/>
        <v/>
      </c>
      <c r="Z34" s="150" t="str">
        <f t="shared" si="63"/>
        <v/>
      </c>
      <c r="AA34" s="149" t="str">
        <f t="shared" ca="1" si="49"/>
        <v/>
      </c>
      <c r="AB34" s="150" t="str">
        <f t="shared" si="64"/>
        <v/>
      </c>
      <c r="AC34" s="149" t="str">
        <f t="shared" ca="1" si="50"/>
        <v/>
      </c>
      <c r="AD34" s="150" t="str">
        <f t="shared" si="65"/>
        <v/>
      </c>
      <c r="AE34" s="146"/>
      <c r="AF34" s="146"/>
      <c r="AG34" s="146"/>
      <c r="AH34" s="146"/>
      <c r="AI34" s="146"/>
      <c r="AJ34" s="146"/>
      <c r="AL34" s="211" t="e">
        <f t="shared" ca="1" si="66"/>
        <v>#DIV/0!</v>
      </c>
      <c r="AM34" s="70" t="e">
        <f t="shared" ca="1" si="67"/>
        <v>#DIV/0!</v>
      </c>
      <c r="AN34" s="276" t="e">
        <f t="shared" ca="1" si="68"/>
        <v>#DIV/0!</v>
      </c>
      <c r="AO34" s="276" t="e">
        <f t="shared" ca="1" si="69"/>
        <v>#DIV/0!</v>
      </c>
    </row>
    <row r="35" spans="1:41" ht="21.75" hidden="1" customHeight="1" outlineLevel="1">
      <c r="A35" s="273"/>
      <c r="B35" s="148" t="str">
        <f t="shared" si="51"/>
        <v/>
      </c>
      <c r="C35" s="149" t="str">
        <f t="shared" si="37"/>
        <v/>
      </c>
      <c r="D35" s="150" t="str">
        <f t="shared" si="52"/>
        <v/>
      </c>
      <c r="E35" s="149" t="str">
        <f t="shared" si="38"/>
        <v/>
      </c>
      <c r="F35" s="150" t="str">
        <f t="shared" si="53"/>
        <v/>
      </c>
      <c r="G35" s="149" t="str">
        <f t="shared" ca="1" si="39"/>
        <v/>
      </c>
      <c r="H35" s="150" t="str">
        <f t="shared" si="54"/>
        <v/>
      </c>
      <c r="I35" s="149" t="str">
        <f t="shared" ca="1" si="40"/>
        <v/>
      </c>
      <c r="J35" s="150" t="str">
        <f t="shared" si="55"/>
        <v/>
      </c>
      <c r="K35" s="149" t="str">
        <f t="shared" ca="1" si="41"/>
        <v/>
      </c>
      <c r="L35" s="150" t="str">
        <f t="shared" si="56"/>
        <v/>
      </c>
      <c r="M35" s="149" t="str">
        <f t="shared" ca="1" si="42"/>
        <v/>
      </c>
      <c r="N35" s="150" t="str">
        <f t="shared" si="57"/>
        <v/>
      </c>
      <c r="O35" s="149" t="str">
        <f t="shared" ca="1" si="43"/>
        <v/>
      </c>
      <c r="P35" s="150" t="str">
        <f t="shared" si="58"/>
        <v/>
      </c>
      <c r="Q35" s="149" t="str">
        <f t="shared" ca="1" si="44"/>
        <v/>
      </c>
      <c r="R35" s="150" t="str">
        <f t="shared" si="59"/>
        <v/>
      </c>
      <c r="S35" s="149" t="str">
        <f t="shared" ca="1" si="45"/>
        <v/>
      </c>
      <c r="T35" s="150" t="str">
        <f t="shared" si="60"/>
        <v/>
      </c>
      <c r="U35" s="149" t="str">
        <f t="shared" ca="1" si="46"/>
        <v/>
      </c>
      <c r="V35" s="150" t="str">
        <f t="shared" si="61"/>
        <v/>
      </c>
      <c r="W35" s="149" t="str">
        <f t="shared" ca="1" si="47"/>
        <v/>
      </c>
      <c r="X35" s="150" t="str">
        <f t="shared" si="62"/>
        <v/>
      </c>
      <c r="Y35" s="149" t="str">
        <f t="shared" ca="1" si="48"/>
        <v/>
      </c>
      <c r="Z35" s="150" t="str">
        <f t="shared" si="63"/>
        <v/>
      </c>
      <c r="AA35" s="149" t="str">
        <f t="shared" ca="1" si="49"/>
        <v/>
      </c>
      <c r="AB35" s="150" t="str">
        <f t="shared" si="64"/>
        <v/>
      </c>
      <c r="AC35" s="149" t="str">
        <f t="shared" ca="1" si="50"/>
        <v/>
      </c>
      <c r="AD35" s="150" t="str">
        <f t="shared" si="65"/>
        <v/>
      </c>
      <c r="AE35" s="146"/>
      <c r="AF35" s="146"/>
      <c r="AG35" s="146"/>
      <c r="AH35" s="146"/>
      <c r="AI35" s="146"/>
      <c r="AJ35" s="146"/>
      <c r="AL35" s="211" t="e">
        <f t="shared" ca="1" si="66"/>
        <v>#DIV/0!</v>
      </c>
      <c r="AM35" s="70" t="e">
        <f t="shared" ca="1" si="67"/>
        <v>#DIV/0!</v>
      </c>
      <c r="AN35" s="276" t="e">
        <f t="shared" ca="1" si="68"/>
        <v>#DIV/0!</v>
      </c>
      <c r="AO35" s="276" t="e">
        <f t="shared" ca="1" si="69"/>
        <v>#DIV/0!</v>
      </c>
    </row>
    <row r="36" spans="1:41" ht="21.75" hidden="1" customHeight="1" outlineLevel="1">
      <c r="A36" s="273"/>
      <c r="B36" s="148" t="str">
        <f t="shared" si="51"/>
        <v/>
      </c>
      <c r="C36" s="149" t="str">
        <f t="shared" si="37"/>
        <v/>
      </c>
      <c r="D36" s="150" t="str">
        <f t="shared" si="52"/>
        <v/>
      </c>
      <c r="E36" s="149" t="str">
        <f t="shared" si="38"/>
        <v/>
      </c>
      <c r="F36" s="150" t="str">
        <f t="shared" si="53"/>
        <v/>
      </c>
      <c r="G36" s="149" t="str">
        <f t="shared" ca="1" si="39"/>
        <v/>
      </c>
      <c r="H36" s="150" t="str">
        <f t="shared" si="54"/>
        <v/>
      </c>
      <c r="I36" s="149" t="str">
        <f t="shared" ca="1" si="40"/>
        <v/>
      </c>
      <c r="J36" s="150" t="str">
        <f t="shared" si="55"/>
        <v/>
      </c>
      <c r="K36" s="149" t="str">
        <f t="shared" ca="1" si="41"/>
        <v/>
      </c>
      <c r="L36" s="150" t="str">
        <f t="shared" si="56"/>
        <v/>
      </c>
      <c r="M36" s="149" t="str">
        <f t="shared" ca="1" si="42"/>
        <v/>
      </c>
      <c r="N36" s="150" t="str">
        <f t="shared" si="57"/>
        <v/>
      </c>
      <c r="O36" s="149" t="str">
        <f t="shared" ca="1" si="43"/>
        <v/>
      </c>
      <c r="P36" s="150" t="str">
        <f t="shared" si="58"/>
        <v/>
      </c>
      <c r="Q36" s="149" t="str">
        <f t="shared" ca="1" si="44"/>
        <v/>
      </c>
      <c r="R36" s="150" t="str">
        <f t="shared" si="59"/>
        <v/>
      </c>
      <c r="S36" s="149" t="str">
        <f t="shared" ca="1" si="45"/>
        <v/>
      </c>
      <c r="T36" s="150" t="str">
        <f t="shared" si="60"/>
        <v/>
      </c>
      <c r="U36" s="149" t="str">
        <f t="shared" ca="1" si="46"/>
        <v/>
      </c>
      <c r="V36" s="150" t="str">
        <f t="shared" si="61"/>
        <v/>
      </c>
      <c r="W36" s="149" t="str">
        <f t="shared" ca="1" si="47"/>
        <v/>
      </c>
      <c r="X36" s="150" t="str">
        <f t="shared" si="62"/>
        <v/>
      </c>
      <c r="Y36" s="149" t="str">
        <f t="shared" ca="1" si="48"/>
        <v/>
      </c>
      <c r="Z36" s="150" t="str">
        <f t="shared" si="63"/>
        <v/>
      </c>
      <c r="AA36" s="149" t="str">
        <f t="shared" ca="1" si="49"/>
        <v/>
      </c>
      <c r="AB36" s="150" t="str">
        <f t="shared" si="64"/>
        <v/>
      </c>
      <c r="AC36" s="149" t="str">
        <f t="shared" ca="1" si="50"/>
        <v/>
      </c>
      <c r="AD36" s="150" t="str">
        <f t="shared" si="65"/>
        <v/>
      </c>
      <c r="AE36" s="146"/>
      <c r="AF36" s="146"/>
      <c r="AG36" s="146"/>
      <c r="AH36" s="146"/>
      <c r="AI36" s="146"/>
      <c r="AJ36" s="146"/>
      <c r="AL36" s="211" t="e">
        <f t="shared" ca="1" si="66"/>
        <v>#DIV/0!</v>
      </c>
      <c r="AM36" s="70" t="e">
        <f t="shared" ca="1" si="67"/>
        <v>#DIV/0!</v>
      </c>
      <c r="AN36" s="276" t="e">
        <f t="shared" ca="1" si="68"/>
        <v>#DIV/0!</v>
      </c>
      <c r="AO36" s="276" t="e">
        <f t="shared" ca="1" si="69"/>
        <v>#DIV/0!</v>
      </c>
    </row>
    <row r="37" spans="1:41" ht="21.75" hidden="1" customHeight="1" outlineLevel="1">
      <c r="A37" s="273"/>
      <c r="B37" s="148" t="str">
        <f t="shared" si="51"/>
        <v/>
      </c>
      <c r="C37" s="149" t="str">
        <f t="shared" si="37"/>
        <v/>
      </c>
      <c r="D37" s="150" t="str">
        <f t="shared" si="52"/>
        <v/>
      </c>
      <c r="E37" s="149" t="str">
        <f t="shared" si="38"/>
        <v/>
      </c>
      <c r="F37" s="150" t="str">
        <f t="shared" si="53"/>
        <v/>
      </c>
      <c r="G37" s="149" t="str">
        <f t="shared" ca="1" si="39"/>
        <v/>
      </c>
      <c r="H37" s="150" t="str">
        <f t="shared" si="54"/>
        <v/>
      </c>
      <c r="I37" s="149" t="str">
        <f t="shared" ca="1" si="40"/>
        <v/>
      </c>
      <c r="J37" s="150" t="str">
        <f t="shared" si="55"/>
        <v/>
      </c>
      <c r="K37" s="149" t="str">
        <f t="shared" ca="1" si="41"/>
        <v/>
      </c>
      <c r="L37" s="150" t="str">
        <f t="shared" si="56"/>
        <v/>
      </c>
      <c r="M37" s="149" t="str">
        <f t="shared" ca="1" si="42"/>
        <v/>
      </c>
      <c r="N37" s="150" t="str">
        <f t="shared" si="57"/>
        <v/>
      </c>
      <c r="O37" s="149" t="str">
        <f t="shared" ca="1" si="43"/>
        <v/>
      </c>
      <c r="P37" s="150" t="str">
        <f t="shared" si="58"/>
        <v/>
      </c>
      <c r="Q37" s="149" t="str">
        <f t="shared" ca="1" si="44"/>
        <v/>
      </c>
      <c r="R37" s="150" t="str">
        <f t="shared" si="59"/>
        <v/>
      </c>
      <c r="S37" s="149" t="str">
        <f t="shared" ca="1" si="45"/>
        <v/>
      </c>
      <c r="T37" s="150" t="str">
        <f t="shared" si="60"/>
        <v/>
      </c>
      <c r="U37" s="149" t="str">
        <f t="shared" ca="1" si="46"/>
        <v/>
      </c>
      <c r="V37" s="150" t="str">
        <f t="shared" si="61"/>
        <v/>
      </c>
      <c r="W37" s="149" t="str">
        <f t="shared" ca="1" si="47"/>
        <v/>
      </c>
      <c r="X37" s="150" t="str">
        <f t="shared" si="62"/>
        <v/>
      </c>
      <c r="Y37" s="149" t="str">
        <f t="shared" ca="1" si="48"/>
        <v/>
      </c>
      <c r="Z37" s="150" t="str">
        <f t="shared" si="63"/>
        <v/>
      </c>
      <c r="AA37" s="149" t="str">
        <f t="shared" ca="1" si="49"/>
        <v/>
      </c>
      <c r="AB37" s="150" t="str">
        <f t="shared" si="64"/>
        <v/>
      </c>
      <c r="AC37" s="149" t="str">
        <f t="shared" ca="1" si="50"/>
        <v/>
      </c>
      <c r="AD37" s="150" t="str">
        <f t="shared" si="65"/>
        <v/>
      </c>
      <c r="AE37" s="146"/>
      <c r="AF37" s="146"/>
      <c r="AG37" s="146"/>
      <c r="AH37" s="146"/>
      <c r="AI37" s="146"/>
      <c r="AJ37" s="146"/>
      <c r="AL37" s="211" t="e">
        <f t="shared" ca="1" si="66"/>
        <v>#DIV/0!</v>
      </c>
      <c r="AM37" s="70" t="e">
        <f t="shared" ca="1" si="67"/>
        <v>#DIV/0!</v>
      </c>
      <c r="AN37" s="276" t="e">
        <f t="shared" ca="1" si="68"/>
        <v>#DIV/0!</v>
      </c>
      <c r="AO37" s="276" t="e">
        <f t="shared" ca="1" si="69"/>
        <v>#DIV/0!</v>
      </c>
    </row>
    <row r="38" spans="1:41" ht="21.75" hidden="1" customHeight="1" outlineLevel="1">
      <c r="A38" s="273"/>
      <c r="B38" s="148" t="str">
        <f t="shared" si="51"/>
        <v/>
      </c>
      <c r="C38" s="149" t="str">
        <f t="shared" si="37"/>
        <v/>
      </c>
      <c r="D38" s="150" t="str">
        <f t="shared" si="52"/>
        <v/>
      </c>
      <c r="E38" s="149" t="str">
        <f t="shared" si="38"/>
        <v/>
      </c>
      <c r="F38" s="150" t="str">
        <f t="shared" si="53"/>
        <v/>
      </c>
      <c r="G38" s="149" t="str">
        <f t="shared" ca="1" si="39"/>
        <v/>
      </c>
      <c r="H38" s="150" t="str">
        <f t="shared" si="54"/>
        <v/>
      </c>
      <c r="I38" s="149" t="str">
        <f t="shared" ca="1" si="40"/>
        <v/>
      </c>
      <c r="J38" s="150" t="str">
        <f t="shared" si="55"/>
        <v/>
      </c>
      <c r="K38" s="149" t="str">
        <f t="shared" ca="1" si="41"/>
        <v/>
      </c>
      <c r="L38" s="150" t="str">
        <f t="shared" si="56"/>
        <v/>
      </c>
      <c r="M38" s="149" t="str">
        <f t="shared" ca="1" si="42"/>
        <v/>
      </c>
      <c r="N38" s="150" t="str">
        <f t="shared" si="57"/>
        <v/>
      </c>
      <c r="O38" s="149" t="str">
        <f t="shared" ca="1" si="43"/>
        <v/>
      </c>
      <c r="P38" s="150" t="str">
        <f t="shared" si="58"/>
        <v/>
      </c>
      <c r="Q38" s="149" t="str">
        <f t="shared" ca="1" si="44"/>
        <v/>
      </c>
      <c r="R38" s="150" t="str">
        <f t="shared" si="59"/>
        <v/>
      </c>
      <c r="S38" s="149" t="str">
        <f t="shared" ca="1" si="45"/>
        <v/>
      </c>
      <c r="T38" s="150" t="str">
        <f t="shared" si="60"/>
        <v/>
      </c>
      <c r="U38" s="149" t="str">
        <f t="shared" ca="1" si="46"/>
        <v/>
      </c>
      <c r="V38" s="150" t="str">
        <f t="shared" si="61"/>
        <v/>
      </c>
      <c r="W38" s="149" t="str">
        <f t="shared" ca="1" si="47"/>
        <v/>
      </c>
      <c r="X38" s="150" t="str">
        <f t="shared" si="62"/>
        <v/>
      </c>
      <c r="Y38" s="149" t="str">
        <f t="shared" ca="1" si="48"/>
        <v/>
      </c>
      <c r="Z38" s="150" t="str">
        <f t="shared" si="63"/>
        <v/>
      </c>
      <c r="AA38" s="149" t="str">
        <f t="shared" ca="1" si="49"/>
        <v/>
      </c>
      <c r="AB38" s="150" t="str">
        <f t="shared" si="64"/>
        <v/>
      </c>
      <c r="AC38" s="149" t="str">
        <f t="shared" ca="1" si="50"/>
        <v/>
      </c>
      <c r="AD38" s="150" t="str">
        <f t="shared" si="65"/>
        <v/>
      </c>
      <c r="AE38" s="146"/>
      <c r="AF38" s="146"/>
      <c r="AG38" s="146"/>
      <c r="AH38" s="146"/>
      <c r="AI38" s="146"/>
      <c r="AJ38" s="146"/>
      <c r="AL38" s="211" t="e">
        <f t="shared" ca="1" si="66"/>
        <v>#DIV/0!</v>
      </c>
      <c r="AM38" s="70" t="e">
        <f t="shared" ca="1" si="67"/>
        <v>#DIV/0!</v>
      </c>
      <c r="AN38" s="276" t="e">
        <f t="shared" ca="1" si="68"/>
        <v>#DIV/0!</v>
      </c>
      <c r="AO38" s="276" t="e">
        <f t="shared" ca="1" si="69"/>
        <v>#DIV/0!</v>
      </c>
    </row>
    <row r="39" spans="1:41" ht="21.75" hidden="1" customHeight="1" outlineLevel="1">
      <c r="A39" s="273"/>
      <c r="B39" s="148" t="str">
        <f t="shared" si="51"/>
        <v/>
      </c>
      <c r="C39" s="149" t="str">
        <f t="shared" si="37"/>
        <v/>
      </c>
      <c r="D39" s="150" t="str">
        <f t="shared" si="52"/>
        <v/>
      </c>
      <c r="E39" s="149" t="str">
        <f t="shared" si="38"/>
        <v/>
      </c>
      <c r="F39" s="150" t="str">
        <f t="shared" si="53"/>
        <v/>
      </c>
      <c r="G39" s="149" t="str">
        <f t="shared" ca="1" si="39"/>
        <v/>
      </c>
      <c r="H39" s="150" t="str">
        <f t="shared" si="54"/>
        <v/>
      </c>
      <c r="I39" s="149" t="str">
        <f t="shared" ca="1" si="40"/>
        <v/>
      </c>
      <c r="J39" s="150" t="str">
        <f t="shared" si="55"/>
        <v/>
      </c>
      <c r="K39" s="149" t="str">
        <f t="shared" ca="1" si="41"/>
        <v/>
      </c>
      <c r="L39" s="150" t="str">
        <f t="shared" si="56"/>
        <v/>
      </c>
      <c r="M39" s="149" t="str">
        <f t="shared" ca="1" si="42"/>
        <v/>
      </c>
      <c r="N39" s="150" t="str">
        <f t="shared" si="57"/>
        <v/>
      </c>
      <c r="O39" s="149" t="str">
        <f t="shared" ca="1" si="43"/>
        <v/>
      </c>
      <c r="P39" s="150" t="str">
        <f t="shared" si="58"/>
        <v/>
      </c>
      <c r="Q39" s="149" t="str">
        <f t="shared" ca="1" si="44"/>
        <v/>
      </c>
      <c r="R39" s="150" t="str">
        <f t="shared" si="59"/>
        <v/>
      </c>
      <c r="S39" s="149" t="str">
        <f t="shared" ca="1" si="45"/>
        <v/>
      </c>
      <c r="T39" s="150" t="str">
        <f t="shared" si="60"/>
        <v/>
      </c>
      <c r="U39" s="149" t="str">
        <f t="shared" ca="1" si="46"/>
        <v/>
      </c>
      <c r="V39" s="150" t="str">
        <f t="shared" si="61"/>
        <v/>
      </c>
      <c r="W39" s="149" t="str">
        <f t="shared" ca="1" si="47"/>
        <v/>
      </c>
      <c r="X39" s="150" t="str">
        <f t="shared" si="62"/>
        <v/>
      </c>
      <c r="Y39" s="149" t="str">
        <f t="shared" ca="1" si="48"/>
        <v/>
      </c>
      <c r="Z39" s="150" t="str">
        <f t="shared" si="63"/>
        <v/>
      </c>
      <c r="AA39" s="149" t="str">
        <f t="shared" ca="1" si="49"/>
        <v/>
      </c>
      <c r="AB39" s="150" t="str">
        <f t="shared" si="64"/>
        <v/>
      </c>
      <c r="AC39" s="149" t="str">
        <f t="shared" ca="1" si="50"/>
        <v/>
      </c>
      <c r="AD39" s="150" t="str">
        <f t="shared" si="65"/>
        <v/>
      </c>
      <c r="AE39" s="146"/>
      <c r="AF39" s="146"/>
      <c r="AG39" s="146"/>
      <c r="AH39" s="146"/>
      <c r="AI39" s="146"/>
      <c r="AJ39" s="146"/>
      <c r="AL39" s="211" t="e">
        <f t="shared" ca="1" si="66"/>
        <v>#DIV/0!</v>
      </c>
      <c r="AM39" s="70" t="e">
        <f t="shared" ca="1" si="67"/>
        <v>#DIV/0!</v>
      </c>
      <c r="AN39" s="276" t="e">
        <f t="shared" ca="1" si="68"/>
        <v>#DIV/0!</v>
      </c>
      <c r="AO39" s="276" t="e">
        <f t="shared" ca="1" si="69"/>
        <v>#DIV/0!</v>
      </c>
    </row>
    <row r="40" spans="1:41" ht="21.75" hidden="1" customHeight="1">
      <c r="A40" s="273"/>
      <c r="B40" s="148" t="str">
        <f t="shared" si="51"/>
        <v/>
      </c>
      <c r="C40" s="149" t="str">
        <f t="shared" si="37"/>
        <v/>
      </c>
      <c r="D40" s="150" t="str">
        <f t="shared" si="52"/>
        <v/>
      </c>
      <c r="E40" s="149" t="str">
        <f t="shared" si="38"/>
        <v/>
      </c>
      <c r="F40" s="150" t="str">
        <f t="shared" si="53"/>
        <v/>
      </c>
      <c r="G40" s="149" t="str">
        <f t="shared" ca="1" si="39"/>
        <v/>
      </c>
      <c r="H40" s="150" t="str">
        <f t="shared" si="54"/>
        <v/>
      </c>
      <c r="I40" s="149" t="str">
        <f t="shared" ca="1" si="40"/>
        <v/>
      </c>
      <c r="J40" s="150" t="str">
        <f t="shared" si="55"/>
        <v/>
      </c>
      <c r="K40" s="149" t="str">
        <f t="shared" ca="1" si="41"/>
        <v/>
      </c>
      <c r="L40" s="150" t="str">
        <f t="shared" si="56"/>
        <v/>
      </c>
      <c r="M40" s="149" t="str">
        <f t="shared" ca="1" si="42"/>
        <v/>
      </c>
      <c r="N40" s="150" t="str">
        <f t="shared" si="57"/>
        <v/>
      </c>
      <c r="O40" s="149" t="str">
        <f t="shared" ca="1" si="43"/>
        <v/>
      </c>
      <c r="P40" s="150" t="str">
        <f t="shared" si="58"/>
        <v/>
      </c>
      <c r="Q40" s="149" t="str">
        <f t="shared" ca="1" si="44"/>
        <v/>
      </c>
      <c r="R40" s="150" t="str">
        <f t="shared" si="59"/>
        <v/>
      </c>
      <c r="S40" s="149" t="str">
        <f t="shared" ca="1" si="45"/>
        <v/>
      </c>
      <c r="T40" s="150" t="str">
        <f t="shared" si="60"/>
        <v/>
      </c>
      <c r="U40" s="149" t="str">
        <f t="shared" ca="1" si="46"/>
        <v/>
      </c>
      <c r="V40" s="150" t="str">
        <f t="shared" si="61"/>
        <v/>
      </c>
      <c r="W40" s="149" t="str">
        <f t="shared" ca="1" si="47"/>
        <v/>
      </c>
      <c r="X40" s="150" t="str">
        <f t="shared" si="62"/>
        <v/>
      </c>
      <c r="Y40" s="149" t="str">
        <f t="shared" ca="1" si="48"/>
        <v/>
      </c>
      <c r="Z40" s="150" t="str">
        <f t="shared" si="63"/>
        <v/>
      </c>
      <c r="AA40" s="149" t="str">
        <f t="shared" ca="1" si="49"/>
        <v/>
      </c>
      <c r="AB40" s="150" t="str">
        <f t="shared" si="64"/>
        <v/>
      </c>
      <c r="AC40" s="149" t="str">
        <f t="shared" ca="1" si="50"/>
        <v/>
      </c>
      <c r="AD40" s="150" t="str">
        <f t="shared" si="65"/>
        <v/>
      </c>
      <c r="AE40" s="146"/>
      <c r="AF40" s="146"/>
      <c r="AG40" s="146"/>
      <c r="AH40" s="146"/>
      <c r="AI40" s="146"/>
      <c r="AJ40" s="146"/>
      <c r="AL40" s="211" t="e">
        <f t="shared" ca="1" si="66"/>
        <v>#DIV/0!</v>
      </c>
      <c r="AM40" s="70" t="e">
        <f t="shared" ca="1" si="67"/>
        <v>#DIV/0!</v>
      </c>
      <c r="AN40" s="276" t="e">
        <f t="shared" ca="1" si="68"/>
        <v>#DIV/0!</v>
      </c>
      <c r="AO40" s="276" t="e">
        <f t="shared" ca="1" si="69"/>
        <v>#DIV/0!</v>
      </c>
    </row>
    <row r="41" spans="1:41" ht="21.75" hidden="1" customHeight="1">
      <c r="A41" s="147"/>
      <c r="B41" s="148" t="str">
        <f t="shared" si="51"/>
        <v/>
      </c>
      <c r="C41" s="149" t="str">
        <f t="shared" si="37"/>
        <v/>
      </c>
      <c r="D41" s="150" t="str">
        <f t="shared" si="52"/>
        <v/>
      </c>
      <c r="E41" s="149" t="str">
        <f t="shared" si="38"/>
        <v/>
      </c>
      <c r="F41" s="150" t="str">
        <f t="shared" si="53"/>
        <v/>
      </c>
      <c r="G41" s="149" t="str">
        <f t="shared" ca="1" si="39"/>
        <v/>
      </c>
      <c r="H41" s="150" t="str">
        <f t="shared" si="54"/>
        <v/>
      </c>
      <c r="I41" s="149" t="str">
        <f t="shared" ca="1" si="40"/>
        <v/>
      </c>
      <c r="J41" s="150" t="str">
        <f t="shared" si="55"/>
        <v/>
      </c>
      <c r="K41" s="149" t="str">
        <f t="shared" ca="1" si="41"/>
        <v/>
      </c>
      <c r="L41" s="150" t="str">
        <f t="shared" si="56"/>
        <v/>
      </c>
      <c r="M41" s="149" t="str">
        <f t="shared" ca="1" si="42"/>
        <v/>
      </c>
      <c r="N41" s="150" t="str">
        <f t="shared" si="57"/>
        <v/>
      </c>
      <c r="O41" s="149" t="str">
        <f t="shared" ca="1" si="43"/>
        <v/>
      </c>
      <c r="P41" s="150" t="str">
        <f t="shared" si="58"/>
        <v/>
      </c>
      <c r="Q41" s="149" t="str">
        <f t="shared" ca="1" si="44"/>
        <v/>
      </c>
      <c r="R41" s="150" t="str">
        <f t="shared" si="59"/>
        <v/>
      </c>
      <c r="S41" s="149" t="str">
        <f t="shared" ca="1" si="45"/>
        <v/>
      </c>
      <c r="T41" s="150" t="str">
        <f t="shared" si="60"/>
        <v/>
      </c>
      <c r="U41" s="149" t="str">
        <f t="shared" ca="1" si="46"/>
        <v/>
      </c>
      <c r="V41" s="150" t="str">
        <f t="shared" si="61"/>
        <v/>
      </c>
      <c r="W41" s="149" t="str">
        <f t="shared" ca="1" si="47"/>
        <v/>
      </c>
      <c r="X41" s="150" t="str">
        <f t="shared" si="62"/>
        <v/>
      </c>
      <c r="Y41" s="149" t="str">
        <f t="shared" ca="1" si="48"/>
        <v/>
      </c>
      <c r="Z41" s="150" t="str">
        <f t="shared" si="63"/>
        <v/>
      </c>
      <c r="AA41" s="149" t="str">
        <f t="shared" ca="1" si="49"/>
        <v/>
      </c>
      <c r="AB41" s="150" t="str">
        <f t="shared" si="64"/>
        <v/>
      </c>
      <c r="AC41" s="149" t="str">
        <f t="shared" ca="1" si="50"/>
        <v/>
      </c>
      <c r="AD41" s="150" t="str">
        <f t="shared" si="65"/>
        <v/>
      </c>
      <c r="AE41" s="146"/>
      <c r="AF41" s="146"/>
      <c r="AG41" s="146"/>
      <c r="AH41" s="146"/>
      <c r="AI41" s="146"/>
      <c r="AJ41" s="146"/>
      <c r="AL41" s="211" t="e">
        <f t="shared" ca="1" si="66"/>
        <v>#DIV/0!</v>
      </c>
      <c r="AM41" s="70" t="e">
        <f t="shared" ca="1" si="67"/>
        <v>#DIV/0!</v>
      </c>
      <c r="AN41" s="276" t="e">
        <f t="shared" ca="1" si="68"/>
        <v>#DIV/0!</v>
      </c>
      <c r="AO41" s="276" t="e">
        <f t="shared" ca="1" si="69"/>
        <v>#DIV/0!</v>
      </c>
    </row>
    <row r="42" spans="1:41" ht="21.75" hidden="1" customHeight="1">
      <c r="A42" s="147"/>
      <c r="B42" s="148" t="str">
        <f t="shared" si="51"/>
        <v/>
      </c>
      <c r="C42" s="149" t="str">
        <f t="shared" si="37"/>
        <v/>
      </c>
      <c r="D42" s="150" t="str">
        <f t="shared" si="52"/>
        <v/>
      </c>
      <c r="E42" s="149" t="str">
        <f t="shared" si="38"/>
        <v/>
      </c>
      <c r="F42" s="150" t="str">
        <f t="shared" si="53"/>
        <v/>
      </c>
      <c r="G42" s="149" t="str">
        <f t="shared" ca="1" si="39"/>
        <v/>
      </c>
      <c r="H42" s="150" t="str">
        <f t="shared" si="54"/>
        <v/>
      </c>
      <c r="I42" s="149" t="str">
        <f t="shared" ca="1" si="40"/>
        <v/>
      </c>
      <c r="J42" s="150" t="str">
        <f t="shared" si="55"/>
        <v/>
      </c>
      <c r="K42" s="149" t="str">
        <f t="shared" ca="1" si="41"/>
        <v/>
      </c>
      <c r="L42" s="150" t="str">
        <f t="shared" si="56"/>
        <v/>
      </c>
      <c r="M42" s="149" t="str">
        <f t="shared" ca="1" si="42"/>
        <v/>
      </c>
      <c r="N42" s="150" t="str">
        <f t="shared" si="57"/>
        <v/>
      </c>
      <c r="O42" s="149" t="str">
        <f t="shared" ca="1" si="43"/>
        <v/>
      </c>
      <c r="P42" s="150" t="str">
        <f t="shared" si="58"/>
        <v/>
      </c>
      <c r="Q42" s="149" t="str">
        <f t="shared" ca="1" si="44"/>
        <v/>
      </c>
      <c r="R42" s="150" t="str">
        <f t="shared" si="59"/>
        <v/>
      </c>
      <c r="S42" s="149" t="str">
        <f t="shared" ca="1" si="45"/>
        <v/>
      </c>
      <c r="T42" s="150" t="str">
        <f t="shared" si="60"/>
        <v/>
      </c>
      <c r="U42" s="149" t="str">
        <f t="shared" ca="1" si="46"/>
        <v/>
      </c>
      <c r="V42" s="150" t="str">
        <f t="shared" si="61"/>
        <v/>
      </c>
      <c r="W42" s="149" t="str">
        <f t="shared" ca="1" si="47"/>
        <v/>
      </c>
      <c r="X42" s="150" t="str">
        <f t="shared" si="62"/>
        <v/>
      </c>
      <c r="Y42" s="149" t="str">
        <f t="shared" ca="1" si="48"/>
        <v/>
      </c>
      <c r="Z42" s="150" t="str">
        <f t="shared" si="63"/>
        <v/>
      </c>
      <c r="AA42" s="149" t="str">
        <f t="shared" ca="1" si="49"/>
        <v/>
      </c>
      <c r="AB42" s="150" t="str">
        <f t="shared" si="64"/>
        <v/>
      </c>
      <c r="AC42" s="149" t="str">
        <f t="shared" ca="1" si="50"/>
        <v/>
      </c>
      <c r="AD42" s="150" t="str">
        <f t="shared" si="65"/>
        <v/>
      </c>
      <c r="AE42" s="146"/>
      <c r="AF42" s="146"/>
      <c r="AG42" s="146"/>
      <c r="AH42" s="146"/>
      <c r="AI42" s="146"/>
      <c r="AJ42" s="146"/>
      <c r="AL42" s="211" t="e">
        <f t="shared" ca="1" si="66"/>
        <v>#DIV/0!</v>
      </c>
      <c r="AM42" s="70" t="e">
        <f t="shared" ca="1" si="67"/>
        <v>#DIV/0!</v>
      </c>
      <c r="AN42" s="276" t="e">
        <f t="shared" ca="1" si="68"/>
        <v>#DIV/0!</v>
      </c>
      <c r="AO42" s="276" t="e">
        <f t="shared" ca="1" si="69"/>
        <v>#DIV/0!</v>
      </c>
    </row>
    <row r="43" spans="1:41" ht="21.75" hidden="1" customHeight="1">
      <c r="A43" s="147"/>
      <c r="B43" s="148" t="str">
        <f t="shared" si="51"/>
        <v/>
      </c>
      <c r="C43" s="149" t="str">
        <f t="shared" si="37"/>
        <v/>
      </c>
      <c r="D43" s="150" t="str">
        <f t="shared" si="52"/>
        <v/>
      </c>
      <c r="E43" s="149" t="str">
        <f t="shared" si="38"/>
        <v/>
      </c>
      <c r="F43" s="150" t="str">
        <f t="shared" si="53"/>
        <v/>
      </c>
      <c r="G43" s="149" t="str">
        <f t="shared" ca="1" si="39"/>
        <v/>
      </c>
      <c r="H43" s="150" t="str">
        <f t="shared" si="54"/>
        <v/>
      </c>
      <c r="I43" s="149" t="str">
        <f t="shared" ca="1" si="40"/>
        <v/>
      </c>
      <c r="J43" s="150" t="str">
        <f t="shared" si="55"/>
        <v/>
      </c>
      <c r="K43" s="149" t="str">
        <f t="shared" ca="1" si="41"/>
        <v/>
      </c>
      <c r="L43" s="150" t="str">
        <f t="shared" si="56"/>
        <v/>
      </c>
      <c r="M43" s="149" t="str">
        <f t="shared" ca="1" si="42"/>
        <v/>
      </c>
      <c r="N43" s="150" t="str">
        <f t="shared" si="57"/>
        <v/>
      </c>
      <c r="O43" s="149" t="str">
        <f t="shared" ca="1" si="43"/>
        <v/>
      </c>
      <c r="P43" s="150" t="str">
        <f t="shared" si="58"/>
        <v/>
      </c>
      <c r="Q43" s="149" t="str">
        <f t="shared" ca="1" si="44"/>
        <v/>
      </c>
      <c r="R43" s="150" t="str">
        <f t="shared" si="59"/>
        <v/>
      </c>
      <c r="S43" s="149" t="str">
        <f t="shared" ca="1" si="45"/>
        <v/>
      </c>
      <c r="T43" s="150" t="str">
        <f t="shared" si="60"/>
        <v/>
      </c>
      <c r="U43" s="149" t="str">
        <f t="shared" ca="1" si="46"/>
        <v/>
      </c>
      <c r="V43" s="150" t="str">
        <f t="shared" si="61"/>
        <v/>
      </c>
      <c r="W43" s="149" t="str">
        <f t="shared" ca="1" si="47"/>
        <v/>
      </c>
      <c r="X43" s="150" t="str">
        <f t="shared" si="62"/>
        <v/>
      </c>
      <c r="Y43" s="149" t="str">
        <f t="shared" ca="1" si="48"/>
        <v/>
      </c>
      <c r="Z43" s="150" t="str">
        <f t="shared" si="63"/>
        <v/>
      </c>
      <c r="AA43" s="149" t="str">
        <f t="shared" ca="1" si="49"/>
        <v/>
      </c>
      <c r="AB43" s="150" t="str">
        <f t="shared" si="64"/>
        <v/>
      </c>
      <c r="AC43" s="149" t="str">
        <f t="shared" ca="1" si="50"/>
        <v/>
      </c>
      <c r="AD43" s="150" t="str">
        <f t="shared" si="65"/>
        <v/>
      </c>
      <c r="AE43" s="146"/>
      <c r="AF43" s="146"/>
      <c r="AG43" s="146"/>
      <c r="AH43" s="146"/>
      <c r="AI43" s="146"/>
      <c r="AJ43" s="146"/>
      <c r="AL43" s="211" t="e">
        <f t="shared" ca="1" si="66"/>
        <v>#DIV/0!</v>
      </c>
      <c r="AM43" s="70" t="e">
        <f t="shared" ca="1" si="67"/>
        <v>#DIV/0!</v>
      </c>
      <c r="AN43" s="276" t="e">
        <f t="shared" ca="1" si="68"/>
        <v>#DIV/0!</v>
      </c>
      <c r="AO43" s="276" t="e">
        <f t="shared" ca="1" si="69"/>
        <v>#DIV/0!</v>
      </c>
    </row>
    <row r="44" spans="1:41" ht="21.75" hidden="1" customHeight="1">
      <c r="A44" s="147"/>
      <c r="B44" s="148" t="str">
        <f t="shared" si="51"/>
        <v/>
      </c>
      <c r="C44" s="149" t="str">
        <f t="shared" si="37"/>
        <v/>
      </c>
      <c r="D44" s="150" t="str">
        <f t="shared" si="52"/>
        <v/>
      </c>
      <c r="E44" s="149" t="str">
        <f t="shared" si="38"/>
        <v/>
      </c>
      <c r="F44" s="150" t="str">
        <f t="shared" si="53"/>
        <v/>
      </c>
      <c r="G44" s="149" t="str">
        <f t="shared" ca="1" si="39"/>
        <v/>
      </c>
      <c r="H44" s="150" t="str">
        <f t="shared" si="54"/>
        <v/>
      </c>
      <c r="I44" s="149" t="str">
        <f t="shared" ca="1" si="40"/>
        <v/>
      </c>
      <c r="J44" s="150" t="str">
        <f t="shared" si="55"/>
        <v/>
      </c>
      <c r="K44" s="149" t="str">
        <f t="shared" ca="1" si="41"/>
        <v/>
      </c>
      <c r="L44" s="150" t="str">
        <f t="shared" si="56"/>
        <v/>
      </c>
      <c r="M44" s="149" t="str">
        <f t="shared" ca="1" si="42"/>
        <v/>
      </c>
      <c r="N44" s="150" t="str">
        <f t="shared" si="57"/>
        <v/>
      </c>
      <c r="O44" s="149" t="str">
        <f t="shared" ca="1" si="43"/>
        <v/>
      </c>
      <c r="P44" s="150" t="str">
        <f t="shared" si="58"/>
        <v/>
      </c>
      <c r="Q44" s="149" t="str">
        <f t="shared" ca="1" si="44"/>
        <v/>
      </c>
      <c r="R44" s="150" t="str">
        <f t="shared" si="59"/>
        <v/>
      </c>
      <c r="S44" s="149" t="str">
        <f t="shared" ca="1" si="45"/>
        <v/>
      </c>
      <c r="T44" s="150" t="str">
        <f t="shared" si="60"/>
        <v/>
      </c>
      <c r="U44" s="149" t="str">
        <f t="shared" ca="1" si="46"/>
        <v/>
      </c>
      <c r="V44" s="150" t="str">
        <f t="shared" si="61"/>
        <v/>
      </c>
      <c r="W44" s="149" t="str">
        <f t="shared" ca="1" si="47"/>
        <v/>
      </c>
      <c r="X44" s="150" t="str">
        <f t="shared" si="62"/>
        <v/>
      </c>
      <c r="Y44" s="149" t="str">
        <f t="shared" ca="1" si="48"/>
        <v/>
      </c>
      <c r="Z44" s="150" t="str">
        <f t="shared" si="63"/>
        <v/>
      </c>
      <c r="AA44" s="149" t="str">
        <f t="shared" ca="1" si="49"/>
        <v/>
      </c>
      <c r="AB44" s="150" t="str">
        <f t="shared" si="64"/>
        <v/>
      </c>
      <c r="AC44" s="149" t="str">
        <f t="shared" ca="1" si="50"/>
        <v/>
      </c>
      <c r="AD44" s="150" t="str">
        <f t="shared" si="65"/>
        <v/>
      </c>
      <c r="AE44" s="146"/>
      <c r="AF44" s="146"/>
      <c r="AG44" s="146"/>
      <c r="AH44" s="146"/>
      <c r="AI44" s="146"/>
      <c r="AJ44" s="146"/>
      <c r="AL44" s="211" t="e">
        <f t="shared" ca="1" si="66"/>
        <v>#DIV/0!</v>
      </c>
      <c r="AM44" s="70" t="e">
        <f t="shared" ca="1" si="67"/>
        <v>#DIV/0!</v>
      </c>
      <c r="AN44" s="276" t="e">
        <f t="shared" ca="1" si="68"/>
        <v>#DIV/0!</v>
      </c>
      <c r="AO44" s="276" t="e">
        <f t="shared" ca="1" si="69"/>
        <v>#DIV/0!</v>
      </c>
    </row>
    <row r="45" spans="1:41" ht="21.75" hidden="1" customHeight="1">
      <c r="A45" s="147"/>
      <c r="B45" s="148" t="str">
        <f t="shared" si="51"/>
        <v/>
      </c>
      <c r="C45" s="149" t="str">
        <f t="shared" si="37"/>
        <v/>
      </c>
      <c r="D45" s="150" t="str">
        <f t="shared" si="52"/>
        <v/>
      </c>
      <c r="E45" s="149" t="str">
        <f t="shared" si="38"/>
        <v/>
      </c>
      <c r="F45" s="150" t="str">
        <f t="shared" si="53"/>
        <v/>
      </c>
      <c r="G45" s="149" t="str">
        <f t="shared" ca="1" si="39"/>
        <v/>
      </c>
      <c r="H45" s="150" t="str">
        <f t="shared" si="54"/>
        <v/>
      </c>
      <c r="I45" s="149" t="str">
        <f t="shared" ca="1" si="40"/>
        <v/>
      </c>
      <c r="J45" s="150" t="str">
        <f t="shared" si="55"/>
        <v/>
      </c>
      <c r="K45" s="149" t="str">
        <f t="shared" ca="1" si="41"/>
        <v/>
      </c>
      <c r="L45" s="150" t="str">
        <f t="shared" si="56"/>
        <v/>
      </c>
      <c r="M45" s="149" t="str">
        <f t="shared" ca="1" si="42"/>
        <v/>
      </c>
      <c r="N45" s="150" t="str">
        <f t="shared" si="57"/>
        <v/>
      </c>
      <c r="O45" s="149" t="str">
        <f t="shared" ca="1" si="43"/>
        <v/>
      </c>
      <c r="P45" s="150" t="str">
        <f t="shared" si="58"/>
        <v/>
      </c>
      <c r="Q45" s="149" t="str">
        <f t="shared" ca="1" si="44"/>
        <v/>
      </c>
      <c r="R45" s="150" t="str">
        <f t="shared" si="59"/>
        <v/>
      </c>
      <c r="S45" s="149" t="str">
        <f t="shared" ca="1" si="45"/>
        <v/>
      </c>
      <c r="T45" s="150" t="str">
        <f t="shared" si="60"/>
        <v/>
      </c>
      <c r="U45" s="149" t="str">
        <f t="shared" ca="1" si="46"/>
        <v/>
      </c>
      <c r="V45" s="150" t="str">
        <f t="shared" si="61"/>
        <v/>
      </c>
      <c r="W45" s="149" t="str">
        <f t="shared" ca="1" si="47"/>
        <v/>
      </c>
      <c r="X45" s="150" t="str">
        <f t="shared" si="62"/>
        <v/>
      </c>
      <c r="Y45" s="149" t="str">
        <f t="shared" ca="1" si="48"/>
        <v/>
      </c>
      <c r="Z45" s="150" t="str">
        <f t="shared" si="63"/>
        <v/>
      </c>
      <c r="AA45" s="149" t="str">
        <f t="shared" ca="1" si="49"/>
        <v/>
      </c>
      <c r="AB45" s="150" t="str">
        <f t="shared" si="64"/>
        <v/>
      </c>
      <c r="AC45" s="149" t="str">
        <f t="shared" ca="1" si="50"/>
        <v/>
      </c>
      <c r="AD45" s="150" t="str">
        <f t="shared" si="65"/>
        <v/>
      </c>
      <c r="AE45" s="146"/>
      <c r="AF45" s="146"/>
      <c r="AG45" s="146"/>
      <c r="AH45" s="146"/>
      <c r="AI45" s="146"/>
      <c r="AJ45" s="146"/>
      <c r="AL45" s="211" t="e">
        <f t="shared" ca="1" si="66"/>
        <v>#DIV/0!</v>
      </c>
      <c r="AM45" s="70" t="e">
        <f t="shared" ca="1" si="67"/>
        <v>#DIV/0!</v>
      </c>
      <c r="AN45" s="276" t="e">
        <f t="shared" ca="1" si="68"/>
        <v>#DIV/0!</v>
      </c>
      <c r="AO45" s="276" t="e">
        <f t="shared" ca="1" si="69"/>
        <v>#DIV/0!</v>
      </c>
    </row>
    <row r="46" spans="1:41" ht="21.75" hidden="1" customHeight="1">
      <c r="A46" s="147"/>
      <c r="B46" s="148" t="str">
        <f t="shared" si="51"/>
        <v/>
      </c>
      <c r="C46" s="149" t="str">
        <f t="shared" ref="C46:C101" si="70">IF($C$8="Habilitado",IF($A46="","",ROUND(VLOOKUP($A46,OFERENTE_1,15,FALSE),2)),"")</f>
        <v/>
      </c>
      <c r="D46" s="150" t="str">
        <f t="shared" si="52"/>
        <v/>
      </c>
      <c r="E46" s="149" t="str">
        <f t="shared" ref="E46:E101" si="71">IF($E$8="Habilitado",IF($A46="","",ROUND(VLOOKUP($A46,OFERENTE_2,15,FALSE),2)),"")</f>
        <v/>
      </c>
      <c r="F46" s="150" t="str">
        <f t="shared" si="53"/>
        <v/>
      </c>
      <c r="G46" s="149" t="str">
        <f t="shared" ref="G46:G101" ca="1" si="72">IF($G$8="Habilitado",IF($A46="","",ROUND(VLOOKUP($A46,OFERENTE_3,15,FALSE),2)),"")</f>
        <v/>
      </c>
      <c r="H46" s="150" t="str">
        <f t="shared" si="54"/>
        <v/>
      </c>
      <c r="I46" s="149" t="str">
        <f t="shared" ref="I46:I101" ca="1" si="73">IF($I$8="Habilitado",IF($A46="","",ROUND(VLOOKUP($A46,OFERENTE_4,15,FALSE),2)),"")</f>
        <v/>
      </c>
      <c r="J46" s="150" t="str">
        <f t="shared" si="55"/>
        <v/>
      </c>
      <c r="K46" s="149" t="str">
        <f t="shared" ref="K46:K101" ca="1" si="74">IF($K$8="Habilitado",IF($A46="","",ROUND(VLOOKUP($A46,OFERENTE_5,15,FALSE),2)),"")</f>
        <v/>
      </c>
      <c r="L46" s="150" t="str">
        <f t="shared" si="56"/>
        <v/>
      </c>
      <c r="M46" s="149" t="str">
        <f t="shared" ca="1" si="42"/>
        <v/>
      </c>
      <c r="N46" s="150" t="str">
        <f t="shared" si="57"/>
        <v/>
      </c>
      <c r="O46" s="149" t="str">
        <f t="shared" ref="O46:O101" ca="1" si="75">IF($O$8="Habilitado",IF($A46="","",ROUND(VLOOKUP($A46,OFERENTE_7,15,FALSE),2)),"")</f>
        <v/>
      </c>
      <c r="P46" s="150" t="str">
        <f t="shared" si="58"/>
        <v/>
      </c>
      <c r="Q46" s="149" t="str">
        <f t="shared" ref="Q46:Q77" ca="1" si="76">IF($Q$8="Habilitado",IF($A46="","",ROUND(VLOOKUP($A46,OFERENTE_8,15,FALSE),2)),"")</f>
        <v/>
      </c>
      <c r="R46" s="150" t="str">
        <f t="shared" si="59"/>
        <v/>
      </c>
      <c r="S46" s="149" t="str">
        <f t="shared" ref="S46:S77" ca="1" si="77">IF($S$8="Habilitado",IF($A46="","",ROUND(VLOOKUP($A46,OFERENTE_9,15,FALSE),2)),"")</f>
        <v/>
      </c>
      <c r="T46" s="150" t="str">
        <f t="shared" si="60"/>
        <v/>
      </c>
      <c r="U46" s="149" t="str">
        <f t="shared" ref="U46:U77" ca="1" si="78">IF($U$8="Habilitado",IF($A46="","",ROUND(VLOOKUP($A46,OFERENTE_10,15,FALSE),2)),"")</f>
        <v/>
      </c>
      <c r="V46" s="150" t="str">
        <f t="shared" si="61"/>
        <v/>
      </c>
      <c r="W46" s="149" t="str">
        <f t="shared" ref="W46:W77" ca="1" si="79">IF($W$8="Habilitado",IF($A46="","",ROUND(VLOOKUP($A46,OFERENTE_11,15,FALSE),2)),"")</f>
        <v/>
      </c>
      <c r="X46" s="150" t="str">
        <f t="shared" si="62"/>
        <v/>
      </c>
      <c r="Y46" s="149" t="str">
        <f t="shared" ref="Y46:Y77" ca="1" si="80">IF($Y$8="Habilitado",IF($A46="","",ROUND(VLOOKUP($A46,OFERENTE_12,15,FALSE),2)),"")</f>
        <v/>
      </c>
      <c r="Z46" s="150" t="str">
        <f t="shared" si="63"/>
        <v/>
      </c>
      <c r="AA46" s="149" t="str">
        <f t="shared" ref="AA46:AA77" ca="1" si="81">IF($AA$8="Habilitado",IF($A46="","",ROUND(VLOOKUP($A46,OFERENTE_13,15,FALSE),2)),"")</f>
        <v/>
      </c>
      <c r="AB46" s="150" t="str">
        <f t="shared" si="64"/>
        <v/>
      </c>
      <c r="AC46" s="149" t="str">
        <f t="shared" ref="AC46:AC77" ca="1" si="82">IF($AC$8="Habilitado",IF($A46="","",ROUND(VLOOKUP($A46,OFERENTE_14,15,FALSE),2)),"")</f>
        <v/>
      </c>
      <c r="AD46" s="150" t="str">
        <f t="shared" si="65"/>
        <v/>
      </c>
      <c r="AE46" s="146"/>
      <c r="AF46" s="146"/>
      <c r="AG46" s="146"/>
      <c r="AH46" s="146"/>
      <c r="AI46" s="146"/>
      <c r="AJ46" s="146"/>
      <c r="AL46" s="211" t="e">
        <f t="shared" ca="1" si="66"/>
        <v>#DIV/0!</v>
      </c>
      <c r="AM46" s="70" t="e">
        <f t="shared" ca="1" si="67"/>
        <v>#DIV/0!</v>
      </c>
      <c r="AN46" s="276" t="e">
        <f t="shared" ca="1" si="68"/>
        <v>#DIV/0!</v>
      </c>
      <c r="AO46" s="276" t="e">
        <f t="shared" ca="1" si="69"/>
        <v>#DIV/0!</v>
      </c>
    </row>
    <row r="47" spans="1:41" ht="21.75" hidden="1" customHeight="1">
      <c r="A47" s="147"/>
      <c r="B47" s="148" t="str">
        <f t="shared" si="51"/>
        <v/>
      </c>
      <c r="C47" s="149" t="str">
        <f t="shared" si="70"/>
        <v/>
      </c>
      <c r="D47" s="150" t="str">
        <f t="shared" si="52"/>
        <v/>
      </c>
      <c r="E47" s="149" t="str">
        <f t="shared" si="71"/>
        <v/>
      </c>
      <c r="F47" s="150" t="str">
        <f t="shared" si="53"/>
        <v/>
      </c>
      <c r="G47" s="149" t="str">
        <f t="shared" ca="1" si="72"/>
        <v/>
      </c>
      <c r="H47" s="150" t="str">
        <f t="shared" si="54"/>
        <v/>
      </c>
      <c r="I47" s="149" t="str">
        <f t="shared" ca="1" si="73"/>
        <v/>
      </c>
      <c r="J47" s="150" t="str">
        <f t="shared" si="55"/>
        <v/>
      </c>
      <c r="K47" s="149" t="str">
        <f t="shared" ca="1" si="74"/>
        <v/>
      </c>
      <c r="L47" s="150" t="str">
        <f t="shared" si="56"/>
        <v/>
      </c>
      <c r="M47" s="149" t="str">
        <f t="shared" ca="1" si="42"/>
        <v/>
      </c>
      <c r="N47" s="150" t="str">
        <f t="shared" si="57"/>
        <v/>
      </c>
      <c r="O47" s="149" t="str">
        <f t="shared" ca="1" si="75"/>
        <v/>
      </c>
      <c r="P47" s="150" t="str">
        <f t="shared" si="58"/>
        <v/>
      </c>
      <c r="Q47" s="149" t="str">
        <f t="shared" ca="1" si="76"/>
        <v/>
      </c>
      <c r="R47" s="150" t="str">
        <f t="shared" si="59"/>
        <v/>
      </c>
      <c r="S47" s="149" t="str">
        <f t="shared" ca="1" si="77"/>
        <v/>
      </c>
      <c r="T47" s="150" t="str">
        <f t="shared" si="60"/>
        <v/>
      </c>
      <c r="U47" s="149" t="str">
        <f t="shared" ca="1" si="78"/>
        <v/>
      </c>
      <c r="V47" s="150" t="str">
        <f t="shared" si="61"/>
        <v/>
      </c>
      <c r="W47" s="149" t="str">
        <f t="shared" ca="1" si="79"/>
        <v/>
      </c>
      <c r="X47" s="150" t="str">
        <f t="shared" si="62"/>
        <v/>
      </c>
      <c r="Y47" s="149" t="str">
        <f t="shared" ca="1" si="80"/>
        <v/>
      </c>
      <c r="Z47" s="150" t="str">
        <f t="shared" si="63"/>
        <v/>
      </c>
      <c r="AA47" s="149" t="str">
        <f t="shared" ca="1" si="81"/>
        <v/>
      </c>
      <c r="AB47" s="150" t="str">
        <f t="shared" si="64"/>
        <v/>
      </c>
      <c r="AC47" s="149" t="str">
        <f t="shared" ca="1" si="82"/>
        <v/>
      </c>
      <c r="AD47" s="150" t="str">
        <f t="shared" si="65"/>
        <v/>
      </c>
      <c r="AE47" s="146"/>
      <c r="AF47" s="146"/>
      <c r="AG47" s="146"/>
      <c r="AH47" s="146"/>
      <c r="AI47" s="146"/>
      <c r="AJ47" s="146"/>
      <c r="AL47" s="211" t="e">
        <f t="shared" ca="1" si="66"/>
        <v>#DIV/0!</v>
      </c>
      <c r="AM47" s="70" t="e">
        <f t="shared" ca="1" si="67"/>
        <v>#DIV/0!</v>
      </c>
      <c r="AN47" s="276" t="e">
        <f t="shared" ca="1" si="68"/>
        <v>#DIV/0!</v>
      </c>
      <c r="AO47" s="276" t="e">
        <f t="shared" ca="1" si="69"/>
        <v>#DIV/0!</v>
      </c>
    </row>
    <row r="48" spans="1:41" ht="21.75" hidden="1" customHeight="1">
      <c r="A48" s="147"/>
      <c r="B48" s="148" t="str">
        <f t="shared" si="51"/>
        <v/>
      </c>
      <c r="C48" s="149" t="str">
        <f t="shared" si="70"/>
        <v/>
      </c>
      <c r="D48" s="150" t="str">
        <f t="shared" si="52"/>
        <v/>
      </c>
      <c r="E48" s="149" t="str">
        <f t="shared" si="71"/>
        <v/>
      </c>
      <c r="F48" s="150" t="str">
        <f t="shared" si="53"/>
        <v/>
      </c>
      <c r="G48" s="149" t="str">
        <f t="shared" ca="1" si="72"/>
        <v/>
      </c>
      <c r="H48" s="150" t="str">
        <f t="shared" si="54"/>
        <v/>
      </c>
      <c r="I48" s="149" t="str">
        <f t="shared" ca="1" si="73"/>
        <v/>
      </c>
      <c r="J48" s="150" t="str">
        <f t="shared" si="55"/>
        <v/>
      </c>
      <c r="K48" s="149" t="str">
        <f t="shared" ca="1" si="74"/>
        <v/>
      </c>
      <c r="L48" s="150" t="str">
        <f t="shared" si="56"/>
        <v/>
      </c>
      <c r="M48" s="149" t="str">
        <f t="shared" ca="1" si="42"/>
        <v/>
      </c>
      <c r="N48" s="150" t="str">
        <f t="shared" si="57"/>
        <v/>
      </c>
      <c r="O48" s="149" t="str">
        <f t="shared" ca="1" si="75"/>
        <v/>
      </c>
      <c r="P48" s="150" t="str">
        <f t="shared" si="58"/>
        <v/>
      </c>
      <c r="Q48" s="149" t="str">
        <f t="shared" ca="1" si="76"/>
        <v/>
      </c>
      <c r="R48" s="150" t="str">
        <f t="shared" si="59"/>
        <v/>
      </c>
      <c r="S48" s="149" t="str">
        <f t="shared" ca="1" si="77"/>
        <v/>
      </c>
      <c r="T48" s="150" t="str">
        <f t="shared" si="60"/>
        <v/>
      </c>
      <c r="U48" s="149" t="str">
        <f t="shared" ca="1" si="78"/>
        <v/>
      </c>
      <c r="V48" s="150" t="str">
        <f t="shared" si="61"/>
        <v/>
      </c>
      <c r="W48" s="149" t="str">
        <f t="shared" ca="1" si="79"/>
        <v/>
      </c>
      <c r="X48" s="150" t="str">
        <f t="shared" si="62"/>
        <v/>
      </c>
      <c r="Y48" s="149" t="str">
        <f t="shared" ca="1" si="80"/>
        <v/>
      </c>
      <c r="Z48" s="150" t="str">
        <f t="shared" si="63"/>
        <v/>
      </c>
      <c r="AA48" s="149" t="str">
        <f t="shared" ca="1" si="81"/>
        <v/>
      </c>
      <c r="AB48" s="150" t="str">
        <f t="shared" si="64"/>
        <v/>
      </c>
      <c r="AC48" s="149" t="str">
        <f t="shared" ca="1" si="82"/>
        <v/>
      </c>
      <c r="AD48" s="150" t="str">
        <f t="shared" si="65"/>
        <v/>
      </c>
      <c r="AE48" s="146"/>
      <c r="AF48" s="146"/>
      <c r="AG48" s="146"/>
      <c r="AH48" s="146"/>
      <c r="AI48" s="146"/>
      <c r="AJ48" s="146"/>
      <c r="AL48" s="211" t="e">
        <f t="shared" ca="1" si="66"/>
        <v>#DIV/0!</v>
      </c>
      <c r="AM48" s="70" t="e">
        <f t="shared" ca="1" si="67"/>
        <v>#DIV/0!</v>
      </c>
      <c r="AN48" s="276" t="e">
        <f t="shared" ca="1" si="68"/>
        <v>#DIV/0!</v>
      </c>
      <c r="AO48" s="276" t="e">
        <f t="shared" ca="1" si="69"/>
        <v>#DIV/0!</v>
      </c>
    </row>
    <row r="49" spans="1:41" ht="21.75" hidden="1" customHeight="1">
      <c r="A49" s="147"/>
      <c r="B49" s="148" t="str">
        <f t="shared" si="51"/>
        <v/>
      </c>
      <c r="C49" s="149" t="str">
        <f t="shared" si="70"/>
        <v/>
      </c>
      <c r="D49" s="150" t="str">
        <f t="shared" si="52"/>
        <v/>
      </c>
      <c r="E49" s="149" t="str">
        <f t="shared" si="71"/>
        <v/>
      </c>
      <c r="F49" s="150" t="str">
        <f t="shared" si="53"/>
        <v/>
      </c>
      <c r="G49" s="149" t="str">
        <f t="shared" ca="1" si="72"/>
        <v/>
      </c>
      <c r="H49" s="150" t="str">
        <f t="shared" si="54"/>
        <v/>
      </c>
      <c r="I49" s="149" t="str">
        <f t="shared" ca="1" si="73"/>
        <v/>
      </c>
      <c r="J49" s="150" t="str">
        <f t="shared" si="55"/>
        <v/>
      </c>
      <c r="K49" s="149" t="str">
        <f t="shared" ca="1" si="74"/>
        <v/>
      </c>
      <c r="L49" s="150" t="str">
        <f t="shared" si="56"/>
        <v/>
      </c>
      <c r="M49" s="149" t="str">
        <f t="shared" ca="1" si="42"/>
        <v/>
      </c>
      <c r="N49" s="150" t="str">
        <f t="shared" si="57"/>
        <v/>
      </c>
      <c r="O49" s="149" t="str">
        <f t="shared" ca="1" si="75"/>
        <v/>
      </c>
      <c r="P49" s="150" t="str">
        <f t="shared" si="58"/>
        <v/>
      </c>
      <c r="Q49" s="149" t="str">
        <f t="shared" ca="1" si="76"/>
        <v/>
      </c>
      <c r="R49" s="150" t="str">
        <f t="shared" si="59"/>
        <v/>
      </c>
      <c r="S49" s="149" t="str">
        <f t="shared" ca="1" si="77"/>
        <v/>
      </c>
      <c r="T49" s="150" t="str">
        <f t="shared" si="60"/>
        <v/>
      </c>
      <c r="U49" s="149" t="str">
        <f t="shared" ca="1" si="78"/>
        <v/>
      </c>
      <c r="V49" s="150" t="str">
        <f t="shared" si="61"/>
        <v/>
      </c>
      <c r="W49" s="149" t="str">
        <f t="shared" ca="1" si="79"/>
        <v/>
      </c>
      <c r="X49" s="150" t="str">
        <f t="shared" si="62"/>
        <v/>
      </c>
      <c r="Y49" s="149" t="str">
        <f t="shared" ca="1" si="80"/>
        <v/>
      </c>
      <c r="Z49" s="150" t="str">
        <f t="shared" si="63"/>
        <v/>
      </c>
      <c r="AA49" s="149" t="str">
        <f t="shared" ca="1" si="81"/>
        <v/>
      </c>
      <c r="AB49" s="150" t="str">
        <f t="shared" si="64"/>
        <v/>
      </c>
      <c r="AC49" s="149" t="str">
        <f t="shared" ca="1" si="82"/>
        <v/>
      </c>
      <c r="AD49" s="150" t="str">
        <f t="shared" si="65"/>
        <v/>
      </c>
      <c r="AE49" s="146"/>
      <c r="AF49" s="146"/>
      <c r="AG49" s="146"/>
      <c r="AH49" s="146"/>
      <c r="AI49" s="146"/>
      <c r="AJ49" s="146"/>
      <c r="AL49" s="211" t="e">
        <f t="shared" ca="1" si="66"/>
        <v>#DIV/0!</v>
      </c>
      <c r="AM49" s="70" t="e">
        <f t="shared" ca="1" si="67"/>
        <v>#DIV/0!</v>
      </c>
      <c r="AN49" s="276" t="e">
        <f t="shared" ca="1" si="68"/>
        <v>#DIV/0!</v>
      </c>
      <c r="AO49" s="276" t="e">
        <f t="shared" ca="1" si="69"/>
        <v>#DIV/0!</v>
      </c>
    </row>
    <row r="50" spans="1:41" ht="21.75" hidden="1" customHeight="1">
      <c r="A50" s="147"/>
      <c r="B50" s="148" t="str">
        <f t="shared" si="51"/>
        <v/>
      </c>
      <c r="C50" s="149" t="str">
        <f t="shared" si="70"/>
        <v/>
      </c>
      <c r="D50" s="150" t="str">
        <f t="shared" si="52"/>
        <v/>
      </c>
      <c r="E50" s="149" t="str">
        <f t="shared" si="71"/>
        <v/>
      </c>
      <c r="F50" s="150" t="str">
        <f t="shared" si="53"/>
        <v/>
      </c>
      <c r="G50" s="149" t="str">
        <f t="shared" ca="1" si="72"/>
        <v/>
      </c>
      <c r="H50" s="150" t="str">
        <f t="shared" si="54"/>
        <v/>
      </c>
      <c r="I50" s="149" t="str">
        <f t="shared" ca="1" si="73"/>
        <v/>
      </c>
      <c r="J50" s="150" t="str">
        <f t="shared" si="55"/>
        <v/>
      </c>
      <c r="K50" s="149" t="str">
        <f t="shared" ca="1" si="74"/>
        <v/>
      </c>
      <c r="L50" s="150" t="str">
        <f t="shared" si="56"/>
        <v/>
      </c>
      <c r="M50" s="149" t="str">
        <f t="shared" ca="1" si="42"/>
        <v/>
      </c>
      <c r="N50" s="150" t="str">
        <f t="shared" si="57"/>
        <v/>
      </c>
      <c r="O50" s="149" t="str">
        <f t="shared" ca="1" si="75"/>
        <v/>
      </c>
      <c r="P50" s="150" t="str">
        <f t="shared" si="58"/>
        <v/>
      </c>
      <c r="Q50" s="149" t="str">
        <f t="shared" ca="1" si="76"/>
        <v/>
      </c>
      <c r="R50" s="150" t="str">
        <f t="shared" si="59"/>
        <v/>
      </c>
      <c r="S50" s="149" t="str">
        <f t="shared" ca="1" si="77"/>
        <v/>
      </c>
      <c r="T50" s="150" t="str">
        <f t="shared" si="60"/>
        <v/>
      </c>
      <c r="U50" s="149" t="str">
        <f t="shared" ca="1" si="78"/>
        <v/>
      </c>
      <c r="V50" s="150" t="str">
        <f t="shared" si="61"/>
        <v/>
      </c>
      <c r="W50" s="149" t="str">
        <f t="shared" ca="1" si="79"/>
        <v/>
      </c>
      <c r="X50" s="150" t="str">
        <f t="shared" si="62"/>
        <v/>
      </c>
      <c r="Y50" s="149" t="str">
        <f t="shared" ca="1" si="80"/>
        <v/>
      </c>
      <c r="Z50" s="150" t="str">
        <f t="shared" si="63"/>
        <v/>
      </c>
      <c r="AA50" s="149" t="str">
        <f t="shared" ca="1" si="81"/>
        <v/>
      </c>
      <c r="AB50" s="150" t="str">
        <f t="shared" si="64"/>
        <v/>
      </c>
      <c r="AC50" s="149" t="str">
        <f t="shared" ca="1" si="82"/>
        <v/>
      </c>
      <c r="AD50" s="150" t="str">
        <f t="shared" si="65"/>
        <v/>
      </c>
      <c r="AE50" s="146"/>
      <c r="AF50" s="146"/>
      <c r="AG50" s="146"/>
      <c r="AH50" s="146"/>
      <c r="AI50" s="146"/>
      <c r="AJ50" s="146"/>
      <c r="AL50" s="211" t="e">
        <f t="shared" ca="1" si="66"/>
        <v>#DIV/0!</v>
      </c>
      <c r="AM50" s="70" t="e">
        <f t="shared" ca="1" si="67"/>
        <v>#DIV/0!</v>
      </c>
      <c r="AN50" s="276" t="e">
        <f t="shared" ca="1" si="68"/>
        <v>#DIV/0!</v>
      </c>
      <c r="AO50" s="276" t="e">
        <f t="shared" ca="1" si="69"/>
        <v>#DIV/0!</v>
      </c>
    </row>
    <row r="51" spans="1:41" ht="21.75" hidden="1" customHeight="1">
      <c r="A51" s="147"/>
      <c r="B51" s="148" t="str">
        <f t="shared" si="51"/>
        <v/>
      </c>
      <c r="C51" s="149" t="str">
        <f t="shared" si="70"/>
        <v/>
      </c>
      <c r="D51" s="150" t="str">
        <f t="shared" si="52"/>
        <v/>
      </c>
      <c r="E51" s="149" t="str">
        <f t="shared" si="71"/>
        <v/>
      </c>
      <c r="F51" s="150" t="str">
        <f t="shared" si="53"/>
        <v/>
      </c>
      <c r="G51" s="149" t="str">
        <f t="shared" ca="1" si="72"/>
        <v/>
      </c>
      <c r="H51" s="150" t="str">
        <f t="shared" si="54"/>
        <v/>
      </c>
      <c r="I51" s="149" t="str">
        <f t="shared" ca="1" si="73"/>
        <v/>
      </c>
      <c r="J51" s="150" t="str">
        <f t="shared" si="55"/>
        <v/>
      </c>
      <c r="K51" s="149" t="str">
        <f t="shared" ca="1" si="74"/>
        <v/>
      </c>
      <c r="L51" s="150" t="str">
        <f t="shared" si="56"/>
        <v/>
      </c>
      <c r="M51" s="149" t="str">
        <f t="shared" ca="1" si="42"/>
        <v/>
      </c>
      <c r="N51" s="150" t="str">
        <f t="shared" si="57"/>
        <v/>
      </c>
      <c r="O51" s="149" t="str">
        <f t="shared" ca="1" si="75"/>
        <v/>
      </c>
      <c r="P51" s="150" t="str">
        <f t="shared" si="58"/>
        <v/>
      </c>
      <c r="Q51" s="149" t="str">
        <f t="shared" ca="1" si="76"/>
        <v/>
      </c>
      <c r="R51" s="150" t="str">
        <f t="shared" si="59"/>
        <v/>
      </c>
      <c r="S51" s="149" t="str">
        <f t="shared" ca="1" si="77"/>
        <v/>
      </c>
      <c r="T51" s="150" t="str">
        <f t="shared" si="60"/>
        <v/>
      </c>
      <c r="U51" s="149" t="str">
        <f t="shared" ca="1" si="78"/>
        <v/>
      </c>
      <c r="V51" s="150" t="str">
        <f t="shared" si="61"/>
        <v/>
      </c>
      <c r="W51" s="149" t="str">
        <f t="shared" ca="1" si="79"/>
        <v/>
      </c>
      <c r="X51" s="150" t="str">
        <f t="shared" si="62"/>
        <v/>
      </c>
      <c r="Y51" s="149" t="str">
        <f t="shared" ca="1" si="80"/>
        <v/>
      </c>
      <c r="Z51" s="150" t="str">
        <f t="shared" si="63"/>
        <v/>
      </c>
      <c r="AA51" s="149" t="str">
        <f t="shared" ca="1" si="81"/>
        <v/>
      </c>
      <c r="AB51" s="150" t="str">
        <f t="shared" si="64"/>
        <v/>
      </c>
      <c r="AC51" s="149" t="str">
        <f t="shared" ca="1" si="82"/>
        <v/>
      </c>
      <c r="AD51" s="150" t="str">
        <f t="shared" si="65"/>
        <v/>
      </c>
      <c r="AE51" s="146"/>
      <c r="AF51" s="146"/>
      <c r="AG51" s="146"/>
      <c r="AH51" s="146"/>
      <c r="AI51" s="146"/>
      <c r="AJ51" s="146"/>
      <c r="AL51" s="211" t="e">
        <f t="shared" ca="1" si="66"/>
        <v>#DIV/0!</v>
      </c>
      <c r="AM51" s="70" t="e">
        <f t="shared" ca="1" si="67"/>
        <v>#DIV/0!</v>
      </c>
      <c r="AN51" s="276" t="e">
        <f t="shared" ca="1" si="68"/>
        <v>#DIV/0!</v>
      </c>
      <c r="AO51" s="276" t="e">
        <f t="shared" ca="1" si="69"/>
        <v>#DIV/0!</v>
      </c>
    </row>
    <row r="52" spans="1:41" ht="21.75" hidden="1" customHeight="1">
      <c r="A52" s="147"/>
      <c r="B52" s="148" t="str">
        <f t="shared" si="51"/>
        <v/>
      </c>
      <c r="C52" s="149" t="str">
        <f t="shared" si="70"/>
        <v/>
      </c>
      <c r="D52" s="150" t="str">
        <f t="shared" si="52"/>
        <v/>
      </c>
      <c r="E52" s="149" t="str">
        <f t="shared" si="71"/>
        <v/>
      </c>
      <c r="F52" s="150" t="str">
        <f t="shared" si="53"/>
        <v/>
      </c>
      <c r="G52" s="149" t="str">
        <f t="shared" ca="1" si="72"/>
        <v/>
      </c>
      <c r="H52" s="150" t="str">
        <f t="shared" si="54"/>
        <v/>
      </c>
      <c r="I52" s="149" t="str">
        <f t="shared" ca="1" si="73"/>
        <v/>
      </c>
      <c r="J52" s="150" t="str">
        <f t="shared" si="55"/>
        <v/>
      </c>
      <c r="K52" s="149" t="str">
        <f t="shared" ca="1" si="74"/>
        <v/>
      </c>
      <c r="L52" s="150" t="str">
        <f t="shared" si="56"/>
        <v/>
      </c>
      <c r="M52" s="149" t="str">
        <f t="shared" ca="1" si="42"/>
        <v/>
      </c>
      <c r="N52" s="150" t="str">
        <f t="shared" si="57"/>
        <v/>
      </c>
      <c r="O52" s="149" t="str">
        <f t="shared" ca="1" si="75"/>
        <v/>
      </c>
      <c r="P52" s="150" t="str">
        <f t="shared" si="58"/>
        <v/>
      </c>
      <c r="Q52" s="149" t="str">
        <f t="shared" ca="1" si="76"/>
        <v/>
      </c>
      <c r="R52" s="150" t="str">
        <f t="shared" si="59"/>
        <v/>
      </c>
      <c r="S52" s="149" t="str">
        <f t="shared" ca="1" si="77"/>
        <v/>
      </c>
      <c r="T52" s="150" t="str">
        <f t="shared" si="60"/>
        <v/>
      </c>
      <c r="U52" s="149" t="str">
        <f t="shared" ca="1" si="78"/>
        <v/>
      </c>
      <c r="V52" s="150" t="str">
        <f t="shared" si="61"/>
        <v/>
      </c>
      <c r="W52" s="149" t="str">
        <f t="shared" ca="1" si="79"/>
        <v/>
      </c>
      <c r="X52" s="150" t="str">
        <f t="shared" si="62"/>
        <v/>
      </c>
      <c r="Y52" s="149" t="str">
        <f t="shared" ca="1" si="80"/>
        <v/>
      </c>
      <c r="Z52" s="150" t="str">
        <f t="shared" si="63"/>
        <v/>
      </c>
      <c r="AA52" s="149" t="str">
        <f t="shared" ca="1" si="81"/>
        <v/>
      </c>
      <c r="AB52" s="150" t="str">
        <f t="shared" si="64"/>
        <v/>
      </c>
      <c r="AC52" s="149" t="str">
        <f t="shared" ca="1" si="82"/>
        <v/>
      </c>
      <c r="AD52" s="150" t="str">
        <f t="shared" si="65"/>
        <v/>
      </c>
      <c r="AE52" s="146"/>
      <c r="AF52" s="146"/>
      <c r="AG52" s="146"/>
      <c r="AH52" s="146"/>
      <c r="AI52" s="146"/>
      <c r="AJ52" s="146"/>
      <c r="AL52" s="211" t="e">
        <f t="shared" ca="1" si="66"/>
        <v>#DIV/0!</v>
      </c>
      <c r="AM52" s="70" t="e">
        <f t="shared" ca="1" si="67"/>
        <v>#DIV/0!</v>
      </c>
      <c r="AN52" s="276" t="e">
        <f t="shared" ca="1" si="68"/>
        <v>#DIV/0!</v>
      </c>
      <c r="AO52" s="276" t="e">
        <f t="shared" ca="1" si="69"/>
        <v>#DIV/0!</v>
      </c>
    </row>
    <row r="53" spans="1:41" ht="21.75" hidden="1" customHeight="1">
      <c r="A53" s="147"/>
      <c r="B53" s="148" t="str">
        <f t="shared" si="51"/>
        <v/>
      </c>
      <c r="C53" s="149" t="str">
        <f t="shared" si="70"/>
        <v/>
      </c>
      <c r="D53" s="150" t="str">
        <f t="shared" si="52"/>
        <v/>
      </c>
      <c r="E53" s="149" t="str">
        <f t="shared" si="71"/>
        <v/>
      </c>
      <c r="F53" s="150" t="str">
        <f t="shared" si="53"/>
        <v/>
      </c>
      <c r="G53" s="149" t="str">
        <f t="shared" ca="1" si="72"/>
        <v/>
      </c>
      <c r="H53" s="150" t="str">
        <f t="shared" si="54"/>
        <v/>
      </c>
      <c r="I53" s="149" t="str">
        <f t="shared" ca="1" si="73"/>
        <v/>
      </c>
      <c r="J53" s="150" t="str">
        <f t="shared" si="55"/>
        <v/>
      </c>
      <c r="K53" s="149" t="str">
        <f t="shared" ca="1" si="74"/>
        <v/>
      </c>
      <c r="L53" s="150" t="str">
        <f t="shared" si="56"/>
        <v/>
      </c>
      <c r="M53" s="149" t="str">
        <f t="shared" ca="1" si="42"/>
        <v/>
      </c>
      <c r="N53" s="150" t="str">
        <f t="shared" si="57"/>
        <v/>
      </c>
      <c r="O53" s="149" t="str">
        <f t="shared" ca="1" si="75"/>
        <v/>
      </c>
      <c r="P53" s="150" t="str">
        <f t="shared" si="58"/>
        <v/>
      </c>
      <c r="Q53" s="149" t="str">
        <f t="shared" ca="1" si="76"/>
        <v/>
      </c>
      <c r="R53" s="150" t="str">
        <f t="shared" si="59"/>
        <v/>
      </c>
      <c r="S53" s="149" t="str">
        <f t="shared" ca="1" si="77"/>
        <v/>
      </c>
      <c r="T53" s="150" t="str">
        <f t="shared" si="60"/>
        <v/>
      </c>
      <c r="U53" s="149" t="str">
        <f t="shared" ca="1" si="78"/>
        <v/>
      </c>
      <c r="V53" s="150" t="str">
        <f t="shared" si="61"/>
        <v/>
      </c>
      <c r="W53" s="149" t="str">
        <f t="shared" ca="1" si="79"/>
        <v/>
      </c>
      <c r="X53" s="150" t="str">
        <f t="shared" si="62"/>
        <v/>
      </c>
      <c r="Y53" s="149" t="str">
        <f t="shared" ca="1" si="80"/>
        <v/>
      </c>
      <c r="Z53" s="150" t="str">
        <f t="shared" si="63"/>
        <v/>
      </c>
      <c r="AA53" s="149" t="str">
        <f t="shared" ca="1" si="81"/>
        <v/>
      </c>
      <c r="AB53" s="150" t="str">
        <f t="shared" si="64"/>
        <v/>
      </c>
      <c r="AC53" s="149" t="str">
        <f t="shared" ca="1" si="82"/>
        <v/>
      </c>
      <c r="AD53" s="150" t="str">
        <f t="shared" si="65"/>
        <v/>
      </c>
      <c r="AE53" s="146"/>
      <c r="AF53" s="146"/>
      <c r="AG53" s="146"/>
      <c r="AH53" s="146"/>
      <c r="AI53" s="146"/>
      <c r="AJ53" s="146"/>
      <c r="AL53" s="211" t="e">
        <f t="shared" ca="1" si="66"/>
        <v>#DIV/0!</v>
      </c>
      <c r="AM53" s="70" t="e">
        <f t="shared" ca="1" si="67"/>
        <v>#DIV/0!</v>
      </c>
      <c r="AN53" s="276" t="e">
        <f t="shared" ca="1" si="68"/>
        <v>#DIV/0!</v>
      </c>
      <c r="AO53" s="276" t="e">
        <f t="shared" ca="1" si="69"/>
        <v>#DIV/0!</v>
      </c>
    </row>
    <row r="54" spans="1:41" ht="21.75" hidden="1" customHeight="1">
      <c r="A54" s="147"/>
      <c r="B54" s="148" t="str">
        <f t="shared" si="51"/>
        <v/>
      </c>
      <c r="C54" s="149" t="str">
        <f t="shared" si="70"/>
        <v/>
      </c>
      <c r="D54" s="150" t="str">
        <f t="shared" si="52"/>
        <v/>
      </c>
      <c r="E54" s="149" t="str">
        <f t="shared" si="71"/>
        <v/>
      </c>
      <c r="F54" s="150" t="str">
        <f t="shared" si="53"/>
        <v/>
      </c>
      <c r="G54" s="149" t="str">
        <f t="shared" ca="1" si="72"/>
        <v/>
      </c>
      <c r="H54" s="150" t="str">
        <f t="shared" si="54"/>
        <v/>
      </c>
      <c r="I54" s="149" t="str">
        <f t="shared" ca="1" si="73"/>
        <v/>
      </c>
      <c r="J54" s="150" t="str">
        <f t="shared" si="55"/>
        <v/>
      </c>
      <c r="K54" s="149" t="str">
        <f t="shared" ca="1" si="74"/>
        <v/>
      </c>
      <c r="L54" s="150" t="str">
        <f t="shared" si="56"/>
        <v/>
      </c>
      <c r="M54" s="149" t="str">
        <f t="shared" ca="1" si="42"/>
        <v/>
      </c>
      <c r="N54" s="150" t="str">
        <f t="shared" si="57"/>
        <v/>
      </c>
      <c r="O54" s="149" t="str">
        <f t="shared" ca="1" si="75"/>
        <v/>
      </c>
      <c r="P54" s="150" t="str">
        <f t="shared" si="58"/>
        <v/>
      </c>
      <c r="Q54" s="149" t="str">
        <f t="shared" ca="1" si="76"/>
        <v/>
      </c>
      <c r="R54" s="150" t="str">
        <f t="shared" si="59"/>
        <v/>
      </c>
      <c r="S54" s="149" t="str">
        <f t="shared" ca="1" si="77"/>
        <v/>
      </c>
      <c r="T54" s="150" t="str">
        <f t="shared" si="60"/>
        <v/>
      </c>
      <c r="U54" s="149" t="str">
        <f t="shared" ca="1" si="78"/>
        <v/>
      </c>
      <c r="V54" s="150" t="str">
        <f t="shared" si="61"/>
        <v/>
      </c>
      <c r="W54" s="149" t="str">
        <f t="shared" ca="1" si="79"/>
        <v/>
      </c>
      <c r="X54" s="150" t="str">
        <f t="shared" si="62"/>
        <v/>
      </c>
      <c r="Y54" s="149" t="str">
        <f t="shared" ca="1" si="80"/>
        <v/>
      </c>
      <c r="Z54" s="150" t="str">
        <f t="shared" si="63"/>
        <v/>
      </c>
      <c r="AA54" s="149" t="str">
        <f t="shared" ca="1" si="81"/>
        <v/>
      </c>
      <c r="AB54" s="150" t="str">
        <f t="shared" si="64"/>
        <v/>
      </c>
      <c r="AC54" s="149" t="str">
        <f t="shared" ca="1" si="82"/>
        <v/>
      </c>
      <c r="AD54" s="150" t="str">
        <f t="shared" si="65"/>
        <v/>
      </c>
      <c r="AE54" s="146"/>
      <c r="AF54" s="146"/>
      <c r="AG54" s="146"/>
      <c r="AH54" s="146"/>
      <c r="AI54" s="146"/>
      <c r="AJ54" s="146"/>
      <c r="AL54" s="211" t="e">
        <f t="shared" ca="1" si="66"/>
        <v>#DIV/0!</v>
      </c>
      <c r="AM54" s="70" t="e">
        <f t="shared" ca="1" si="67"/>
        <v>#DIV/0!</v>
      </c>
      <c r="AN54" s="276" t="e">
        <f t="shared" ca="1" si="68"/>
        <v>#DIV/0!</v>
      </c>
      <c r="AO54" s="276" t="e">
        <f t="shared" ca="1" si="69"/>
        <v>#DIV/0!</v>
      </c>
    </row>
    <row r="55" spans="1:41" ht="21.75" hidden="1" customHeight="1">
      <c r="A55" s="147"/>
      <c r="B55" s="148" t="str">
        <f t="shared" si="51"/>
        <v/>
      </c>
      <c r="C55" s="149" t="str">
        <f t="shared" si="70"/>
        <v/>
      </c>
      <c r="D55" s="150" t="str">
        <f t="shared" si="52"/>
        <v/>
      </c>
      <c r="E55" s="149" t="str">
        <f t="shared" si="71"/>
        <v/>
      </c>
      <c r="F55" s="150" t="str">
        <f t="shared" si="53"/>
        <v/>
      </c>
      <c r="G55" s="149" t="str">
        <f t="shared" ca="1" si="72"/>
        <v/>
      </c>
      <c r="H55" s="150" t="str">
        <f t="shared" si="54"/>
        <v/>
      </c>
      <c r="I55" s="149" t="str">
        <f t="shared" ca="1" si="73"/>
        <v/>
      </c>
      <c r="J55" s="150" t="str">
        <f t="shared" si="55"/>
        <v/>
      </c>
      <c r="K55" s="149" t="str">
        <f t="shared" ca="1" si="74"/>
        <v/>
      </c>
      <c r="L55" s="150" t="str">
        <f t="shared" si="56"/>
        <v/>
      </c>
      <c r="M55" s="149" t="str">
        <f t="shared" ca="1" si="42"/>
        <v/>
      </c>
      <c r="N55" s="150" t="str">
        <f t="shared" si="57"/>
        <v/>
      </c>
      <c r="O55" s="149" t="str">
        <f t="shared" ca="1" si="75"/>
        <v/>
      </c>
      <c r="P55" s="150" t="str">
        <f t="shared" si="58"/>
        <v/>
      </c>
      <c r="Q55" s="149" t="str">
        <f t="shared" ca="1" si="76"/>
        <v/>
      </c>
      <c r="R55" s="150" t="str">
        <f t="shared" si="59"/>
        <v/>
      </c>
      <c r="S55" s="149" t="str">
        <f t="shared" ca="1" si="77"/>
        <v/>
      </c>
      <c r="T55" s="150" t="str">
        <f t="shared" si="60"/>
        <v/>
      </c>
      <c r="U55" s="149" t="str">
        <f t="shared" ca="1" si="78"/>
        <v/>
      </c>
      <c r="V55" s="150" t="str">
        <f t="shared" si="61"/>
        <v/>
      </c>
      <c r="W55" s="149" t="str">
        <f t="shared" ca="1" si="79"/>
        <v/>
      </c>
      <c r="X55" s="150" t="str">
        <f t="shared" si="62"/>
        <v/>
      </c>
      <c r="Y55" s="149" t="str">
        <f t="shared" ca="1" si="80"/>
        <v/>
      </c>
      <c r="Z55" s="150" t="str">
        <f t="shared" si="63"/>
        <v/>
      </c>
      <c r="AA55" s="149" t="str">
        <f t="shared" ca="1" si="81"/>
        <v/>
      </c>
      <c r="AB55" s="150" t="str">
        <f t="shared" si="64"/>
        <v/>
      </c>
      <c r="AC55" s="149" t="str">
        <f t="shared" ca="1" si="82"/>
        <v/>
      </c>
      <c r="AD55" s="150" t="str">
        <f t="shared" si="65"/>
        <v/>
      </c>
      <c r="AE55" s="146"/>
      <c r="AF55" s="146"/>
      <c r="AG55" s="146"/>
      <c r="AH55" s="146"/>
      <c r="AI55" s="146"/>
      <c r="AJ55" s="146"/>
      <c r="AL55" s="211" t="e">
        <f t="shared" ca="1" si="66"/>
        <v>#DIV/0!</v>
      </c>
      <c r="AM55" s="70" t="e">
        <f t="shared" ca="1" si="67"/>
        <v>#DIV/0!</v>
      </c>
      <c r="AN55" s="276" t="e">
        <f t="shared" ca="1" si="68"/>
        <v>#DIV/0!</v>
      </c>
      <c r="AO55" s="276" t="e">
        <f t="shared" ca="1" si="69"/>
        <v>#DIV/0!</v>
      </c>
    </row>
    <row r="56" spans="1:41" ht="21.75" hidden="1" customHeight="1">
      <c r="A56" s="147"/>
      <c r="B56" s="148" t="str">
        <f t="shared" si="51"/>
        <v/>
      </c>
      <c r="C56" s="149" t="str">
        <f t="shared" si="70"/>
        <v/>
      </c>
      <c r="D56" s="150" t="str">
        <f t="shared" si="52"/>
        <v/>
      </c>
      <c r="E56" s="149" t="str">
        <f t="shared" si="71"/>
        <v/>
      </c>
      <c r="F56" s="150" t="str">
        <f t="shared" si="53"/>
        <v/>
      </c>
      <c r="G56" s="149" t="str">
        <f t="shared" ca="1" si="72"/>
        <v/>
      </c>
      <c r="H56" s="150" t="str">
        <f t="shared" si="54"/>
        <v/>
      </c>
      <c r="I56" s="149" t="str">
        <f t="shared" ca="1" si="73"/>
        <v/>
      </c>
      <c r="J56" s="150" t="str">
        <f t="shared" si="55"/>
        <v/>
      </c>
      <c r="K56" s="149" t="str">
        <f t="shared" ca="1" si="74"/>
        <v/>
      </c>
      <c r="L56" s="150" t="str">
        <f t="shared" si="56"/>
        <v/>
      </c>
      <c r="M56" s="149" t="str">
        <f t="shared" ca="1" si="42"/>
        <v/>
      </c>
      <c r="N56" s="150" t="str">
        <f t="shared" si="57"/>
        <v/>
      </c>
      <c r="O56" s="149" t="str">
        <f t="shared" ca="1" si="75"/>
        <v/>
      </c>
      <c r="P56" s="150" t="str">
        <f t="shared" si="58"/>
        <v/>
      </c>
      <c r="Q56" s="149" t="str">
        <f t="shared" ca="1" si="76"/>
        <v/>
      </c>
      <c r="R56" s="150" t="str">
        <f t="shared" si="59"/>
        <v/>
      </c>
      <c r="S56" s="149" t="str">
        <f t="shared" ca="1" si="77"/>
        <v/>
      </c>
      <c r="T56" s="150" t="str">
        <f t="shared" si="60"/>
        <v/>
      </c>
      <c r="U56" s="149" t="str">
        <f t="shared" ca="1" si="78"/>
        <v/>
      </c>
      <c r="V56" s="150" t="str">
        <f t="shared" si="61"/>
        <v/>
      </c>
      <c r="W56" s="149" t="str">
        <f t="shared" ca="1" si="79"/>
        <v/>
      </c>
      <c r="X56" s="150" t="str">
        <f t="shared" si="62"/>
        <v/>
      </c>
      <c r="Y56" s="149" t="str">
        <f t="shared" ca="1" si="80"/>
        <v/>
      </c>
      <c r="Z56" s="150" t="str">
        <f t="shared" si="63"/>
        <v/>
      </c>
      <c r="AA56" s="149" t="str">
        <f t="shared" ca="1" si="81"/>
        <v/>
      </c>
      <c r="AB56" s="150" t="str">
        <f t="shared" si="64"/>
        <v/>
      </c>
      <c r="AC56" s="149" t="str">
        <f t="shared" ca="1" si="82"/>
        <v/>
      </c>
      <c r="AD56" s="150" t="str">
        <f t="shared" si="65"/>
        <v/>
      </c>
      <c r="AE56" s="146"/>
      <c r="AF56" s="146"/>
      <c r="AG56" s="146"/>
      <c r="AH56" s="146"/>
      <c r="AI56" s="146"/>
      <c r="AJ56" s="146"/>
      <c r="AL56" s="211" t="e">
        <f t="shared" ca="1" si="66"/>
        <v>#DIV/0!</v>
      </c>
      <c r="AM56" s="70" t="e">
        <f t="shared" ca="1" si="67"/>
        <v>#DIV/0!</v>
      </c>
      <c r="AN56" s="276" t="e">
        <f t="shared" ca="1" si="68"/>
        <v>#DIV/0!</v>
      </c>
      <c r="AO56" s="276" t="e">
        <f t="shared" ca="1" si="69"/>
        <v>#DIV/0!</v>
      </c>
    </row>
    <row r="57" spans="1:41" ht="21.75" hidden="1" customHeight="1">
      <c r="A57" s="147"/>
      <c r="B57" s="148" t="str">
        <f t="shared" si="51"/>
        <v/>
      </c>
      <c r="C57" s="149" t="str">
        <f t="shared" si="70"/>
        <v/>
      </c>
      <c r="D57" s="150" t="str">
        <f t="shared" si="52"/>
        <v/>
      </c>
      <c r="E57" s="149" t="str">
        <f t="shared" si="71"/>
        <v/>
      </c>
      <c r="F57" s="150" t="str">
        <f t="shared" si="53"/>
        <v/>
      </c>
      <c r="G57" s="149" t="str">
        <f t="shared" ca="1" si="72"/>
        <v/>
      </c>
      <c r="H57" s="150" t="str">
        <f t="shared" si="54"/>
        <v/>
      </c>
      <c r="I57" s="149" t="str">
        <f t="shared" ca="1" si="73"/>
        <v/>
      </c>
      <c r="J57" s="150" t="str">
        <f t="shared" si="55"/>
        <v/>
      </c>
      <c r="K57" s="149" t="str">
        <f t="shared" ca="1" si="74"/>
        <v/>
      </c>
      <c r="L57" s="150" t="str">
        <f t="shared" si="56"/>
        <v/>
      </c>
      <c r="M57" s="149" t="str">
        <f t="shared" ca="1" si="42"/>
        <v/>
      </c>
      <c r="N57" s="150" t="str">
        <f t="shared" si="57"/>
        <v/>
      </c>
      <c r="O57" s="149" t="str">
        <f t="shared" ca="1" si="75"/>
        <v/>
      </c>
      <c r="P57" s="150" t="str">
        <f t="shared" si="58"/>
        <v/>
      </c>
      <c r="Q57" s="149" t="str">
        <f t="shared" ca="1" si="76"/>
        <v/>
      </c>
      <c r="R57" s="150" t="str">
        <f t="shared" si="59"/>
        <v/>
      </c>
      <c r="S57" s="149" t="str">
        <f t="shared" ca="1" si="77"/>
        <v/>
      </c>
      <c r="T57" s="150" t="str">
        <f t="shared" si="60"/>
        <v/>
      </c>
      <c r="U57" s="149" t="str">
        <f t="shared" ca="1" si="78"/>
        <v/>
      </c>
      <c r="V57" s="150" t="str">
        <f t="shared" si="61"/>
        <v/>
      </c>
      <c r="W57" s="149" t="str">
        <f t="shared" ca="1" si="79"/>
        <v/>
      </c>
      <c r="X57" s="150" t="str">
        <f t="shared" si="62"/>
        <v/>
      </c>
      <c r="Y57" s="149" t="str">
        <f t="shared" ca="1" si="80"/>
        <v/>
      </c>
      <c r="Z57" s="150" t="str">
        <f t="shared" si="63"/>
        <v/>
      </c>
      <c r="AA57" s="149" t="str">
        <f t="shared" ca="1" si="81"/>
        <v/>
      </c>
      <c r="AB57" s="150" t="str">
        <f t="shared" si="64"/>
        <v/>
      </c>
      <c r="AC57" s="149" t="str">
        <f t="shared" ca="1" si="82"/>
        <v/>
      </c>
      <c r="AD57" s="150" t="str">
        <f t="shared" si="65"/>
        <v/>
      </c>
      <c r="AE57" s="146"/>
      <c r="AF57" s="146"/>
      <c r="AG57" s="146"/>
      <c r="AH57" s="146"/>
      <c r="AI57" s="146"/>
      <c r="AJ57" s="146"/>
      <c r="AL57" s="211" t="e">
        <f t="shared" ca="1" si="66"/>
        <v>#DIV/0!</v>
      </c>
      <c r="AM57" s="70" t="e">
        <f t="shared" ca="1" si="67"/>
        <v>#DIV/0!</v>
      </c>
      <c r="AN57" s="276" t="e">
        <f t="shared" ca="1" si="68"/>
        <v>#DIV/0!</v>
      </c>
      <c r="AO57" s="276" t="e">
        <f t="shared" ca="1" si="69"/>
        <v>#DIV/0!</v>
      </c>
    </row>
    <row r="58" spans="1:41" ht="21.75" hidden="1" customHeight="1">
      <c r="A58" s="147"/>
      <c r="B58" s="148" t="str">
        <f t="shared" si="51"/>
        <v/>
      </c>
      <c r="C58" s="149" t="str">
        <f t="shared" si="70"/>
        <v/>
      </c>
      <c r="D58" s="150" t="str">
        <f t="shared" si="52"/>
        <v/>
      </c>
      <c r="E58" s="149" t="str">
        <f t="shared" si="71"/>
        <v/>
      </c>
      <c r="F58" s="150" t="str">
        <f t="shared" si="53"/>
        <v/>
      </c>
      <c r="G58" s="149" t="str">
        <f t="shared" ca="1" si="72"/>
        <v/>
      </c>
      <c r="H58" s="150" t="str">
        <f t="shared" si="54"/>
        <v/>
      </c>
      <c r="I58" s="149" t="str">
        <f t="shared" ca="1" si="73"/>
        <v/>
      </c>
      <c r="J58" s="150" t="str">
        <f t="shared" si="55"/>
        <v/>
      </c>
      <c r="K58" s="149" t="str">
        <f t="shared" ca="1" si="74"/>
        <v/>
      </c>
      <c r="L58" s="150" t="str">
        <f t="shared" si="56"/>
        <v/>
      </c>
      <c r="M58" s="149" t="str">
        <f t="shared" ca="1" si="42"/>
        <v/>
      </c>
      <c r="N58" s="150" t="str">
        <f t="shared" si="57"/>
        <v/>
      </c>
      <c r="O58" s="149" t="str">
        <f t="shared" ca="1" si="75"/>
        <v/>
      </c>
      <c r="P58" s="150" t="str">
        <f t="shared" si="58"/>
        <v/>
      </c>
      <c r="Q58" s="149" t="str">
        <f t="shared" ca="1" si="76"/>
        <v/>
      </c>
      <c r="R58" s="150" t="str">
        <f t="shared" si="59"/>
        <v/>
      </c>
      <c r="S58" s="149" t="str">
        <f t="shared" ca="1" si="77"/>
        <v/>
      </c>
      <c r="T58" s="150" t="str">
        <f t="shared" si="60"/>
        <v/>
      </c>
      <c r="U58" s="149" t="str">
        <f t="shared" ca="1" si="78"/>
        <v/>
      </c>
      <c r="V58" s="150" t="str">
        <f t="shared" si="61"/>
        <v/>
      </c>
      <c r="W58" s="149" t="str">
        <f t="shared" ca="1" si="79"/>
        <v/>
      </c>
      <c r="X58" s="150" t="str">
        <f t="shared" si="62"/>
        <v/>
      </c>
      <c r="Y58" s="149" t="str">
        <f t="shared" ca="1" si="80"/>
        <v/>
      </c>
      <c r="Z58" s="150" t="str">
        <f t="shared" si="63"/>
        <v/>
      </c>
      <c r="AA58" s="149" t="str">
        <f t="shared" ca="1" si="81"/>
        <v/>
      </c>
      <c r="AB58" s="150" t="str">
        <f t="shared" si="64"/>
        <v/>
      </c>
      <c r="AC58" s="149" t="str">
        <f t="shared" ca="1" si="82"/>
        <v/>
      </c>
      <c r="AD58" s="150" t="str">
        <f t="shared" si="65"/>
        <v/>
      </c>
      <c r="AE58" s="146"/>
      <c r="AF58" s="146"/>
      <c r="AG58" s="146"/>
      <c r="AH58" s="146"/>
      <c r="AI58" s="146"/>
      <c r="AJ58" s="146"/>
      <c r="AL58" s="211" t="e">
        <f t="shared" ca="1" si="66"/>
        <v>#DIV/0!</v>
      </c>
      <c r="AM58" s="70" t="e">
        <f t="shared" ca="1" si="67"/>
        <v>#DIV/0!</v>
      </c>
      <c r="AN58" s="276" t="e">
        <f t="shared" ca="1" si="68"/>
        <v>#DIV/0!</v>
      </c>
      <c r="AO58" s="276" t="e">
        <f t="shared" ca="1" si="69"/>
        <v>#DIV/0!</v>
      </c>
    </row>
    <row r="59" spans="1:41" ht="21.75" hidden="1" customHeight="1">
      <c r="A59" s="147"/>
      <c r="B59" s="148" t="str">
        <f t="shared" si="51"/>
        <v/>
      </c>
      <c r="C59" s="149" t="str">
        <f t="shared" si="70"/>
        <v/>
      </c>
      <c r="D59" s="150" t="str">
        <f t="shared" si="52"/>
        <v/>
      </c>
      <c r="E59" s="149" t="str">
        <f t="shared" si="71"/>
        <v/>
      </c>
      <c r="F59" s="150" t="str">
        <f t="shared" si="53"/>
        <v/>
      </c>
      <c r="G59" s="149" t="str">
        <f t="shared" ca="1" si="72"/>
        <v/>
      </c>
      <c r="H59" s="150" t="str">
        <f t="shared" si="54"/>
        <v/>
      </c>
      <c r="I59" s="149" t="str">
        <f t="shared" ca="1" si="73"/>
        <v/>
      </c>
      <c r="J59" s="150" t="str">
        <f t="shared" si="55"/>
        <v/>
      </c>
      <c r="K59" s="149" t="str">
        <f t="shared" ca="1" si="74"/>
        <v/>
      </c>
      <c r="L59" s="150" t="str">
        <f t="shared" si="56"/>
        <v/>
      </c>
      <c r="M59" s="149" t="str">
        <f t="shared" ca="1" si="42"/>
        <v/>
      </c>
      <c r="N59" s="150" t="str">
        <f t="shared" si="57"/>
        <v/>
      </c>
      <c r="O59" s="149" t="str">
        <f t="shared" ca="1" si="75"/>
        <v/>
      </c>
      <c r="P59" s="150" t="str">
        <f t="shared" si="58"/>
        <v/>
      </c>
      <c r="Q59" s="149" t="str">
        <f t="shared" ca="1" si="76"/>
        <v/>
      </c>
      <c r="R59" s="150" t="str">
        <f t="shared" si="59"/>
        <v/>
      </c>
      <c r="S59" s="149" t="str">
        <f t="shared" ca="1" si="77"/>
        <v/>
      </c>
      <c r="T59" s="150" t="str">
        <f t="shared" si="60"/>
        <v/>
      </c>
      <c r="U59" s="149" t="str">
        <f t="shared" ca="1" si="78"/>
        <v/>
      </c>
      <c r="V59" s="150" t="str">
        <f t="shared" si="61"/>
        <v/>
      </c>
      <c r="W59" s="149" t="str">
        <f t="shared" ca="1" si="79"/>
        <v/>
      </c>
      <c r="X59" s="150" t="str">
        <f t="shared" si="62"/>
        <v/>
      </c>
      <c r="Y59" s="149" t="str">
        <f t="shared" ca="1" si="80"/>
        <v/>
      </c>
      <c r="Z59" s="150" t="str">
        <f t="shared" si="63"/>
        <v/>
      </c>
      <c r="AA59" s="149" t="str">
        <f t="shared" ca="1" si="81"/>
        <v/>
      </c>
      <c r="AB59" s="150" t="str">
        <f t="shared" si="64"/>
        <v/>
      </c>
      <c r="AC59" s="149" t="str">
        <f t="shared" ca="1" si="82"/>
        <v/>
      </c>
      <c r="AD59" s="150" t="str">
        <f t="shared" si="65"/>
        <v/>
      </c>
      <c r="AE59" s="146"/>
      <c r="AF59" s="146"/>
      <c r="AG59" s="146"/>
      <c r="AH59" s="146"/>
      <c r="AI59" s="146"/>
      <c r="AJ59" s="146"/>
      <c r="AL59" s="211" t="e">
        <f t="shared" ca="1" si="66"/>
        <v>#DIV/0!</v>
      </c>
      <c r="AM59" s="70" t="e">
        <f t="shared" ca="1" si="67"/>
        <v>#DIV/0!</v>
      </c>
      <c r="AN59" s="276" t="e">
        <f t="shared" ca="1" si="68"/>
        <v>#DIV/0!</v>
      </c>
      <c r="AO59" s="276" t="e">
        <f t="shared" ca="1" si="69"/>
        <v>#DIV/0!</v>
      </c>
    </row>
    <row r="60" spans="1:41" ht="21.75" hidden="1" customHeight="1">
      <c r="A60" s="147"/>
      <c r="B60" s="148" t="str">
        <f t="shared" si="51"/>
        <v/>
      </c>
      <c r="C60" s="149" t="str">
        <f t="shared" si="70"/>
        <v/>
      </c>
      <c r="D60" s="150" t="str">
        <f t="shared" si="52"/>
        <v/>
      </c>
      <c r="E60" s="149" t="str">
        <f t="shared" si="71"/>
        <v/>
      </c>
      <c r="F60" s="150" t="str">
        <f t="shared" si="53"/>
        <v/>
      </c>
      <c r="G60" s="149" t="str">
        <f t="shared" ca="1" si="72"/>
        <v/>
      </c>
      <c r="H60" s="150" t="str">
        <f t="shared" si="54"/>
        <v/>
      </c>
      <c r="I60" s="149" t="str">
        <f t="shared" ca="1" si="73"/>
        <v/>
      </c>
      <c r="J60" s="150" t="str">
        <f t="shared" si="55"/>
        <v/>
      </c>
      <c r="K60" s="149" t="str">
        <f t="shared" ca="1" si="74"/>
        <v/>
      </c>
      <c r="L60" s="150" t="str">
        <f t="shared" si="56"/>
        <v/>
      </c>
      <c r="M60" s="149" t="str">
        <f t="shared" ca="1" si="42"/>
        <v/>
      </c>
      <c r="N60" s="150" t="str">
        <f t="shared" si="57"/>
        <v/>
      </c>
      <c r="O60" s="149" t="str">
        <f t="shared" ca="1" si="75"/>
        <v/>
      </c>
      <c r="P60" s="150" t="str">
        <f t="shared" si="58"/>
        <v/>
      </c>
      <c r="Q60" s="149" t="str">
        <f t="shared" ca="1" si="76"/>
        <v/>
      </c>
      <c r="R60" s="150" t="str">
        <f t="shared" si="59"/>
        <v/>
      </c>
      <c r="S60" s="149" t="str">
        <f t="shared" ca="1" si="77"/>
        <v/>
      </c>
      <c r="T60" s="150" t="str">
        <f t="shared" si="60"/>
        <v/>
      </c>
      <c r="U60" s="149" t="str">
        <f t="shared" ca="1" si="78"/>
        <v/>
      </c>
      <c r="V60" s="150" t="str">
        <f t="shared" si="61"/>
        <v/>
      </c>
      <c r="W60" s="149" t="str">
        <f t="shared" ca="1" si="79"/>
        <v/>
      </c>
      <c r="X60" s="150" t="str">
        <f t="shared" si="62"/>
        <v/>
      </c>
      <c r="Y60" s="149" t="str">
        <f t="shared" ca="1" si="80"/>
        <v/>
      </c>
      <c r="Z60" s="150" t="str">
        <f t="shared" si="63"/>
        <v/>
      </c>
      <c r="AA60" s="149" t="str">
        <f t="shared" ca="1" si="81"/>
        <v/>
      </c>
      <c r="AB60" s="150" t="str">
        <f t="shared" si="64"/>
        <v/>
      </c>
      <c r="AC60" s="149" t="str">
        <f t="shared" ca="1" si="82"/>
        <v/>
      </c>
      <c r="AD60" s="150" t="str">
        <f t="shared" si="65"/>
        <v/>
      </c>
      <c r="AE60" s="146"/>
      <c r="AF60" s="146"/>
      <c r="AG60" s="146"/>
      <c r="AH60" s="146"/>
      <c r="AI60" s="146"/>
      <c r="AJ60" s="146"/>
      <c r="AL60" s="211" t="e">
        <f t="shared" ca="1" si="66"/>
        <v>#DIV/0!</v>
      </c>
      <c r="AM60" s="70" t="e">
        <f t="shared" ca="1" si="67"/>
        <v>#DIV/0!</v>
      </c>
      <c r="AN60" s="276" t="e">
        <f t="shared" ca="1" si="68"/>
        <v>#DIV/0!</v>
      </c>
      <c r="AO60" s="276" t="e">
        <f t="shared" ca="1" si="69"/>
        <v>#DIV/0!</v>
      </c>
    </row>
    <row r="61" spans="1:41" ht="21.75" hidden="1" customHeight="1">
      <c r="A61" s="147"/>
      <c r="B61" s="148" t="str">
        <f t="shared" si="51"/>
        <v/>
      </c>
      <c r="C61" s="149" t="str">
        <f t="shared" si="70"/>
        <v/>
      </c>
      <c r="D61" s="150" t="str">
        <f t="shared" si="52"/>
        <v/>
      </c>
      <c r="E61" s="149" t="str">
        <f t="shared" si="71"/>
        <v/>
      </c>
      <c r="F61" s="150" t="str">
        <f t="shared" si="53"/>
        <v/>
      </c>
      <c r="G61" s="149" t="str">
        <f t="shared" ca="1" si="72"/>
        <v/>
      </c>
      <c r="H61" s="150" t="str">
        <f t="shared" si="54"/>
        <v/>
      </c>
      <c r="I61" s="149" t="str">
        <f t="shared" ca="1" si="73"/>
        <v/>
      </c>
      <c r="J61" s="150" t="str">
        <f t="shared" si="55"/>
        <v/>
      </c>
      <c r="K61" s="149" t="str">
        <f t="shared" ca="1" si="74"/>
        <v/>
      </c>
      <c r="L61" s="150" t="str">
        <f t="shared" si="56"/>
        <v/>
      </c>
      <c r="M61" s="149" t="str">
        <f t="shared" ca="1" si="42"/>
        <v/>
      </c>
      <c r="N61" s="150" t="str">
        <f t="shared" si="57"/>
        <v/>
      </c>
      <c r="O61" s="149" t="str">
        <f t="shared" ca="1" si="75"/>
        <v/>
      </c>
      <c r="P61" s="150" t="str">
        <f t="shared" si="58"/>
        <v/>
      </c>
      <c r="Q61" s="149" t="str">
        <f t="shared" ca="1" si="76"/>
        <v/>
      </c>
      <c r="R61" s="150" t="str">
        <f t="shared" si="59"/>
        <v/>
      </c>
      <c r="S61" s="149" t="str">
        <f t="shared" ca="1" si="77"/>
        <v/>
      </c>
      <c r="T61" s="150" t="str">
        <f t="shared" si="60"/>
        <v/>
      </c>
      <c r="U61" s="149" t="str">
        <f t="shared" ca="1" si="78"/>
        <v/>
      </c>
      <c r="V61" s="150" t="str">
        <f t="shared" si="61"/>
        <v/>
      </c>
      <c r="W61" s="149" t="str">
        <f t="shared" ca="1" si="79"/>
        <v/>
      </c>
      <c r="X61" s="150" t="str">
        <f t="shared" si="62"/>
        <v/>
      </c>
      <c r="Y61" s="149" t="str">
        <f t="shared" ca="1" si="80"/>
        <v/>
      </c>
      <c r="Z61" s="150" t="str">
        <f t="shared" si="63"/>
        <v/>
      </c>
      <c r="AA61" s="149" t="str">
        <f t="shared" ca="1" si="81"/>
        <v/>
      </c>
      <c r="AB61" s="150" t="str">
        <f t="shared" si="64"/>
        <v/>
      </c>
      <c r="AC61" s="149" t="str">
        <f t="shared" ca="1" si="82"/>
        <v/>
      </c>
      <c r="AD61" s="150" t="str">
        <f t="shared" si="65"/>
        <v/>
      </c>
      <c r="AE61" s="146"/>
      <c r="AF61" s="146"/>
      <c r="AG61" s="146"/>
      <c r="AH61" s="146"/>
      <c r="AI61" s="146"/>
      <c r="AJ61" s="146"/>
      <c r="AL61" s="211" t="e">
        <f t="shared" ca="1" si="66"/>
        <v>#DIV/0!</v>
      </c>
      <c r="AM61" s="70" t="e">
        <f t="shared" ca="1" si="67"/>
        <v>#DIV/0!</v>
      </c>
      <c r="AN61" s="276" t="e">
        <f t="shared" ca="1" si="68"/>
        <v>#DIV/0!</v>
      </c>
      <c r="AO61" s="276" t="e">
        <f t="shared" ca="1" si="69"/>
        <v>#DIV/0!</v>
      </c>
    </row>
    <row r="62" spans="1:41" ht="21.75" hidden="1" customHeight="1">
      <c r="A62" s="147"/>
      <c r="B62" s="148" t="str">
        <f t="shared" si="51"/>
        <v/>
      </c>
      <c r="C62" s="149" t="str">
        <f t="shared" si="70"/>
        <v/>
      </c>
      <c r="D62" s="150" t="str">
        <f t="shared" si="52"/>
        <v/>
      </c>
      <c r="E62" s="149" t="str">
        <f t="shared" si="71"/>
        <v/>
      </c>
      <c r="F62" s="150" t="str">
        <f t="shared" si="53"/>
        <v/>
      </c>
      <c r="G62" s="149" t="str">
        <f t="shared" ca="1" si="72"/>
        <v/>
      </c>
      <c r="H62" s="150" t="str">
        <f t="shared" si="54"/>
        <v/>
      </c>
      <c r="I62" s="149" t="str">
        <f t="shared" ca="1" si="73"/>
        <v/>
      </c>
      <c r="J62" s="150" t="str">
        <f t="shared" si="55"/>
        <v/>
      </c>
      <c r="K62" s="149" t="str">
        <f t="shared" ca="1" si="74"/>
        <v/>
      </c>
      <c r="L62" s="150" t="str">
        <f t="shared" si="56"/>
        <v/>
      </c>
      <c r="M62" s="149" t="str">
        <f t="shared" ca="1" si="42"/>
        <v/>
      </c>
      <c r="N62" s="150" t="str">
        <f t="shared" si="57"/>
        <v/>
      </c>
      <c r="O62" s="149" t="str">
        <f t="shared" ca="1" si="75"/>
        <v/>
      </c>
      <c r="P62" s="150" t="str">
        <f t="shared" si="58"/>
        <v/>
      </c>
      <c r="Q62" s="149" t="str">
        <f t="shared" ca="1" si="76"/>
        <v/>
      </c>
      <c r="R62" s="150" t="str">
        <f t="shared" si="59"/>
        <v/>
      </c>
      <c r="S62" s="149" t="str">
        <f t="shared" ca="1" si="77"/>
        <v/>
      </c>
      <c r="T62" s="150" t="str">
        <f t="shared" si="60"/>
        <v/>
      </c>
      <c r="U62" s="149" t="str">
        <f t="shared" ca="1" si="78"/>
        <v/>
      </c>
      <c r="V62" s="150" t="str">
        <f t="shared" si="61"/>
        <v/>
      </c>
      <c r="W62" s="149" t="str">
        <f t="shared" ca="1" si="79"/>
        <v/>
      </c>
      <c r="X62" s="150" t="str">
        <f t="shared" si="62"/>
        <v/>
      </c>
      <c r="Y62" s="149" t="str">
        <f t="shared" ca="1" si="80"/>
        <v/>
      </c>
      <c r="Z62" s="150" t="str">
        <f t="shared" si="63"/>
        <v/>
      </c>
      <c r="AA62" s="149" t="str">
        <f t="shared" ca="1" si="81"/>
        <v/>
      </c>
      <c r="AB62" s="150" t="str">
        <f t="shared" si="64"/>
        <v/>
      </c>
      <c r="AC62" s="149" t="str">
        <f t="shared" ca="1" si="82"/>
        <v/>
      </c>
      <c r="AD62" s="150" t="str">
        <f t="shared" si="65"/>
        <v/>
      </c>
      <c r="AE62" s="146"/>
      <c r="AF62" s="146"/>
      <c r="AG62" s="146"/>
      <c r="AH62" s="146"/>
      <c r="AI62" s="146"/>
      <c r="AJ62" s="146"/>
      <c r="AL62" s="211" t="e">
        <f t="shared" ca="1" si="66"/>
        <v>#DIV/0!</v>
      </c>
      <c r="AM62" s="70" t="e">
        <f t="shared" ca="1" si="67"/>
        <v>#DIV/0!</v>
      </c>
      <c r="AN62" s="276" t="e">
        <f t="shared" ca="1" si="68"/>
        <v>#DIV/0!</v>
      </c>
      <c r="AO62" s="276" t="e">
        <f t="shared" ca="1" si="69"/>
        <v>#DIV/0!</v>
      </c>
    </row>
    <row r="63" spans="1:41" ht="21.75" hidden="1" customHeight="1">
      <c r="A63" s="147"/>
      <c r="B63" s="148" t="str">
        <f t="shared" si="51"/>
        <v/>
      </c>
      <c r="C63" s="149" t="str">
        <f t="shared" si="70"/>
        <v/>
      </c>
      <c r="D63" s="150" t="str">
        <f t="shared" si="52"/>
        <v/>
      </c>
      <c r="E63" s="149" t="str">
        <f t="shared" si="71"/>
        <v/>
      </c>
      <c r="F63" s="150" t="str">
        <f t="shared" si="53"/>
        <v/>
      </c>
      <c r="G63" s="149" t="str">
        <f t="shared" ca="1" si="72"/>
        <v/>
      </c>
      <c r="H63" s="150" t="str">
        <f t="shared" si="54"/>
        <v/>
      </c>
      <c r="I63" s="149" t="str">
        <f t="shared" ca="1" si="73"/>
        <v/>
      </c>
      <c r="J63" s="150" t="str">
        <f t="shared" si="55"/>
        <v/>
      </c>
      <c r="K63" s="149" t="str">
        <f t="shared" ca="1" si="74"/>
        <v/>
      </c>
      <c r="L63" s="150" t="str">
        <f t="shared" si="56"/>
        <v/>
      </c>
      <c r="M63" s="149" t="str">
        <f t="shared" ca="1" si="42"/>
        <v/>
      </c>
      <c r="N63" s="150" t="str">
        <f t="shared" si="57"/>
        <v/>
      </c>
      <c r="O63" s="149" t="str">
        <f t="shared" ca="1" si="75"/>
        <v/>
      </c>
      <c r="P63" s="150" t="str">
        <f t="shared" si="58"/>
        <v/>
      </c>
      <c r="Q63" s="149" t="str">
        <f t="shared" ca="1" si="76"/>
        <v/>
      </c>
      <c r="R63" s="150" t="str">
        <f t="shared" si="59"/>
        <v/>
      </c>
      <c r="S63" s="149" t="str">
        <f t="shared" ca="1" si="77"/>
        <v/>
      </c>
      <c r="T63" s="150" t="str">
        <f t="shared" si="60"/>
        <v/>
      </c>
      <c r="U63" s="149" t="str">
        <f t="shared" ca="1" si="78"/>
        <v/>
      </c>
      <c r="V63" s="150" t="str">
        <f t="shared" si="61"/>
        <v/>
      </c>
      <c r="W63" s="149" t="str">
        <f t="shared" ca="1" si="79"/>
        <v/>
      </c>
      <c r="X63" s="150" t="str">
        <f t="shared" si="62"/>
        <v/>
      </c>
      <c r="Y63" s="149" t="str">
        <f t="shared" ca="1" si="80"/>
        <v/>
      </c>
      <c r="Z63" s="150" t="str">
        <f t="shared" si="63"/>
        <v/>
      </c>
      <c r="AA63" s="149" t="str">
        <f t="shared" ca="1" si="81"/>
        <v/>
      </c>
      <c r="AB63" s="150" t="str">
        <f t="shared" si="64"/>
        <v/>
      </c>
      <c r="AC63" s="149" t="str">
        <f t="shared" ca="1" si="82"/>
        <v/>
      </c>
      <c r="AD63" s="150" t="str">
        <f t="shared" si="65"/>
        <v/>
      </c>
      <c r="AE63" s="146"/>
      <c r="AF63" s="146"/>
      <c r="AG63" s="146"/>
      <c r="AH63" s="146"/>
      <c r="AI63" s="146"/>
      <c r="AJ63" s="146"/>
      <c r="AL63" s="211" t="e">
        <f t="shared" ca="1" si="66"/>
        <v>#DIV/0!</v>
      </c>
      <c r="AM63" s="70" t="e">
        <f t="shared" ca="1" si="67"/>
        <v>#DIV/0!</v>
      </c>
      <c r="AN63" s="276" t="e">
        <f t="shared" ca="1" si="68"/>
        <v>#DIV/0!</v>
      </c>
      <c r="AO63" s="276" t="e">
        <f t="shared" ca="1" si="69"/>
        <v>#DIV/0!</v>
      </c>
    </row>
    <row r="64" spans="1:41" ht="21.75" hidden="1" customHeight="1">
      <c r="A64" s="147"/>
      <c r="B64" s="148" t="str">
        <f t="shared" si="51"/>
        <v/>
      </c>
      <c r="C64" s="149" t="str">
        <f t="shared" si="70"/>
        <v/>
      </c>
      <c r="D64" s="150" t="str">
        <f t="shared" si="52"/>
        <v/>
      </c>
      <c r="E64" s="149" t="str">
        <f t="shared" si="71"/>
        <v/>
      </c>
      <c r="F64" s="150" t="str">
        <f t="shared" si="53"/>
        <v/>
      </c>
      <c r="G64" s="149" t="str">
        <f t="shared" ca="1" si="72"/>
        <v/>
      </c>
      <c r="H64" s="150" t="str">
        <f t="shared" si="54"/>
        <v/>
      </c>
      <c r="I64" s="149" t="str">
        <f t="shared" ca="1" si="73"/>
        <v/>
      </c>
      <c r="J64" s="150" t="str">
        <f t="shared" si="55"/>
        <v/>
      </c>
      <c r="K64" s="149" t="str">
        <f t="shared" ca="1" si="74"/>
        <v/>
      </c>
      <c r="L64" s="150" t="str">
        <f t="shared" si="56"/>
        <v/>
      </c>
      <c r="M64" s="149" t="str">
        <f t="shared" ca="1" si="42"/>
        <v/>
      </c>
      <c r="N64" s="150" t="str">
        <f t="shared" si="57"/>
        <v/>
      </c>
      <c r="O64" s="149" t="str">
        <f t="shared" ca="1" si="75"/>
        <v/>
      </c>
      <c r="P64" s="150" t="str">
        <f t="shared" si="58"/>
        <v/>
      </c>
      <c r="Q64" s="149" t="str">
        <f t="shared" ca="1" si="76"/>
        <v/>
      </c>
      <c r="R64" s="150" t="str">
        <f t="shared" si="59"/>
        <v/>
      </c>
      <c r="S64" s="149" t="str">
        <f t="shared" ca="1" si="77"/>
        <v/>
      </c>
      <c r="T64" s="150" t="str">
        <f t="shared" si="60"/>
        <v/>
      </c>
      <c r="U64" s="149" t="str">
        <f t="shared" ca="1" si="78"/>
        <v/>
      </c>
      <c r="V64" s="150" t="str">
        <f t="shared" si="61"/>
        <v/>
      </c>
      <c r="W64" s="149" t="str">
        <f t="shared" ca="1" si="79"/>
        <v/>
      </c>
      <c r="X64" s="150" t="str">
        <f t="shared" si="62"/>
        <v/>
      </c>
      <c r="Y64" s="149" t="str">
        <f t="shared" ca="1" si="80"/>
        <v/>
      </c>
      <c r="Z64" s="150" t="str">
        <f t="shared" si="63"/>
        <v/>
      </c>
      <c r="AA64" s="149" t="str">
        <f t="shared" ca="1" si="81"/>
        <v/>
      </c>
      <c r="AB64" s="150" t="str">
        <f t="shared" si="64"/>
        <v/>
      </c>
      <c r="AC64" s="149" t="str">
        <f t="shared" ca="1" si="82"/>
        <v/>
      </c>
      <c r="AD64" s="150" t="str">
        <f t="shared" si="65"/>
        <v/>
      </c>
      <c r="AE64" s="146"/>
      <c r="AF64" s="146"/>
      <c r="AG64" s="146"/>
      <c r="AH64" s="146"/>
      <c r="AI64" s="146"/>
      <c r="AJ64" s="146"/>
      <c r="AL64" s="211" t="e">
        <f t="shared" ca="1" si="66"/>
        <v>#DIV/0!</v>
      </c>
      <c r="AM64" s="70" t="e">
        <f t="shared" ca="1" si="67"/>
        <v>#DIV/0!</v>
      </c>
      <c r="AN64" s="276" t="e">
        <f t="shared" ca="1" si="68"/>
        <v>#DIV/0!</v>
      </c>
      <c r="AO64" s="276" t="e">
        <f t="shared" ca="1" si="69"/>
        <v>#DIV/0!</v>
      </c>
    </row>
    <row r="65" spans="1:41" ht="21.75" hidden="1" customHeight="1">
      <c r="A65" s="147"/>
      <c r="B65" s="148" t="str">
        <f t="shared" si="51"/>
        <v/>
      </c>
      <c r="C65" s="149" t="str">
        <f t="shared" si="70"/>
        <v/>
      </c>
      <c r="D65" s="150" t="str">
        <f t="shared" si="52"/>
        <v/>
      </c>
      <c r="E65" s="149" t="str">
        <f t="shared" si="71"/>
        <v/>
      </c>
      <c r="F65" s="150" t="str">
        <f t="shared" si="53"/>
        <v/>
      </c>
      <c r="G65" s="149" t="str">
        <f t="shared" ca="1" si="72"/>
        <v/>
      </c>
      <c r="H65" s="150" t="str">
        <f t="shared" si="54"/>
        <v/>
      </c>
      <c r="I65" s="149" t="str">
        <f t="shared" ca="1" si="73"/>
        <v/>
      </c>
      <c r="J65" s="150" t="str">
        <f t="shared" si="55"/>
        <v/>
      </c>
      <c r="K65" s="149" t="str">
        <f t="shared" ca="1" si="74"/>
        <v/>
      </c>
      <c r="L65" s="150" t="str">
        <f t="shared" si="56"/>
        <v/>
      </c>
      <c r="M65" s="149" t="str">
        <f t="shared" ca="1" si="42"/>
        <v/>
      </c>
      <c r="N65" s="150" t="str">
        <f t="shared" si="57"/>
        <v/>
      </c>
      <c r="O65" s="149" t="str">
        <f t="shared" ca="1" si="75"/>
        <v/>
      </c>
      <c r="P65" s="150" t="str">
        <f t="shared" si="58"/>
        <v/>
      </c>
      <c r="Q65" s="149" t="str">
        <f t="shared" ca="1" si="76"/>
        <v/>
      </c>
      <c r="R65" s="150" t="str">
        <f t="shared" si="59"/>
        <v/>
      </c>
      <c r="S65" s="149" t="str">
        <f t="shared" ca="1" si="77"/>
        <v/>
      </c>
      <c r="T65" s="150" t="str">
        <f t="shared" si="60"/>
        <v/>
      </c>
      <c r="U65" s="149" t="str">
        <f t="shared" ca="1" si="78"/>
        <v/>
      </c>
      <c r="V65" s="150" t="str">
        <f t="shared" si="61"/>
        <v/>
      </c>
      <c r="W65" s="149" t="str">
        <f t="shared" ca="1" si="79"/>
        <v/>
      </c>
      <c r="X65" s="150" t="str">
        <f t="shared" si="62"/>
        <v/>
      </c>
      <c r="Y65" s="149" t="str">
        <f t="shared" ca="1" si="80"/>
        <v/>
      </c>
      <c r="Z65" s="150" t="str">
        <f t="shared" si="63"/>
        <v/>
      </c>
      <c r="AA65" s="149" t="str">
        <f t="shared" ca="1" si="81"/>
        <v/>
      </c>
      <c r="AB65" s="150" t="str">
        <f t="shared" si="64"/>
        <v/>
      </c>
      <c r="AC65" s="149" t="str">
        <f t="shared" ca="1" si="82"/>
        <v/>
      </c>
      <c r="AD65" s="150" t="str">
        <f t="shared" si="65"/>
        <v/>
      </c>
      <c r="AE65" s="146"/>
      <c r="AF65" s="146"/>
      <c r="AG65" s="146"/>
      <c r="AH65" s="146"/>
      <c r="AI65" s="146"/>
      <c r="AJ65" s="146"/>
      <c r="AL65" s="211" t="e">
        <f t="shared" ca="1" si="66"/>
        <v>#DIV/0!</v>
      </c>
      <c r="AM65" s="70" t="e">
        <f t="shared" ca="1" si="67"/>
        <v>#DIV/0!</v>
      </c>
      <c r="AN65" s="276" t="e">
        <f t="shared" ca="1" si="68"/>
        <v>#DIV/0!</v>
      </c>
      <c r="AO65" s="276" t="e">
        <f t="shared" ca="1" si="69"/>
        <v>#DIV/0!</v>
      </c>
    </row>
    <row r="66" spans="1:41" ht="21.75" hidden="1" customHeight="1">
      <c r="A66" s="147"/>
      <c r="B66" s="148" t="str">
        <f t="shared" si="51"/>
        <v/>
      </c>
      <c r="C66" s="149" t="str">
        <f t="shared" si="70"/>
        <v/>
      </c>
      <c r="D66" s="150" t="str">
        <f t="shared" si="52"/>
        <v/>
      </c>
      <c r="E66" s="149" t="str">
        <f t="shared" si="71"/>
        <v/>
      </c>
      <c r="F66" s="150" t="str">
        <f t="shared" si="53"/>
        <v/>
      </c>
      <c r="G66" s="149" t="str">
        <f t="shared" ca="1" si="72"/>
        <v/>
      </c>
      <c r="H66" s="150" t="str">
        <f t="shared" si="54"/>
        <v/>
      </c>
      <c r="I66" s="149" t="str">
        <f t="shared" ca="1" si="73"/>
        <v/>
      </c>
      <c r="J66" s="150" t="str">
        <f t="shared" si="55"/>
        <v/>
      </c>
      <c r="K66" s="149" t="str">
        <f t="shared" ca="1" si="74"/>
        <v/>
      </c>
      <c r="L66" s="150" t="str">
        <f t="shared" si="56"/>
        <v/>
      </c>
      <c r="M66" s="149" t="str">
        <f t="shared" ca="1" si="42"/>
        <v/>
      </c>
      <c r="N66" s="150" t="str">
        <f t="shared" si="57"/>
        <v/>
      </c>
      <c r="O66" s="149" t="str">
        <f t="shared" ca="1" si="75"/>
        <v/>
      </c>
      <c r="P66" s="150" t="str">
        <f t="shared" si="58"/>
        <v/>
      </c>
      <c r="Q66" s="149" t="str">
        <f t="shared" ca="1" si="76"/>
        <v/>
      </c>
      <c r="R66" s="150" t="str">
        <f t="shared" si="59"/>
        <v/>
      </c>
      <c r="S66" s="149" t="str">
        <f t="shared" ca="1" si="77"/>
        <v/>
      </c>
      <c r="T66" s="150" t="str">
        <f t="shared" si="60"/>
        <v/>
      </c>
      <c r="U66" s="149" t="str">
        <f t="shared" ca="1" si="78"/>
        <v/>
      </c>
      <c r="V66" s="150" t="str">
        <f t="shared" si="61"/>
        <v/>
      </c>
      <c r="W66" s="149" t="str">
        <f t="shared" ca="1" si="79"/>
        <v/>
      </c>
      <c r="X66" s="150" t="str">
        <f t="shared" si="62"/>
        <v/>
      </c>
      <c r="Y66" s="149" t="str">
        <f t="shared" ca="1" si="80"/>
        <v/>
      </c>
      <c r="Z66" s="150" t="str">
        <f t="shared" si="63"/>
        <v/>
      </c>
      <c r="AA66" s="149" t="str">
        <f t="shared" ca="1" si="81"/>
        <v/>
      </c>
      <c r="AB66" s="150" t="str">
        <f t="shared" si="64"/>
        <v/>
      </c>
      <c r="AC66" s="149" t="str">
        <f t="shared" ca="1" si="82"/>
        <v/>
      </c>
      <c r="AD66" s="150" t="str">
        <f t="shared" si="65"/>
        <v/>
      </c>
      <c r="AE66" s="146"/>
      <c r="AF66" s="146"/>
      <c r="AG66" s="146"/>
      <c r="AH66" s="146"/>
      <c r="AI66" s="146"/>
      <c r="AJ66" s="146"/>
      <c r="AL66" s="211" t="e">
        <f t="shared" ca="1" si="66"/>
        <v>#DIV/0!</v>
      </c>
      <c r="AM66" s="70" t="e">
        <f t="shared" ca="1" si="67"/>
        <v>#DIV/0!</v>
      </c>
      <c r="AN66" s="276" t="e">
        <f t="shared" ca="1" si="68"/>
        <v>#DIV/0!</v>
      </c>
      <c r="AO66" s="276" t="e">
        <f t="shared" ca="1" si="69"/>
        <v>#DIV/0!</v>
      </c>
    </row>
    <row r="67" spans="1:41" ht="21.75" hidden="1" customHeight="1">
      <c r="A67" s="147"/>
      <c r="B67" s="148" t="str">
        <f t="shared" si="51"/>
        <v/>
      </c>
      <c r="C67" s="149" t="str">
        <f t="shared" si="70"/>
        <v/>
      </c>
      <c r="D67" s="150" t="str">
        <f t="shared" si="52"/>
        <v/>
      </c>
      <c r="E67" s="149" t="str">
        <f t="shared" si="71"/>
        <v/>
      </c>
      <c r="F67" s="150" t="str">
        <f t="shared" si="53"/>
        <v/>
      </c>
      <c r="G67" s="149" t="str">
        <f t="shared" ca="1" si="72"/>
        <v/>
      </c>
      <c r="H67" s="150" t="str">
        <f t="shared" si="54"/>
        <v/>
      </c>
      <c r="I67" s="149" t="str">
        <f t="shared" ca="1" si="73"/>
        <v/>
      </c>
      <c r="J67" s="150" t="str">
        <f t="shared" si="55"/>
        <v/>
      </c>
      <c r="K67" s="149" t="str">
        <f t="shared" ca="1" si="74"/>
        <v/>
      </c>
      <c r="L67" s="150" t="str">
        <f t="shared" si="56"/>
        <v/>
      </c>
      <c r="M67" s="149" t="str">
        <f t="shared" ca="1" si="42"/>
        <v/>
      </c>
      <c r="N67" s="150" t="str">
        <f t="shared" si="57"/>
        <v/>
      </c>
      <c r="O67" s="149" t="str">
        <f t="shared" ca="1" si="75"/>
        <v/>
      </c>
      <c r="P67" s="150" t="str">
        <f t="shared" si="58"/>
        <v/>
      </c>
      <c r="Q67" s="149" t="str">
        <f t="shared" ca="1" si="76"/>
        <v/>
      </c>
      <c r="R67" s="150" t="str">
        <f t="shared" si="59"/>
        <v/>
      </c>
      <c r="S67" s="149" t="str">
        <f t="shared" ca="1" si="77"/>
        <v/>
      </c>
      <c r="T67" s="150" t="str">
        <f t="shared" si="60"/>
        <v/>
      </c>
      <c r="U67" s="149" t="str">
        <f t="shared" ca="1" si="78"/>
        <v/>
      </c>
      <c r="V67" s="150" t="str">
        <f t="shared" si="61"/>
        <v/>
      </c>
      <c r="W67" s="149" t="str">
        <f t="shared" ca="1" si="79"/>
        <v/>
      </c>
      <c r="X67" s="150" t="str">
        <f t="shared" si="62"/>
        <v/>
      </c>
      <c r="Y67" s="149" t="str">
        <f t="shared" ca="1" si="80"/>
        <v/>
      </c>
      <c r="Z67" s="150" t="str">
        <f t="shared" si="63"/>
        <v/>
      </c>
      <c r="AA67" s="149" t="str">
        <f t="shared" ca="1" si="81"/>
        <v/>
      </c>
      <c r="AB67" s="150" t="str">
        <f t="shared" si="64"/>
        <v/>
      </c>
      <c r="AC67" s="149" t="str">
        <f t="shared" ca="1" si="82"/>
        <v/>
      </c>
      <c r="AD67" s="150" t="str">
        <f t="shared" si="65"/>
        <v/>
      </c>
      <c r="AE67" s="146"/>
      <c r="AF67" s="146"/>
      <c r="AG67" s="146"/>
      <c r="AH67" s="146"/>
      <c r="AI67" s="146"/>
      <c r="AJ67" s="146"/>
      <c r="AL67" s="211" t="e">
        <f t="shared" ca="1" si="66"/>
        <v>#DIV/0!</v>
      </c>
      <c r="AM67" s="70" t="e">
        <f t="shared" ca="1" si="67"/>
        <v>#DIV/0!</v>
      </c>
      <c r="AN67" s="276" t="e">
        <f t="shared" ca="1" si="68"/>
        <v>#DIV/0!</v>
      </c>
      <c r="AO67" s="276" t="e">
        <f t="shared" ca="1" si="69"/>
        <v>#DIV/0!</v>
      </c>
    </row>
    <row r="68" spans="1:41" ht="21.75" hidden="1" customHeight="1">
      <c r="A68" s="147"/>
      <c r="B68" s="148" t="str">
        <f t="shared" si="51"/>
        <v/>
      </c>
      <c r="C68" s="149" t="str">
        <f t="shared" si="70"/>
        <v/>
      </c>
      <c r="D68" s="150" t="str">
        <f t="shared" si="52"/>
        <v/>
      </c>
      <c r="E68" s="149" t="str">
        <f t="shared" si="71"/>
        <v/>
      </c>
      <c r="F68" s="150" t="str">
        <f t="shared" si="53"/>
        <v/>
      </c>
      <c r="G68" s="149" t="str">
        <f t="shared" ca="1" si="72"/>
        <v/>
      </c>
      <c r="H68" s="150" t="str">
        <f t="shared" si="54"/>
        <v/>
      </c>
      <c r="I68" s="149" t="str">
        <f t="shared" ca="1" si="73"/>
        <v/>
      </c>
      <c r="J68" s="150" t="str">
        <f t="shared" si="55"/>
        <v/>
      </c>
      <c r="K68" s="149" t="str">
        <f t="shared" ca="1" si="74"/>
        <v/>
      </c>
      <c r="L68" s="150" t="str">
        <f t="shared" si="56"/>
        <v/>
      </c>
      <c r="M68" s="149" t="str">
        <f t="shared" ca="1" si="42"/>
        <v/>
      </c>
      <c r="N68" s="150" t="str">
        <f t="shared" si="57"/>
        <v/>
      </c>
      <c r="O68" s="149" t="str">
        <f t="shared" ca="1" si="75"/>
        <v/>
      </c>
      <c r="P68" s="150" t="str">
        <f t="shared" si="58"/>
        <v/>
      </c>
      <c r="Q68" s="149" t="str">
        <f t="shared" ca="1" si="76"/>
        <v/>
      </c>
      <c r="R68" s="150" t="str">
        <f t="shared" si="59"/>
        <v/>
      </c>
      <c r="S68" s="149" t="str">
        <f t="shared" ca="1" si="77"/>
        <v/>
      </c>
      <c r="T68" s="150" t="str">
        <f t="shared" si="60"/>
        <v/>
      </c>
      <c r="U68" s="149" t="str">
        <f t="shared" ca="1" si="78"/>
        <v/>
      </c>
      <c r="V68" s="150" t="str">
        <f t="shared" si="61"/>
        <v/>
      </c>
      <c r="W68" s="149" t="str">
        <f t="shared" ca="1" si="79"/>
        <v/>
      </c>
      <c r="X68" s="150" t="str">
        <f t="shared" si="62"/>
        <v/>
      </c>
      <c r="Y68" s="149" t="str">
        <f t="shared" ca="1" si="80"/>
        <v/>
      </c>
      <c r="Z68" s="150" t="str">
        <f t="shared" si="63"/>
        <v/>
      </c>
      <c r="AA68" s="149" t="str">
        <f t="shared" ca="1" si="81"/>
        <v/>
      </c>
      <c r="AB68" s="150" t="str">
        <f t="shared" si="64"/>
        <v/>
      </c>
      <c r="AC68" s="149" t="str">
        <f t="shared" ca="1" si="82"/>
        <v/>
      </c>
      <c r="AD68" s="150" t="str">
        <f t="shared" si="65"/>
        <v/>
      </c>
      <c r="AE68" s="146"/>
      <c r="AF68" s="146"/>
      <c r="AG68" s="146"/>
      <c r="AH68" s="146"/>
      <c r="AI68" s="146"/>
      <c r="AJ68" s="146"/>
      <c r="AL68" s="211" t="e">
        <f t="shared" ca="1" si="66"/>
        <v>#DIV/0!</v>
      </c>
      <c r="AM68" s="70" t="e">
        <f t="shared" ca="1" si="67"/>
        <v>#DIV/0!</v>
      </c>
      <c r="AN68" s="276" t="e">
        <f t="shared" ca="1" si="68"/>
        <v>#DIV/0!</v>
      </c>
      <c r="AO68" s="276" t="e">
        <f t="shared" ca="1" si="69"/>
        <v>#DIV/0!</v>
      </c>
    </row>
    <row r="69" spans="1:41" ht="21.75" hidden="1" customHeight="1">
      <c r="A69" s="147"/>
      <c r="B69" s="148" t="str">
        <f t="shared" ref="B69:B76" si="83">IF(A69="","",IF($K$4="Media aritmética",ROUND(AVERAGE(C69,E69,G69,I69,K69,M69,O69,Q69,S69,U69,W69,Y69,AA69,AC69,AE69,AG69,AI69),2),ROUND(_xlfn.STDEV.P(C69,E69,G69,I69,K69,M69,O69,Q69,S69,U69,W69,Y69,AA69,AC69,AE69,AG69,AI69),2)))</f>
        <v/>
      </c>
      <c r="C69" s="149" t="str">
        <f t="shared" si="70"/>
        <v/>
      </c>
      <c r="D69" s="150" t="str">
        <f t="shared" ref="D69:D76" si="84">IF($A69="","",IF(C69="","",IF($K$4="Media aritmética",(C69&lt;=$B69)*($E$5/$B$4)+(C69&gt;$B69)*0,IF(AND(ROUND(AVERAGE($C69,$E69,$G69,$I69,$K69,$M69,$O69,$Q69,$S69,$U69,$W69,$Y69,$AA69,$AC69,$AE69,$AG69,$AI69),2)-$B69/2&lt;=C69,(ROUND(AVERAGE($C69,$E69,$G69,$I69,$K69,$M69,$O69,$Q69,$S69,$U69,$W69,$Y69,$AA69,$AC69,$AE69,$AG69,$AI69),2)+$B69/2&gt;=C69)),($E$5/$B$4),0))))</f>
        <v/>
      </c>
      <c r="E69" s="149" t="str">
        <f t="shared" si="71"/>
        <v/>
      </c>
      <c r="F69" s="150" t="str">
        <f t="shared" ref="F69:F76" si="85">IF($A69="","",IF(E69="","",IF($K$4="Media aritmética",(E69&lt;=$B69)*($E$5/$B$4)+(E69&gt;$B69)*0,IF(AND(ROUND(AVERAGE($C69,$E69,$G69,$I69,$K69,$M69,$O69,$Q69,$S69,$U69,$W69,$Y69,$AA69,$AC69,$AE69,$AG69,$AI69),2)-$B69/2&lt;=E69,(ROUND(AVERAGE($C69,$E69,$G69,$I69,$K69,$M69,$O69,$Q69,$S69,$U69,$W69,$Y69,$AA69,$AC69,$AE69,$AG69,$AI69),2)+$B69/2&gt;=E69)),($E$5/$B$4),0))))</f>
        <v/>
      </c>
      <c r="G69" s="149" t="str">
        <f t="shared" ca="1" si="72"/>
        <v/>
      </c>
      <c r="H69" s="150" t="str">
        <f t="shared" ref="H69:H76" si="86">IF($A69="","",IF(G69="","",IF($K$4="Media aritmética",(G69&lt;=$B69)*($E$5/$B$4)+(G69&gt;$B69)*0,IF(AND(ROUND(AVERAGE($C69,$E69,$G69,$I69,$K69,$M69,$O69,$Q69,$S69,$U69,$W69,$Y69,$AA69,$AC69,$AE69,$AG69,$AI69),2)-$B69/2&lt;=G69,(ROUND(AVERAGE($C69,$E69,$G69,$I69,$K69,$M69,$O69,$Q69,$S69,$U69,$W69,$Y69,$AA69,$AC69,$AE69,$AG69,$AI69),2)+$B69/2&gt;=G69)),($E$5/$B$4),0))))</f>
        <v/>
      </c>
      <c r="I69" s="149" t="str">
        <f t="shared" ca="1" si="73"/>
        <v/>
      </c>
      <c r="J69" s="150" t="str">
        <f t="shared" ref="J69:J76" si="87">IF($A69="","",IF(I69="","",IF($K$4="Media aritmética",(I69&lt;=$B69)*($E$5/$B$4)+(I69&gt;$B69)*0,IF(AND(ROUND(AVERAGE($C69,$E69,$G69,$I69,$K69,$M69,$O69,$Q69,$S69,$U69,$W69,$Y69,$AA69,$AC69,$AE69,$AG69,$AI69),2)-$B69/2&lt;=I69,(ROUND(AVERAGE($C69,$E69,$G69,$I69,$K69,$M69,$O69,$Q69,$S69,$U69,$W69,$Y69,$AA69,$AC69,$AE69,$AG69,$AI69),2)+$B69/2&gt;=I69)),($E$5/$B$4),0))))</f>
        <v/>
      </c>
      <c r="K69" s="149" t="str">
        <f t="shared" ca="1" si="74"/>
        <v/>
      </c>
      <c r="L69" s="150" t="str">
        <f t="shared" ref="L69:L76" si="88">IF($A69="","",IF(K69="","",IF($K$4="Media aritmética",(K69&lt;=$B69)*($E$5/$B$4)+(K69&gt;$B69)*0,IF(AND(ROUND(AVERAGE($C69,$E69,$G69,$I69,$K69,$M69,$O69,$Q69,$S69,$U69,$W69,$Y69,$AA69,$AC69,$AE69,$AG69,$AI69),2)-$B69/2&lt;=K69,(ROUND(AVERAGE($C69,$E69,$G69,$I69,$K69,$M69,$O69,$Q69,$S69,$U69,$W69,$Y69,$AA69,$AC69,$AE69,$AG69,$AI69),2)+$B69/2&gt;=K69)),($E$5/$B$4),0))))</f>
        <v/>
      </c>
      <c r="M69" s="149" t="str">
        <f t="shared" ca="1" si="42"/>
        <v/>
      </c>
      <c r="N69" s="150" t="str">
        <f t="shared" ref="N69:N76" si="89">IF($A69="","",IF(M69="","",IF($K$4="Media aritmética",(M69&lt;=$B69)*($E$5/$B$4)+(M69&gt;$B69)*0,IF(AND(ROUND(AVERAGE($C69,$E69,$G69,$I69,$K69,$M69,$O69,$Q69,$S69,$U69,$W69,$Y69,$AA69,$AC69,$AE69,$AG69,$AI69),2)-$B69/2&lt;=M69,(ROUND(AVERAGE($C69,$E69,$G69,$I69,$K69,$M69,$O69,$Q69,$S69,$U69,$W69,$Y69,$AA69,$AC69,$AE69,$AG69,$AI69),2)+$B69/2&gt;=M69)),($E$5/$B$4),0))))</f>
        <v/>
      </c>
      <c r="O69" s="149" t="str">
        <f t="shared" ca="1" si="75"/>
        <v/>
      </c>
      <c r="P69" s="150" t="str">
        <f t="shared" ref="P69:P76" si="90">IF($A69="","",IF(O69="","",IF($K$4="Media aritmética",(O69&lt;=$B69)*($E$5/$B$4)+(O69&gt;$B69)*0,IF(AND(ROUND(AVERAGE($C69,$E69,$G69,$I69,$K69,$M69,$O69,$Q69,$S69,$U69,$W69,$Y69,$AA69,$AC69,$AE69,$AG69,$AI69),2)-$B69/2&lt;=O69,(ROUND(AVERAGE($C69,$E69,$G69,$I69,$K69,$M69,$O69,$Q69,$S69,$U69,$W69,$Y69,$AA69,$AC69,$AE69,$AG69,$AI69),2)+$B69/2&gt;=O69)),($E$5/$B$4),0))))</f>
        <v/>
      </c>
      <c r="Q69" s="149" t="str">
        <f t="shared" ca="1" si="76"/>
        <v/>
      </c>
      <c r="R69" s="150" t="str">
        <f t="shared" ref="R69:R76" si="91">IF($A69="","",IF(Q69="","",IF($K$4="Media aritmética",(Q69&lt;=$B69)*($E$5/$B$4)+(Q69&gt;$B69)*0,IF(AND(ROUND(AVERAGE($C69,$E69,$G69,$I69,$K69,$M69,$O69,$Q69,$S69,$U69,$W69,$Y69,$AA69,$AC69,$AE69,$AG69,$AI69),2)-$B69/2&lt;=Q69,(ROUND(AVERAGE($C69,$E69,$G69,$I69,$K69,$M69,$O69,$Q69,$S69,$U69,$W69,$Y69,$AA69,$AC69,$AE69,$AG69,$AI69),2)+$B69/2&gt;=Q69)),($E$5/$B$4),0))))</f>
        <v/>
      </c>
      <c r="S69" s="149" t="str">
        <f t="shared" ca="1" si="77"/>
        <v/>
      </c>
      <c r="T69" s="150" t="str">
        <f t="shared" ref="T69:T76" si="92">IF($A69="","",IF(S69="","",IF($K$4="Media aritmética",(S69&lt;=$B69)*($E$5/$B$4)+(S69&gt;$B69)*0,IF(AND(ROUND(AVERAGE($C69,$E69,$G69,$I69,$K69,$M69,$O69,$Q69,$S69,$U69,$W69,$Y69,$AA69,$AC69,$AE69,$AG69,$AI69),2)-$B69/2&lt;=S69,(ROUND(AVERAGE($C69,$E69,$G69,$I69,$K69,$M69,$O69,$Q69,$S69,$U69,$W69,$Y69,$AA69,$AC69,$AE69,$AG69,$AI69),2)+$B69/2&gt;=S69)),($E$5/$B$4),0))))</f>
        <v/>
      </c>
      <c r="U69" s="149" t="str">
        <f t="shared" ca="1" si="78"/>
        <v/>
      </c>
      <c r="V69" s="150" t="str">
        <f t="shared" ref="V69:V76" si="93">IF($A69="","",IF(U69="","",IF($K$4="Media aritmética",(U69&lt;=$B69)*($E$5/$B$4)+(U69&gt;$B69)*0,IF(AND(ROUND(AVERAGE($C69,$E69,$G69,$I69,$K69,$M69,$O69,$Q69,$S69,$U69,$W69,$Y69,$AA69,$AC69,$AE69,$AG69,$AI69),2)-$B69/2&lt;=U69,(ROUND(AVERAGE($C69,$E69,$G69,$I69,$K69,$M69,$O69,$Q69,$S69,$U69,$W69,$Y69,$AA69,$AC69,$AE69,$AG69,$AI69),2)+$B69/2&gt;=U69)),($E$5/$B$4),0))))</f>
        <v/>
      </c>
      <c r="W69" s="149" t="str">
        <f t="shared" ca="1" si="79"/>
        <v/>
      </c>
      <c r="X69" s="150" t="str">
        <f t="shared" si="62"/>
        <v/>
      </c>
      <c r="Y69" s="149" t="str">
        <f t="shared" ca="1" si="80"/>
        <v/>
      </c>
      <c r="Z69" s="150" t="str">
        <f t="shared" si="63"/>
        <v/>
      </c>
      <c r="AA69" s="149" t="str">
        <f t="shared" ca="1" si="81"/>
        <v/>
      </c>
      <c r="AB69" s="150" t="str">
        <f t="shared" si="64"/>
        <v/>
      </c>
      <c r="AC69" s="149" t="str">
        <f t="shared" ca="1" si="82"/>
        <v/>
      </c>
      <c r="AD69" s="150" t="str">
        <f t="shared" si="65"/>
        <v/>
      </c>
      <c r="AE69" s="146"/>
      <c r="AF69" s="146"/>
      <c r="AG69" s="146"/>
      <c r="AH69" s="146"/>
      <c r="AI69" s="146"/>
      <c r="AJ69" s="146"/>
      <c r="AL69" s="211" t="e">
        <f t="shared" ca="1" si="66"/>
        <v>#DIV/0!</v>
      </c>
      <c r="AM69" s="70" t="e">
        <f t="shared" ca="1" si="67"/>
        <v>#DIV/0!</v>
      </c>
      <c r="AN69" s="276" t="e">
        <f t="shared" ca="1" si="68"/>
        <v>#DIV/0!</v>
      </c>
      <c r="AO69" s="276" t="e">
        <f t="shared" ca="1" si="69"/>
        <v>#DIV/0!</v>
      </c>
    </row>
    <row r="70" spans="1:41" ht="21.75" hidden="1" customHeight="1">
      <c r="A70" s="147"/>
      <c r="B70" s="148" t="str">
        <f t="shared" si="83"/>
        <v/>
      </c>
      <c r="C70" s="149" t="str">
        <f t="shared" si="70"/>
        <v/>
      </c>
      <c r="D70" s="150" t="str">
        <f t="shared" si="84"/>
        <v/>
      </c>
      <c r="E70" s="149" t="str">
        <f t="shared" si="71"/>
        <v/>
      </c>
      <c r="F70" s="150" t="str">
        <f t="shared" si="85"/>
        <v/>
      </c>
      <c r="G70" s="149" t="str">
        <f t="shared" ca="1" si="72"/>
        <v/>
      </c>
      <c r="H70" s="150" t="str">
        <f t="shared" si="86"/>
        <v/>
      </c>
      <c r="I70" s="149" t="str">
        <f t="shared" ca="1" si="73"/>
        <v/>
      </c>
      <c r="J70" s="150" t="str">
        <f t="shared" si="87"/>
        <v/>
      </c>
      <c r="K70" s="149" t="str">
        <f t="shared" ca="1" si="74"/>
        <v/>
      </c>
      <c r="L70" s="150" t="str">
        <f t="shared" si="88"/>
        <v/>
      </c>
      <c r="M70" s="149" t="str">
        <f t="shared" ca="1" si="42"/>
        <v/>
      </c>
      <c r="N70" s="150" t="str">
        <f t="shared" si="89"/>
        <v/>
      </c>
      <c r="O70" s="149" t="str">
        <f t="shared" ca="1" si="75"/>
        <v/>
      </c>
      <c r="P70" s="150" t="str">
        <f t="shared" si="90"/>
        <v/>
      </c>
      <c r="Q70" s="149" t="str">
        <f t="shared" ca="1" si="76"/>
        <v/>
      </c>
      <c r="R70" s="150" t="str">
        <f t="shared" si="91"/>
        <v/>
      </c>
      <c r="S70" s="149" t="str">
        <f t="shared" ca="1" si="77"/>
        <v/>
      </c>
      <c r="T70" s="150" t="str">
        <f t="shared" si="92"/>
        <v/>
      </c>
      <c r="U70" s="149" t="str">
        <f t="shared" ca="1" si="78"/>
        <v/>
      </c>
      <c r="V70" s="150" t="str">
        <f t="shared" si="93"/>
        <v/>
      </c>
      <c r="W70" s="149" t="str">
        <f t="shared" ca="1" si="79"/>
        <v/>
      </c>
      <c r="X70" s="150" t="str">
        <f t="shared" si="62"/>
        <v/>
      </c>
      <c r="Y70" s="149" t="str">
        <f t="shared" ca="1" si="80"/>
        <v/>
      </c>
      <c r="Z70" s="150" t="str">
        <f t="shared" si="63"/>
        <v/>
      </c>
      <c r="AA70" s="149" t="str">
        <f t="shared" ca="1" si="81"/>
        <v/>
      </c>
      <c r="AB70" s="150" t="str">
        <f t="shared" si="64"/>
        <v/>
      </c>
      <c r="AC70" s="149" t="str">
        <f t="shared" ca="1" si="82"/>
        <v/>
      </c>
      <c r="AD70" s="150" t="str">
        <f t="shared" si="65"/>
        <v/>
      </c>
      <c r="AE70" s="146"/>
      <c r="AF70" s="146"/>
      <c r="AG70" s="146"/>
      <c r="AH70" s="146"/>
      <c r="AI70" s="146"/>
      <c r="AJ70" s="146"/>
      <c r="AL70" s="211" t="e">
        <f t="shared" ca="1" si="66"/>
        <v>#DIV/0!</v>
      </c>
      <c r="AM70" s="70" t="e">
        <f t="shared" ca="1" si="67"/>
        <v>#DIV/0!</v>
      </c>
      <c r="AN70" s="276" t="e">
        <f t="shared" ca="1" si="68"/>
        <v>#DIV/0!</v>
      </c>
      <c r="AO70" s="276" t="e">
        <f t="shared" ca="1" si="69"/>
        <v>#DIV/0!</v>
      </c>
    </row>
    <row r="71" spans="1:41" ht="21.75" hidden="1" customHeight="1">
      <c r="A71" s="147"/>
      <c r="B71" s="148" t="str">
        <f t="shared" si="83"/>
        <v/>
      </c>
      <c r="C71" s="149" t="str">
        <f t="shared" si="70"/>
        <v/>
      </c>
      <c r="D71" s="150" t="str">
        <f t="shared" si="84"/>
        <v/>
      </c>
      <c r="E71" s="149" t="str">
        <f t="shared" si="71"/>
        <v/>
      </c>
      <c r="F71" s="150" t="str">
        <f t="shared" si="85"/>
        <v/>
      </c>
      <c r="G71" s="149" t="str">
        <f t="shared" ca="1" si="72"/>
        <v/>
      </c>
      <c r="H71" s="150" t="str">
        <f t="shared" si="86"/>
        <v/>
      </c>
      <c r="I71" s="149" t="str">
        <f t="shared" ca="1" si="73"/>
        <v/>
      </c>
      <c r="J71" s="150" t="str">
        <f t="shared" si="87"/>
        <v/>
      </c>
      <c r="K71" s="149" t="str">
        <f t="shared" ca="1" si="74"/>
        <v/>
      </c>
      <c r="L71" s="150" t="str">
        <f t="shared" si="88"/>
        <v/>
      </c>
      <c r="M71" s="149" t="str">
        <f t="shared" ca="1" si="42"/>
        <v/>
      </c>
      <c r="N71" s="150" t="str">
        <f t="shared" si="89"/>
        <v/>
      </c>
      <c r="O71" s="149" t="str">
        <f t="shared" ca="1" si="75"/>
        <v/>
      </c>
      <c r="P71" s="150" t="str">
        <f t="shared" si="90"/>
        <v/>
      </c>
      <c r="Q71" s="149" t="str">
        <f t="shared" ca="1" si="76"/>
        <v/>
      </c>
      <c r="R71" s="150" t="str">
        <f t="shared" si="91"/>
        <v/>
      </c>
      <c r="S71" s="149" t="str">
        <f t="shared" ca="1" si="77"/>
        <v/>
      </c>
      <c r="T71" s="150" t="str">
        <f t="shared" si="92"/>
        <v/>
      </c>
      <c r="U71" s="149" t="str">
        <f t="shared" ca="1" si="78"/>
        <v/>
      </c>
      <c r="V71" s="150" t="str">
        <f t="shared" si="93"/>
        <v/>
      </c>
      <c r="W71" s="149" t="str">
        <f t="shared" ca="1" si="79"/>
        <v/>
      </c>
      <c r="X71" s="150" t="str">
        <f t="shared" si="62"/>
        <v/>
      </c>
      <c r="Y71" s="149" t="str">
        <f t="shared" ca="1" si="80"/>
        <v/>
      </c>
      <c r="Z71" s="150" t="str">
        <f t="shared" si="63"/>
        <v/>
      </c>
      <c r="AA71" s="149" t="str">
        <f t="shared" ca="1" si="81"/>
        <v/>
      </c>
      <c r="AB71" s="150" t="str">
        <f t="shared" si="64"/>
        <v/>
      </c>
      <c r="AC71" s="149" t="str">
        <f t="shared" ca="1" si="82"/>
        <v/>
      </c>
      <c r="AD71" s="150" t="str">
        <f t="shared" si="65"/>
        <v/>
      </c>
      <c r="AE71" s="146"/>
      <c r="AF71" s="146"/>
      <c r="AG71" s="146"/>
      <c r="AH71" s="146"/>
      <c r="AI71" s="146"/>
      <c r="AJ71" s="146"/>
      <c r="AL71" s="211" t="e">
        <f t="shared" ca="1" si="66"/>
        <v>#DIV/0!</v>
      </c>
      <c r="AM71" s="70" t="e">
        <f t="shared" ca="1" si="67"/>
        <v>#DIV/0!</v>
      </c>
      <c r="AN71" s="276" t="e">
        <f t="shared" ca="1" si="68"/>
        <v>#DIV/0!</v>
      </c>
      <c r="AO71" s="276" t="e">
        <f t="shared" ca="1" si="69"/>
        <v>#DIV/0!</v>
      </c>
    </row>
    <row r="72" spans="1:41" ht="21.75" hidden="1" customHeight="1">
      <c r="A72" s="147"/>
      <c r="B72" s="148" t="str">
        <f t="shared" si="83"/>
        <v/>
      </c>
      <c r="C72" s="149" t="str">
        <f t="shared" si="70"/>
        <v/>
      </c>
      <c r="D72" s="150" t="str">
        <f t="shared" si="84"/>
        <v/>
      </c>
      <c r="E72" s="149" t="str">
        <f t="shared" si="71"/>
        <v/>
      </c>
      <c r="F72" s="150" t="str">
        <f t="shared" si="85"/>
        <v/>
      </c>
      <c r="G72" s="149" t="str">
        <f t="shared" ca="1" si="72"/>
        <v/>
      </c>
      <c r="H72" s="150" t="str">
        <f t="shared" si="86"/>
        <v/>
      </c>
      <c r="I72" s="149" t="str">
        <f t="shared" ca="1" si="73"/>
        <v/>
      </c>
      <c r="J72" s="150" t="str">
        <f t="shared" si="87"/>
        <v/>
      </c>
      <c r="K72" s="149" t="str">
        <f t="shared" ca="1" si="74"/>
        <v/>
      </c>
      <c r="L72" s="150" t="str">
        <f t="shared" si="88"/>
        <v/>
      </c>
      <c r="M72" s="149" t="str">
        <f t="shared" ca="1" si="42"/>
        <v/>
      </c>
      <c r="N72" s="150" t="str">
        <f t="shared" si="89"/>
        <v/>
      </c>
      <c r="O72" s="149" t="str">
        <f t="shared" ca="1" si="75"/>
        <v/>
      </c>
      <c r="P72" s="150" t="str">
        <f t="shared" si="90"/>
        <v/>
      </c>
      <c r="Q72" s="149" t="str">
        <f t="shared" ca="1" si="76"/>
        <v/>
      </c>
      <c r="R72" s="150" t="str">
        <f t="shared" si="91"/>
        <v/>
      </c>
      <c r="S72" s="149" t="str">
        <f t="shared" ca="1" si="77"/>
        <v/>
      </c>
      <c r="T72" s="150" t="str">
        <f t="shared" si="92"/>
        <v/>
      </c>
      <c r="U72" s="149" t="str">
        <f t="shared" ca="1" si="78"/>
        <v/>
      </c>
      <c r="V72" s="150" t="str">
        <f t="shared" si="93"/>
        <v/>
      </c>
      <c r="W72" s="149" t="str">
        <f t="shared" ca="1" si="79"/>
        <v/>
      </c>
      <c r="X72" s="150" t="str">
        <f t="shared" si="62"/>
        <v/>
      </c>
      <c r="Y72" s="149" t="str">
        <f t="shared" ca="1" si="80"/>
        <v/>
      </c>
      <c r="Z72" s="150" t="str">
        <f t="shared" si="63"/>
        <v/>
      </c>
      <c r="AA72" s="149" t="str">
        <f t="shared" ca="1" si="81"/>
        <v/>
      </c>
      <c r="AB72" s="150" t="str">
        <f t="shared" si="64"/>
        <v/>
      </c>
      <c r="AC72" s="149" t="str">
        <f t="shared" ca="1" si="82"/>
        <v/>
      </c>
      <c r="AD72" s="150" t="str">
        <f t="shared" si="65"/>
        <v/>
      </c>
      <c r="AE72" s="146"/>
      <c r="AF72" s="146"/>
      <c r="AG72" s="146"/>
      <c r="AH72" s="146"/>
      <c r="AI72" s="146"/>
      <c r="AJ72" s="146"/>
      <c r="AL72" s="211" t="e">
        <f t="shared" ca="1" si="66"/>
        <v>#DIV/0!</v>
      </c>
      <c r="AM72" s="70" t="e">
        <f t="shared" ca="1" si="67"/>
        <v>#DIV/0!</v>
      </c>
      <c r="AN72" s="276" t="e">
        <f t="shared" ca="1" si="68"/>
        <v>#DIV/0!</v>
      </c>
      <c r="AO72" s="276" t="e">
        <f t="shared" ca="1" si="69"/>
        <v>#DIV/0!</v>
      </c>
    </row>
    <row r="73" spans="1:41" ht="21.75" hidden="1" customHeight="1">
      <c r="A73" s="147"/>
      <c r="B73" s="148" t="str">
        <f t="shared" si="83"/>
        <v/>
      </c>
      <c r="C73" s="149" t="str">
        <f t="shared" si="70"/>
        <v/>
      </c>
      <c r="D73" s="150" t="str">
        <f t="shared" si="84"/>
        <v/>
      </c>
      <c r="E73" s="149" t="str">
        <f t="shared" si="71"/>
        <v/>
      </c>
      <c r="F73" s="150" t="str">
        <f t="shared" si="85"/>
        <v/>
      </c>
      <c r="G73" s="149" t="str">
        <f t="shared" ca="1" si="72"/>
        <v/>
      </c>
      <c r="H73" s="150" t="str">
        <f t="shared" si="86"/>
        <v/>
      </c>
      <c r="I73" s="149" t="str">
        <f t="shared" ca="1" si="73"/>
        <v/>
      </c>
      <c r="J73" s="150" t="str">
        <f t="shared" si="87"/>
        <v/>
      </c>
      <c r="K73" s="149" t="str">
        <f t="shared" ca="1" si="74"/>
        <v/>
      </c>
      <c r="L73" s="150" t="str">
        <f t="shared" si="88"/>
        <v/>
      </c>
      <c r="M73" s="149" t="str">
        <f t="shared" ca="1" si="42"/>
        <v/>
      </c>
      <c r="N73" s="150" t="str">
        <f t="shared" si="89"/>
        <v/>
      </c>
      <c r="O73" s="149" t="str">
        <f t="shared" ca="1" si="75"/>
        <v/>
      </c>
      <c r="P73" s="150" t="str">
        <f t="shared" si="90"/>
        <v/>
      </c>
      <c r="Q73" s="149" t="str">
        <f t="shared" ca="1" si="76"/>
        <v/>
      </c>
      <c r="R73" s="150" t="str">
        <f t="shared" si="91"/>
        <v/>
      </c>
      <c r="S73" s="149" t="str">
        <f t="shared" ca="1" si="77"/>
        <v/>
      </c>
      <c r="T73" s="150" t="str">
        <f t="shared" si="92"/>
        <v/>
      </c>
      <c r="U73" s="149" t="str">
        <f t="shared" ca="1" si="78"/>
        <v/>
      </c>
      <c r="V73" s="150" t="str">
        <f t="shared" si="93"/>
        <v/>
      </c>
      <c r="W73" s="149" t="str">
        <f t="shared" ca="1" si="79"/>
        <v/>
      </c>
      <c r="X73" s="150" t="str">
        <f t="shared" si="62"/>
        <v/>
      </c>
      <c r="Y73" s="149" t="str">
        <f t="shared" ca="1" si="80"/>
        <v/>
      </c>
      <c r="Z73" s="150" t="str">
        <f t="shared" si="63"/>
        <v/>
      </c>
      <c r="AA73" s="149" t="str">
        <f t="shared" ca="1" si="81"/>
        <v/>
      </c>
      <c r="AB73" s="150" t="str">
        <f t="shared" si="64"/>
        <v/>
      </c>
      <c r="AC73" s="149" t="str">
        <f t="shared" ca="1" si="82"/>
        <v/>
      </c>
      <c r="AD73" s="150" t="str">
        <f t="shared" si="65"/>
        <v/>
      </c>
      <c r="AE73" s="146"/>
      <c r="AF73" s="146"/>
      <c r="AG73" s="146"/>
      <c r="AH73" s="146"/>
      <c r="AI73" s="146"/>
      <c r="AJ73" s="146"/>
      <c r="AL73" s="211" t="e">
        <f t="shared" ca="1" si="66"/>
        <v>#DIV/0!</v>
      </c>
      <c r="AM73" s="70" t="e">
        <f t="shared" ca="1" si="67"/>
        <v>#DIV/0!</v>
      </c>
      <c r="AN73" s="276" t="e">
        <f t="shared" ca="1" si="68"/>
        <v>#DIV/0!</v>
      </c>
      <c r="AO73" s="276" t="e">
        <f t="shared" ca="1" si="69"/>
        <v>#DIV/0!</v>
      </c>
    </row>
    <row r="74" spans="1:41" ht="21.75" hidden="1" customHeight="1">
      <c r="A74" s="147"/>
      <c r="B74" s="148" t="str">
        <f t="shared" si="83"/>
        <v/>
      </c>
      <c r="C74" s="149" t="str">
        <f t="shared" si="70"/>
        <v/>
      </c>
      <c r="D74" s="150" t="str">
        <f t="shared" si="84"/>
        <v/>
      </c>
      <c r="E74" s="149" t="str">
        <f t="shared" si="71"/>
        <v/>
      </c>
      <c r="F74" s="150" t="str">
        <f t="shared" si="85"/>
        <v/>
      </c>
      <c r="G74" s="149" t="str">
        <f t="shared" ca="1" si="72"/>
        <v/>
      </c>
      <c r="H74" s="150" t="str">
        <f t="shared" si="86"/>
        <v/>
      </c>
      <c r="I74" s="149" t="str">
        <f t="shared" ca="1" si="73"/>
        <v/>
      </c>
      <c r="J74" s="150" t="str">
        <f t="shared" si="87"/>
        <v/>
      </c>
      <c r="K74" s="149" t="str">
        <f t="shared" ca="1" si="74"/>
        <v/>
      </c>
      <c r="L74" s="150" t="str">
        <f t="shared" si="88"/>
        <v/>
      </c>
      <c r="M74" s="149" t="str">
        <f t="shared" ca="1" si="42"/>
        <v/>
      </c>
      <c r="N74" s="150" t="str">
        <f t="shared" si="89"/>
        <v/>
      </c>
      <c r="O74" s="149" t="str">
        <f t="shared" ca="1" si="75"/>
        <v/>
      </c>
      <c r="P74" s="150" t="str">
        <f t="shared" si="90"/>
        <v/>
      </c>
      <c r="Q74" s="149" t="str">
        <f t="shared" ca="1" si="76"/>
        <v/>
      </c>
      <c r="R74" s="150" t="str">
        <f t="shared" si="91"/>
        <v/>
      </c>
      <c r="S74" s="149" t="str">
        <f t="shared" ca="1" si="77"/>
        <v/>
      </c>
      <c r="T74" s="150" t="str">
        <f t="shared" si="92"/>
        <v/>
      </c>
      <c r="U74" s="149" t="str">
        <f t="shared" ca="1" si="78"/>
        <v/>
      </c>
      <c r="V74" s="150" t="str">
        <f t="shared" si="93"/>
        <v/>
      </c>
      <c r="W74" s="149" t="str">
        <f t="shared" ca="1" si="79"/>
        <v/>
      </c>
      <c r="X74" s="150" t="str">
        <f t="shared" si="62"/>
        <v/>
      </c>
      <c r="Y74" s="149" t="str">
        <f t="shared" ca="1" si="80"/>
        <v/>
      </c>
      <c r="Z74" s="150" t="str">
        <f t="shared" si="63"/>
        <v/>
      </c>
      <c r="AA74" s="149" t="str">
        <f t="shared" ca="1" si="81"/>
        <v/>
      </c>
      <c r="AB74" s="150" t="str">
        <f t="shared" si="64"/>
        <v/>
      </c>
      <c r="AC74" s="149" t="str">
        <f t="shared" ca="1" si="82"/>
        <v/>
      </c>
      <c r="AD74" s="150" t="str">
        <f t="shared" si="65"/>
        <v/>
      </c>
      <c r="AE74" s="146"/>
      <c r="AF74" s="146"/>
      <c r="AG74" s="146"/>
      <c r="AH74" s="146"/>
      <c r="AI74" s="146"/>
      <c r="AJ74" s="146"/>
      <c r="AL74" s="211" t="e">
        <f t="shared" ca="1" si="66"/>
        <v>#DIV/0!</v>
      </c>
      <c r="AM74" s="70" t="e">
        <f t="shared" ca="1" si="67"/>
        <v>#DIV/0!</v>
      </c>
      <c r="AN74" s="276" t="e">
        <f t="shared" ca="1" si="68"/>
        <v>#DIV/0!</v>
      </c>
      <c r="AO74" s="276" t="e">
        <f t="shared" ca="1" si="69"/>
        <v>#DIV/0!</v>
      </c>
    </row>
    <row r="75" spans="1:41" ht="21.75" hidden="1" customHeight="1">
      <c r="A75" s="147"/>
      <c r="B75" s="148" t="str">
        <f t="shared" si="83"/>
        <v/>
      </c>
      <c r="C75" s="149" t="str">
        <f t="shared" si="70"/>
        <v/>
      </c>
      <c r="D75" s="150" t="str">
        <f t="shared" si="84"/>
        <v/>
      </c>
      <c r="E75" s="149" t="str">
        <f t="shared" si="71"/>
        <v/>
      </c>
      <c r="F75" s="150" t="str">
        <f t="shared" si="85"/>
        <v/>
      </c>
      <c r="G75" s="149" t="str">
        <f t="shared" ca="1" si="72"/>
        <v/>
      </c>
      <c r="H75" s="150" t="str">
        <f t="shared" si="86"/>
        <v/>
      </c>
      <c r="I75" s="149" t="str">
        <f t="shared" ca="1" si="73"/>
        <v/>
      </c>
      <c r="J75" s="150" t="str">
        <f t="shared" si="87"/>
        <v/>
      </c>
      <c r="K75" s="149" t="str">
        <f t="shared" ca="1" si="74"/>
        <v/>
      </c>
      <c r="L75" s="150" t="str">
        <f t="shared" si="88"/>
        <v/>
      </c>
      <c r="M75" s="149" t="str">
        <f t="shared" ca="1" si="42"/>
        <v/>
      </c>
      <c r="N75" s="150" t="str">
        <f t="shared" si="89"/>
        <v/>
      </c>
      <c r="O75" s="149" t="str">
        <f t="shared" ca="1" si="75"/>
        <v/>
      </c>
      <c r="P75" s="150" t="str">
        <f t="shared" si="90"/>
        <v/>
      </c>
      <c r="Q75" s="149" t="str">
        <f t="shared" ca="1" si="76"/>
        <v/>
      </c>
      <c r="R75" s="150" t="str">
        <f t="shared" si="91"/>
        <v/>
      </c>
      <c r="S75" s="149" t="str">
        <f t="shared" ca="1" si="77"/>
        <v/>
      </c>
      <c r="T75" s="150" t="str">
        <f t="shared" si="92"/>
        <v/>
      </c>
      <c r="U75" s="149" t="str">
        <f t="shared" ca="1" si="78"/>
        <v/>
      </c>
      <c r="V75" s="150" t="str">
        <f t="shared" si="93"/>
        <v/>
      </c>
      <c r="W75" s="149" t="str">
        <f t="shared" ca="1" si="79"/>
        <v/>
      </c>
      <c r="X75" s="150" t="str">
        <f t="shared" si="62"/>
        <v/>
      </c>
      <c r="Y75" s="149" t="str">
        <f t="shared" ca="1" si="80"/>
        <v/>
      </c>
      <c r="Z75" s="150" t="str">
        <f t="shared" si="63"/>
        <v/>
      </c>
      <c r="AA75" s="149" t="str">
        <f t="shared" ca="1" si="81"/>
        <v/>
      </c>
      <c r="AB75" s="150" t="str">
        <f t="shared" si="64"/>
        <v/>
      </c>
      <c r="AC75" s="149" t="str">
        <f t="shared" ca="1" si="82"/>
        <v/>
      </c>
      <c r="AD75" s="150" t="str">
        <f t="shared" si="65"/>
        <v/>
      </c>
      <c r="AE75" s="146"/>
      <c r="AF75" s="146"/>
      <c r="AG75" s="146"/>
      <c r="AH75" s="146"/>
      <c r="AI75" s="146"/>
      <c r="AJ75" s="146"/>
      <c r="AL75" s="211" t="e">
        <f t="shared" ca="1" si="66"/>
        <v>#DIV/0!</v>
      </c>
      <c r="AM75" s="70" t="e">
        <f t="shared" ca="1" si="67"/>
        <v>#DIV/0!</v>
      </c>
      <c r="AN75" s="276" t="e">
        <f t="shared" ca="1" si="68"/>
        <v>#DIV/0!</v>
      </c>
      <c r="AO75" s="276" t="e">
        <f t="shared" ca="1" si="69"/>
        <v>#DIV/0!</v>
      </c>
    </row>
    <row r="76" spans="1:41" ht="21.75" hidden="1" customHeight="1">
      <c r="A76" s="147"/>
      <c r="B76" s="148" t="str">
        <f t="shared" si="83"/>
        <v/>
      </c>
      <c r="C76" s="149" t="str">
        <f t="shared" si="70"/>
        <v/>
      </c>
      <c r="D76" s="150" t="str">
        <f t="shared" si="84"/>
        <v/>
      </c>
      <c r="E76" s="149" t="str">
        <f t="shared" si="71"/>
        <v/>
      </c>
      <c r="F76" s="150" t="str">
        <f t="shared" si="85"/>
        <v/>
      </c>
      <c r="G76" s="149" t="str">
        <f t="shared" ca="1" si="72"/>
        <v/>
      </c>
      <c r="H76" s="150" t="str">
        <f t="shared" si="86"/>
        <v/>
      </c>
      <c r="I76" s="149" t="str">
        <f t="shared" ca="1" si="73"/>
        <v/>
      </c>
      <c r="J76" s="150" t="str">
        <f t="shared" si="87"/>
        <v/>
      </c>
      <c r="K76" s="149" t="str">
        <f t="shared" ca="1" si="74"/>
        <v/>
      </c>
      <c r="L76" s="150" t="str">
        <f t="shared" si="88"/>
        <v/>
      </c>
      <c r="M76" s="149" t="str">
        <f t="shared" ca="1" si="42"/>
        <v/>
      </c>
      <c r="N76" s="150" t="str">
        <f t="shared" si="89"/>
        <v/>
      </c>
      <c r="O76" s="149" t="str">
        <f t="shared" ca="1" si="75"/>
        <v/>
      </c>
      <c r="P76" s="150" t="str">
        <f t="shared" si="90"/>
        <v/>
      </c>
      <c r="Q76" s="149" t="str">
        <f t="shared" ca="1" si="76"/>
        <v/>
      </c>
      <c r="R76" s="150" t="str">
        <f t="shared" si="91"/>
        <v/>
      </c>
      <c r="S76" s="149" t="str">
        <f t="shared" ca="1" si="77"/>
        <v/>
      </c>
      <c r="T76" s="150" t="str">
        <f t="shared" si="92"/>
        <v/>
      </c>
      <c r="U76" s="149" t="str">
        <f t="shared" ca="1" si="78"/>
        <v/>
      </c>
      <c r="V76" s="150" t="str">
        <f t="shared" si="93"/>
        <v/>
      </c>
      <c r="W76" s="149" t="str">
        <f t="shared" ca="1" si="79"/>
        <v/>
      </c>
      <c r="X76" s="150" t="str">
        <f t="shared" si="62"/>
        <v/>
      </c>
      <c r="Y76" s="149" t="str">
        <f t="shared" ca="1" si="80"/>
        <v/>
      </c>
      <c r="Z76" s="150" t="str">
        <f t="shared" si="63"/>
        <v/>
      </c>
      <c r="AA76" s="149" t="str">
        <f t="shared" ca="1" si="81"/>
        <v/>
      </c>
      <c r="AB76" s="150" t="str">
        <f t="shared" si="64"/>
        <v/>
      </c>
      <c r="AC76" s="149" t="str">
        <f t="shared" ca="1" si="82"/>
        <v/>
      </c>
      <c r="AD76" s="150" t="str">
        <f t="shared" si="65"/>
        <v/>
      </c>
      <c r="AE76" s="146"/>
      <c r="AF76" s="146"/>
      <c r="AG76" s="146"/>
      <c r="AH76" s="146"/>
      <c r="AI76" s="146"/>
      <c r="AJ76" s="146"/>
      <c r="AL76" s="211" t="e">
        <f t="shared" ca="1" si="66"/>
        <v>#DIV/0!</v>
      </c>
      <c r="AM76" s="70" t="e">
        <f t="shared" ca="1" si="67"/>
        <v>#DIV/0!</v>
      </c>
      <c r="AN76" s="276" t="e">
        <f t="shared" ca="1" si="68"/>
        <v>#DIV/0!</v>
      </c>
      <c r="AO76" s="276" t="e">
        <f t="shared" ca="1" si="69"/>
        <v>#DIV/0!</v>
      </c>
    </row>
    <row r="77" spans="1:41" s="142" customFormat="1" ht="21" hidden="1" customHeight="1">
      <c r="A77" s="147"/>
      <c r="B77" s="148" t="str">
        <f>IF(A77="","",IF($K$4="Media aritmética",ROUND(AVERAGE(C77,E77,G77,I77,K77,M77,O77,Q77,S77,U77,W77,Y77,AA77,AC77,AE77,AG77,AI77),2),ROUND(_xlfn.STDEV.P(C77,E77,G77,I77,K77,M77,O77,Q77,S77,U77,W77,Y77,AA77,AC77,AE77,AG77,AI77),2)))</f>
        <v/>
      </c>
      <c r="C77" s="149" t="str">
        <f t="shared" si="70"/>
        <v/>
      </c>
      <c r="D77" s="150" t="str">
        <f>IF($A77="","",IF(C77="","",IF($K$4="Media aritmética",(C77&lt;=$B77)*($E$5/$B$4)+(C77&gt;$B77)*0,IF(AND(ROUND(AVERAGE($C77,$E77,$G77,$I77,$K77,$M77,$O77,$Q77,$S77,$U77,$W77,$Y77,$AA77,$AC77,$AE77,$AG77,$AI77),2)-$B77/2&lt;=C77,(ROUND(AVERAGE($C77,$E77,$G77,$I77,$K77,$M77,$O77,$Q77,$S77,$U77,$W77,$Y77,$AA77,$AC77,$AE77,$AG77,$AI77),2)+$B77/2&gt;=C77)),($E$5/$B$4),0))))</f>
        <v/>
      </c>
      <c r="E77" s="149" t="str">
        <f t="shared" si="71"/>
        <v/>
      </c>
      <c r="F77" s="150" t="str">
        <f>IF($A77="","",IF(E77="","",IF($K$4="Media aritmética",(E77&lt;=$B77)*($E$5/$B$4)+(E77&gt;$B77)*0,IF(AND(ROUND(AVERAGE($C77,$E77,$G77,$I77,$K77,$M77,$O77,$Q77,$S77,$U77,$W77,$Y77,$AA77,$AC77,$AE77,$AG77,$AI77),2)-$B77/2&lt;=E77,(ROUND(AVERAGE($C77,$E77,$G77,$I77,$K77,$M77,$O77,$Q77,$S77,$U77,$W77,$Y77,$AA77,$AC77,$AE77,$AG77,$AI77),2)+$B77/2&gt;=E77)),($E$5/$B$4),0))))</f>
        <v/>
      </c>
      <c r="G77" s="149" t="str">
        <f t="shared" ca="1" si="72"/>
        <v/>
      </c>
      <c r="H77" s="150" t="str">
        <f>IF($A77="","",IF(G77="","",IF($K$4="Media aritmética",(G77&lt;=$B77)*($E$5/$B$4)+(G77&gt;$B77)*0,IF(AND(ROUND(AVERAGE($C77,$E77,$G77,$I77,$K77,$M77,$O77,$Q77,$S77,$U77,$W77,$Y77,$AA77,$AC77,$AE77,$AG77,$AI77),2)-$B77/2&lt;=G77,(ROUND(AVERAGE($C77,$E77,$G77,$I77,$K77,$M77,$O77,$Q77,$S77,$U77,$W77,$Y77,$AA77,$AC77,$AE77,$AG77,$AI77),2)+$B77/2&gt;=G77)),($E$5/$B$4),0))))</f>
        <v/>
      </c>
      <c r="I77" s="149" t="str">
        <f t="shared" ca="1" si="73"/>
        <v/>
      </c>
      <c r="J77" s="150" t="str">
        <f>IF($A77="","",IF(I77="","",IF($K$4="Media aritmética",(I77&lt;=$B77)*($E$5/$B$4)+(I77&gt;$B77)*0,IF(AND(ROUND(AVERAGE($C77,$E77,$G77,$I77,$K77,$M77,$O77,$Q77,$S77,$U77,$W77,$Y77,$AA77,$AC77,$AE77,$AG77,$AI77),2)-$B77/2&lt;=I77,(ROUND(AVERAGE($C77,$E77,$G77,$I77,$K77,$M77,$O77,$Q77,$S77,$U77,$W77,$Y77,$AA77,$AC77,$AE77,$AG77,$AI77),2)+$B77/2&gt;=I77)),($E$5/$B$4),0))))</f>
        <v/>
      </c>
      <c r="K77" s="149" t="str">
        <f t="shared" ca="1" si="74"/>
        <v/>
      </c>
      <c r="L77" s="150" t="str">
        <f>IF($A77="","",IF(K77="","",IF($K$4="Media aritmética",(K77&lt;=$B77)*($E$5/$B$4)+(K77&gt;$B77)*0,IF(AND(ROUND(AVERAGE($C77,$E77,$G77,$I77,$K77,$M77,$O77,$Q77,$S77,$U77,$W77,$Y77,$AA77,$AC77,$AE77,$AG77,$AI77),2)-$B77/2&lt;=K77,(ROUND(AVERAGE($C77,$E77,$G77,$I77,$K77,$M77,$O77,$Q77,$S77,$U77,$W77,$Y77,$AA77,$AC77,$AE77,$AG77,$AI77),2)+$B77/2&gt;=K77)),($E$5/$B$4),0))))</f>
        <v/>
      </c>
      <c r="M77" s="149" t="str">
        <f t="shared" ca="1" si="42"/>
        <v/>
      </c>
      <c r="N77" s="150" t="str">
        <f>IF($A77="","",IF(M77="","",IF($K$4="Media aritmética",(M77&lt;=$B77)*($E$5/$B$4)+(M77&gt;$B77)*0,IF(AND(ROUND(AVERAGE($C77,$E77,$G77,$I77,$K77,$M77,$O77,$Q77,$S77,$U77,$W77,$Y77,$AA77,$AC77,$AE77,$AG77,$AI77),2)-$B77/2&lt;=M77,(ROUND(AVERAGE($C77,$E77,$G77,$I77,$K77,$M77,$O77,$Q77,$S77,$U77,$W77,$Y77,$AA77,$AC77,$AE77,$AG77,$AI77),2)+$B77/2&gt;=M77)),($E$5/$B$4),0))))</f>
        <v/>
      </c>
      <c r="O77" s="149" t="str">
        <f t="shared" ca="1" si="75"/>
        <v/>
      </c>
      <c r="P77" s="150" t="str">
        <f>IF($A77="","",IF(O77="","",IF($K$4="Media aritmética",(O77&lt;=$B77)*($E$5/$B$4)+(O77&gt;$B77)*0,IF(AND(ROUND(AVERAGE($C77,$E77,$G77,$I77,$K77,$M77,$O77,$Q77,$S77,$U77,$W77,$Y77,$AA77,$AC77,$AE77,$AG77,$AI77),2)-$B77/2&lt;=O77,(ROUND(AVERAGE($C77,$E77,$G77,$I77,$K77,$M77,$O77,$Q77,$S77,$U77,$W77,$Y77,$AA77,$AC77,$AE77,$AG77,$AI77),2)+$B77/2&gt;=O77)),($E$5/$B$4),0))))</f>
        <v/>
      </c>
      <c r="Q77" s="149" t="str">
        <f t="shared" ca="1" si="76"/>
        <v/>
      </c>
      <c r="R77" s="150" t="str">
        <f>IF($A77="","",IF(Q77="","",IF($K$4="Media aritmética",(Q77&lt;=$B77)*($E$5/$B$4)+(Q77&gt;$B77)*0,IF(AND(ROUND(AVERAGE($C77,$E77,$G77,$I77,$K77,$M77,$O77,$Q77,$S77,$U77,$W77,$Y77,$AA77,$AC77,$AE77,$AG77,$AI77),2)-$B77/2&lt;=Q77,(ROUND(AVERAGE($C77,$E77,$G77,$I77,$K77,$M77,$O77,$Q77,$S77,$U77,$W77,$Y77,$AA77,$AC77,$AE77,$AG77,$AI77),2)+$B77/2&gt;=Q77)),($E$5/$B$4),0))))</f>
        <v/>
      </c>
      <c r="S77" s="149" t="str">
        <f t="shared" ca="1" si="77"/>
        <v/>
      </c>
      <c r="T77" s="150" t="str">
        <f>IF($A77="","",IF(S77="","",IF($K$4="Media aritmética",(S77&lt;=$B77)*($E$5/$B$4)+(S77&gt;$B77)*0,IF(AND(ROUND(AVERAGE($C77,$E77,$G77,$I77,$K77,$M77,$O77,$Q77,$S77,$U77,$W77,$Y77,$AA77,$AC77,$AE77,$AG77,$AI77),2)-$B77/2&lt;=S77,(ROUND(AVERAGE($C77,$E77,$G77,$I77,$K77,$M77,$O77,$Q77,$S77,$U77,$W77,$Y77,$AA77,$AC77,$AE77,$AG77,$AI77),2)+$B77/2&gt;=S77)),($E$5/$B$4),0))))</f>
        <v/>
      </c>
      <c r="U77" s="149" t="str">
        <f t="shared" ca="1" si="78"/>
        <v/>
      </c>
      <c r="V77" s="150" t="str">
        <f>IF($A77="","",IF(U77="","",IF($K$4="Media aritmética",(U77&lt;=$B77)*($E$5/$B$4)+(U77&gt;$B77)*0,IF(AND(ROUND(AVERAGE($C77,$E77,$G77,$I77,$K77,$M77,$O77,$Q77,$S77,$U77,$W77,$Y77,$AA77,$AC77,$AE77,$AG77,$AI77),2)-$B77/2&lt;=U77,(ROUND(AVERAGE($C77,$E77,$G77,$I77,$K77,$M77,$O77,$Q77,$S77,$U77,$W77,$Y77,$AA77,$AC77,$AE77,$AG77,$AI77),2)+$B77/2&gt;=U77)),($E$5/$B$4),0))))</f>
        <v/>
      </c>
      <c r="W77" s="149" t="str">
        <f t="shared" ca="1" si="79"/>
        <v/>
      </c>
      <c r="X77" s="150" t="str">
        <f>IF($A77="","",IF(W77="","",IF($K$4="Media aritmética",(W77&lt;=$B77)*($E$5/$B$4)+(W77&gt;$B77)*0,IF(AND(ROUND(AVERAGE($C77,$E77,$G77,$I77,$K77,$M77,$O77,$Q77,$S77,$U77,$W77,$Y77,$AA77,$AC77,$AE77,$AG77,$AI77),2)-$B77/2&lt;=W77,(ROUND(AVERAGE($C77,$E77,$G77,$I77,$K77,$M77,$O77,$Q77,$S77,$U77,$W77,$Y77,$AA77,$AC77,$AE77,$AG77,$AI77),2)+$B77/2&gt;=W77)),($E$5/$B$4),0))))</f>
        <v/>
      </c>
      <c r="Y77" s="149" t="str">
        <f t="shared" ca="1" si="80"/>
        <v/>
      </c>
      <c r="Z77" s="150" t="str">
        <f>IF($A77="","",IF(Y77="","",IF($K$4="Media aritmética",(Y77&lt;=$B77)*($E$5/$B$4)+(Y77&gt;$B77)*0,IF(AND(ROUND(AVERAGE($C77,$E77,$G77,$I77,$K77,$M77,$O77,$Q77,$S77,$U77,$W77,$Y77,$AA77,$AC77,$AE77,$AG77,$AI77),2)-$B77/2&lt;=Y77,(ROUND(AVERAGE($C77,$E77,$G77,$I77,$K77,$M77,$O77,$Q77,$S77,$U77,$W77,$Y77,$AA77,$AC77,$AE77,$AG77,$AI77),2)+$B77/2&gt;=Y77)),($E$5/$B$4),0))))</f>
        <v/>
      </c>
      <c r="AA77" s="149" t="str">
        <f t="shared" ca="1" si="81"/>
        <v/>
      </c>
      <c r="AB77" s="150" t="str">
        <f>IF($A77="","",IF(AA77="","",IF($K$4="Media aritmética",(AA77&lt;=$B77)*($E$5/$B$4)+(AA77&gt;$B77)*0,IF(AND(ROUND(AVERAGE($C77,$E77,$G77,$I77,$K77,$M77,$O77,$Q77,$S77,$U77,$W77,$Y77,$AA77,$AC77,$AE77,$AG77,$AI77),2)-$B77/2&lt;=AA77,(ROUND(AVERAGE($C77,$E77,$G77,$I77,$K77,$M77,$O77,$Q77,$S77,$U77,$W77,$Y77,$AA77,$AC77,$AE77,$AG77,$AI77),2)+$B77/2&gt;=AA77)),($E$5/$B$4),0))))</f>
        <v/>
      </c>
      <c r="AC77" s="149" t="str">
        <f t="shared" ca="1" si="82"/>
        <v/>
      </c>
      <c r="AD77" s="150" t="str">
        <f>IF($A77="","",IF(AC77="","",IF($K$4="Media aritmética",(AC77&lt;=$B77)*($E$5/$B$4)+(AC77&gt;$B77)*0,IF(AND(ROUND(AVERAGE($C77,$E77,$G77,$I77,$K77,$M77,$O77,$Q77,$S77,$U77,$W77,$Y77,$AA77,$AC77,$AE77,$AG77,$AI77),2)-$B77/2&lt;=AC77,(ROUND(AVERAGE($C77,$E77,$G77,$I77,$K77,$M77,$O77,$Q77,$S77,$U77,$W77,$Y77,$AA77,$AC77,$AE77,$AG77,$AI77),2)+$B77/2&gt;=AC77)),($E$5/$B$4),0))))</f>
        <v/>
      </c>
      <c r="AE77" s="149" t="str">
        <f t="shared" ref="AE77:AE101" si="94">IF($AE$8="Habilitado",IF($A77="","",ROUND(VLOOKUP($A77,OFERENTE_15,14,FALSE),2)),"")</f>
        <v/>
      </c>
      <c r="AF77" s="150" t="str">
        <f>IF($A77="","",IF(AE77="","",IF($K$4="Media aritmética",(AE77&lt;=$B77)*($E$5/$B$4)+(AE77&gt;$B77)*0,IF(AND(ROUND(AVERAGE($C77,$E77,$G77,$I77,$K77,$M77,$O77,$Q77,$S77,$U77,$W77,$Y77,$AA77,$AC77,$AE77,$AG77,$AI77),2)-$B77/2&lt;=AE77,(ROUND(AVERAGE($C77,$E77,$G77,$I77,$K77,$M77,$O77,$Q77,$S77,$U77,$W77,$Y77,$AA77,$AC77,$AE77,$AG77,$AI77),2)+$B77/2&gt;=AE77)),($E$5/$B$4),0))))</f>
        <v/>
      </c>
      <c r="AG77" s="149" t="str">
        <f t="shared" ref="AG77:AG101" si="95">IF($AG$8="Habilitado",IF($A77="","",ROUND(VLOOKUP($A77,OFERENTE_16,14,FALSE),2)),"")</f>
        <v/>
      </c>
      <c r="AH77" s="150" t="str">
        <f>IF($A77="","",IF(AG77="","",IF($K$4="Media aritmética",(AG77&lt;=$B77)*($E$5/$B$4)+(AG77&gt;$B77)*0,IF(AND(ROUND(AVERAGE($C77,$E77,$G77,$I77,$K77,$M77,$O77,$Q77,$S77,$U77,$W77,$Y77,$AA77,$AC77,$AE77,$AG77,$AI77),2)-$B77/2&lt;=AG77,(ROUND(AVERAGE($C77,$E77,$G77,$I77,$K77,$M77,$O77,$Q77,$S77,$U77,$W77,$Y77,$AA77,$AC77,$AE77,$AG77,$AI77),2)+$B77/2&gt;=AG77)),($E$5/$B$4),0))))</f>
        <v/>
      </c>
      <c r="AI77" s="149" t="str">
        <f t="shared" ref="AI77:AI101" si="96">IF($AI$8="Habilitado",IF($A77="","",ROUND(VLOOKUP($A77,OFERENTE_17,14,FALSE),2)),"")</f>
        <v/>
      </c>
      <c r="AJ77" s="150" t="str">
        <f>IF($A77="","",IF(AI77="","",IF($K$4="Media aritmética",(AI77&lt;=$B77)*($E$5/$B$4)+(AI77&gt;$B77)*0,IF(AND(ROUND(AVERAGE($C77,$E77,$G77,$I77,$K77,$M77,$O77,$Q77,$S77,$U77,$W77,$Y77,$AA77,$AC77,$AE77,$AG77,$AI77),2)-$B77/2&lt;=AI77,(ROUND(AVERAGE($C77,$E77,$G77,$I77,$K77,$M77,$O77,$Q77,$S77,$U77,$W77,$Y77,$AA77,$AC77,$AE77,$AG77,$AI77),2)+$B77/2&gt;=AI77)),($E$5/$B$4),0))))</f>
        <v/>
      </c>
      <c r="AL77" s="211" t="e">
        <f t="shared" ca="1" si="66"/>
        <v>#DIV/0!</v>
      </c>
      <c r="AM77" s="70" t="e">
        <f t="shared" ca="1" si="67"/>
        <v>#DIV/0!</v>
      </c>
      <c r="AN77" s="276" t="e">
        <f t="shared" ca="1" si="68"/>
        <v>#DIV/0!</v>
      </c>
      <c r="AO77" s="276" t="e">
        <f t="shared" ca="1" si="69"/>
        <v>#DIV/0!</v>
      </c>
    </row>
    <row r="78" spans="1:41" s="142" customFormat="1" ht="21" hidden="1" customHeight="1">
      <c r="A78" s="147"/>
      <c r="B78" s="148" t="str">
        <f t="shared" ref="B78:B101" si="97">IF(A78="","",IF($K$4="Media aritmética",ROUND(AVERAGE(C78,E78,G78,I78,K78,M78,O78,Q78,S78,U78,W78,Y78,AA78,AC78,AE78,AG78,AI78),2),ROUND(_xlfn.STDEV.P(C78,E78,G78,I78,K78,M78,O78,Q78,S78,U78,W78,Y78,AA78,AC78,AE78,AG78,AI78),2)))</f>
        <v/>
      </c>
      <c r="C78" s="149" t="str">
        <f t="shared" si="70"/>
        <v/>
      </c>
      <c r="D78" s="150" t="str">
        <f t="shared" ref="D78:D101" si="98">IF($A78="","",IF(C78="","",IF($K$4="Media aritmética",(C78&lt;=$B78)*($E$5/$B$4)+(C78&gt;$B78)*0,IF(AND(ROUND(AVERAGE($C78,$E78,$G78,$I78,$K78,$M78,$O78,$Q78,$S78,$U78,$W78,$Y78,$AA78,$AC78,$AE78,$AG78,$AI78),2)-$B78/2&lt;=C78,(ROUND(AVERAGE($C78,$E78,$G78,$I78,$K78,$M78,$O78,$Q78,$S78,$U78,$W78,$Y78,$AA78,$AC78,$AE78,$AG78,$AI78),2)+$B78/2&gt;=C78)),($E$5/$B$4),0))))</f>
        <v/>
      </c>
      <c r="E78" s="149" t="str">
        <f t="shared" si="71"/>
        <v/>
      </c>
      <c r="F78" s="150" t="str">
        <f t="shared" ref="F78:F82" si="99">IF($A78="","",IF(E78="","",IF($K$4="Media aritmética",(E78&lt;=$B78)*($E$5/$B$4)+(E78&gt;$B78)*0,IF(AND(ROUND(AVERAGE($C78,$E78,$G78,$I78,$K78,$M78,$O78,$Q78,$S78,$U78,$W78,$Y78,$AA78,$AC78,$AE78,$AG78,$AI78),2)-$B78/2&lt;=E78,(ROUND(AVERAGE($C78,$E78,$G78,$I78,$K78,$M78,$O78,$Q78,$S78,$U78,$W78,$Y78,$AA78,$AC78,$AE78,$AG78,$AI78),2)+$B78/2&gt;=E78)),($E$5/$B$4),0))))</f>
        <v/>
      </c>
      <c r="G78" s="149" t="str">
        <f t="shared" ca="1" si="72"/>
        <v/>
      </c>
      <c r="H78" s="150" t="str">
        <f t="shared" ref="H78:H101" si="100">IF($A78="","",IF(G78="","",IF($K$4="Media aritmética",(G78&lt;=$B78)*($E$5/$B$4)+(G78&gt;$B78)*0,IF(AND(ROUND(AVERAGE($C78,$E78,$G78,$I78,$K78,$M78,$O78,$Q78,$S78,$U78,$W78,$Y78,$AA78,$AC78,$AE78,$AG78,$AI78),2)-$B78/2&lt;=G78,(ROUND(AVERAGE($C78,$E78,$G78,$I78,$K78,$M78,$O78,$Q78,$S78,$U78,$W78,$Y78,$AA78,$AC78,$AE78,$AG78,$AI78),2)+$B78/2&gt;=G78)),($E$5/$B$4),0))))</f>
        <v/>
      </c>
      <c r="I78" s="149" t="str">
        <f t="shared" ca="1" si="73"/>
        <v/>
      </c>
      <c r="J78" s="150" t="str">
        <f t="shared" ref="J78:J101" si="101">IF($A78="","",IF(I78="","",IF($K$4="Media aritmética",(I78&lt;=$B78)*($E$5/$B$4)+(I78&gt;$B78)*0,IF(AND(ROUND(AVERAGE($C78,$E78,$G78,$I78,$K78,$M78,$O78,$Q78,$S78,$U78,$W78,$Y78,$AA78,$AC78,$AE78,$AG78,$AI78),2)-$B78/2&lt;=I78,(ROUND(AVERAGE($C78,$E78,$G78,$I78,$K78,$M78,$O78,$Q78,$S78,$U78,$W78,$Y78,$AA78,$AC78,$AE78,$AG78,$AI78),2)+$B78/2&gt;=I78)),($E$5/$B$4),0))))</f>
        <v/>
      </c>
      <c r="K78" s="149" t="str">
        <f t="shared" ca="1" si="74"/>
        <v/>
      </c>
      <c r="L78" s="150" t="str">
        <f t="shared" ref="L78:L101" si="102">IF($A78="","",IF(K78="","",IF($K$4="Media aritmética",(K78&lt;=$B78)*($E$5/$B$4)+(K78&gt;$B78)*0,IF(AND(ROUND(AVERAGE($C78,$E78,$G78,$I78,$K78,$M78,$O78,$Q78,$S78,$U78,$W78,$Y78,$AA78,$AC78,$AE78,$AG78,$AI78),2)-$B78/2&lt;=K78,(ROUND(AVERAGE($C78,$E78,$G78,$I78,$K78,$M78,$O78,$Q78,$S78,$U78,$W78,$Y78,$AA78,$AC78,$AE78,$AG78,$AI78),2)+$B78/2&gt;=K78)),($E$5/$B$4),0))))</f>
        <v/>
      </c>
      <c r="M78" s="149" t="str">
        <f t="shared" ref="M78:M92" ca="1" si="103">IF($M$8="Habilitado",IF($A78="","",ROUND(VLOOKUP($A78,OFERENTE_6,15,FALSE),2)),"")</f>
        <v/>
      </c>
      <c r="N78" s="150" t="str">
        <f t="shared" ref="N78:N101" si="104">IF($A78="","",IF(M78="","",IF($K$4="Media aritmética",(M78&lt;=$B78)*($E$5/$B$4)+(M78&gt;$B78)*0,IF(AND(ROUND(AVERAGE($C78,$E78,$G78,$I78,$K78,$M78,$O78,$Q78,$S78,$U78,$W78,$Y78,$AA78,$AC78,$AE78,$AG78,$AI78),2)-$B78/2&lt;=M78,(ROUND(AVERAGE($C78,$E78,$G78,$I78,$K78,$M78,$O78,$Q78,$S78,$U78,$W78,$Y78,$AA78,$AC78,$AE78,$AG78,$AI78),2)+$B78/2&gt;=M78)),($E$5/$B$4),0))))</f>
        <v/>
      </c>
      <c r="O78" s="149" t="str">
        <f t="shared" ca="1" si="75"/>
        <v/>
      </c>
      <c r="P78" s="150" t="str">
        <f t="shared" ref="P78:P101" si="105">IF($A78="","",IF(O78="","",IF($K$4="Media aritmética",(O78&lt;=$B78)*($E$5/$B$4)+(O78&gt;$B78)*0,IF(AND(ROUND(AVERAGE($C78,$E78,$G78,$I78,$K78,$M78,$O78,$Q78,$S78,$U78,$W78,$Y78,$AA78,$AC78,$AE78,$AG78,$AI78),2)-$B78/2&lt;=O78,(ROUND(AVERAGE($C78,$E78,$G78,$I78,$K78,$M78,$O78,$Q78,$S78,$U78,$W78,$Y78,$AA78,$AC78,$AE78,$AG78,$AI78),2)+$B78/2&gt;=O78)),($E$5/$B$4),0))))</f>
        <v/>
      </c>
      <c r="Q78" s="149" t="str">
        <f t="shared" ref="Q78:Q92" ca="1" si="106">IF($Q$8="Habilitado",IF($A78="","",ROUND(VLOOKUP($A78,OFERENTE_8,15,FALSE),2)),"")</f>
        <v/>
      </c>
      <c r="R78" s="150" t="str">
        <f t="shared" ref="R78:R101" si="107">IF($A78="","",IF(Q78="","",IF($K$4="Media aritmética",(Q78&lt;=$B78)*($E$5/$B$4)+(Q78&gt;$B78)*0,IF(AND(ROUND(AVERAGE($C78,$E78,$G78,$I78,$K78,$M78,$O78,$Q78,$S78,$U78,$W78,$Y78,$AA78,$AC78,$AE78,$AG78,$AI78),2)-$B78/2&lt;=Q78,(ROUND(AVERAGE($C78,$E78,$G78,$I78,$K78,$M78,$O78,$Q78,$S78,$U78,$W78,$Y78,$AA78,$AC78,$AE78,$AG78,$AI78),2)+$B78/2&gt;=Q78)),($E$5/$B$4),0))))</f>
        <v/>
      </c>
      <c r="S78" s="149" t="str">
        <f t="shared" ref="S78:S92" ca="1" si="108">IF($S$8="Habilitado",IF($A78="","",ROUND(VLOOKUP($A78,OFERENTE_9,15,FALSE),2)),"")</f>
        <v/>
      </c>
      <c r="T78" s="150" t="str">
        <f t="shared" ref="T78:T101" si="109">IF($A78="","",IF(S78="","",IF($K$4="Media aritmética",(S78&lt;=$B78)*($E$5/$B$4)+(S78&gt;$B78)*0,IF(AND(ROUND(AVERAGE($C78,$E78,$G78,$I78,$K78,$M78,$O78,$Q78,$S78,$U78,$W78,$Y78,$AA78,$AC78,$AE78,$AG78,$AI78),2)-$B78/2&lt;=S78,(ROUND(AVERAGE($C78,$E78,$G78,$I78,$K78,$M78,$O78,$Q78,$S78,$U78,$W78,$Y78,$AA78,$AC78,$AE78,$AG78,$AI78),2)+$B78/2&gt;=S78)),($E$5/$B$4),0))))</f>
        <v/>
      </c>
      <c r="U78" s="149" t="str">
        <f t="shared" ref="U78:U92" ca="1" si="110">IF($U$8="Habilitado",IF($A78="","",ROUND(VLOOKUP($A78,OFERENTE_10,15,FALSE),2)),"")</f>
        <v/>
      </c>
      <c r="V78" s="150" t="str">
        <f t="shared" ref="V78:V101" si="111">IF($A78="","",IF(U78="","",IF($K$4="Media aritmética",(U78&lt;=$B78)*($E$5/$B$4)+(U78&gt;$B78)*0,IF(AND(ROUND(AVERAGE($C78,$E78,$G78,$I78,$K78,$M78,$O78,$Q78,$S78,$U78,$W78,$Y78,$AA78,$AC78,$AE78,$AG78,$AI78),2)-$B78/2&lt;=U78,(ROUND(AVERAGE($C78,$E78,$G78,$I78,$K78,$M78,$O78,$Q78,$S78,$U78,$W78,$Y78,$AA78,$AC78,$AE78,$AG78,$AI78),2)+$B78/2&gt;=U78)),($E$5/$B$4),0))))</f>
        <v/>
      </c>
      <c r="W78" s="149" t="str">
        <f t="shared" ref="W78:W83" ca="1" si="112">IF($W$8="Habilitado",IF($A78="","",ROUND(VLOOKUP($A78,OFERENTE_11,15,FALSE),2)),"")</f>
        <v/>
      </c>
      <c r="X78" s="150" t="str">
        <f t="shared" ref="X78:X101" si="113">IF($A78="","",IF(W78="","",IF($K$4="Media aritmética",(W78&lt;=$B78)*($E$5/$B$4)+(W78&gt;$B78)*0,IF(AND(ROUND(AVERAGE($C78,$E78,$G78,$I78,$K78,$M78,$O78,$Q78,$S78,$U78,$W78,$Y78,$AA78,$AC78,$AE78,$AG78,$AI78),2)-$B78/2&lt;=W78,(ROUND(AVERAGE($C78,$E78,$G78,$I78,$K78,$M78,$O78,$Q78,$S78,$U78,$W78,$Y78,$AA78,$AC78,$AE78,$AG78,$AI78),2)+$B78/2&gt;=W78)),($E$5/$B$4),0))))</f>
        <v/>
      </c>
      <c r="Y78" s="149" t="str">
        <f t="shared" ref="Y78:Y83" ca="1" si="114">IF($Y$8="Habilitado",IF($A78="","",ROUND(VLOOKUP($A78,OFERENTE_12,15,FALSE),2)),"")</f>
        <v/>
      </c>
      <c r="Z78" s="150" t="str">
        <f t="shared" ref="Z78:Z101" si="115">IF($A78="","",IF(Y78="","",IF($K$4="Media aritmética",(Y78&lt;=$B78)*($E$5/$B$4)+(Y78&gt;$B78)*0,IF(AND(ROUND(AVERAGE($C78,$E78,$G78,$I78,$K78,$M78,$O78,$Q78,$S78,$U78,$W78,$Y78,$AA78,$AC78,$AE78,$AG78,$AI78),2)-$B78/2&lt;=Y78,(ROUND(AVERAGE($C78,$E78,$G78,$I78,$K78,$M78,$O78,$Q78,$S78,$U78,$W78,$Y78,$AA78,$AC78,$AE78,$AG78,$AI78),2)+$B78/2&gt;=Y78)),($E$5/$B$4),0))))</f>
        <v/>
      </c>
      <c r="AA78" s="149" t="str">
        <f t="shared" ref="AA78:AA83" ca="1" si="116">IF($AA$8="Habilitado",IF($A78="","",ROUND(VLOOKUP($A78,OFERENTE_13,15,FALSE),2)),"")</f>
        <v/>
      </c>
      <c r="AB78" s="150" t="str">
        <f t="shared" ref="AB78:AB101" si="117">IF($A78="","",IF(AA78="","",IF($K$4="Media aritmética",(AA78&lt;=$B78)*($E$5/$B$4)+(AA78&gt;$B78)*0,IF(AND(ROUND(AVERAGE($C78,$E78,$G78,$I78,$K78,$M78,$O78,$Q78,$S78,$U78,$W78,$Y78,$AA78,$AC78,$AE78,$AG78,$AI78),2)-$B78/2&lt;=AA78,(ROUND(AVERAGE($C78,$E78,$G78,$I78,$K78,$M78,$O78,$Q78,$S78,$U78,$W78,$Y78,$AA78,$AC78,$AE78,$AG78,$AI78),2)+$B78/2&gt;=AA78)),($E$5/$B$4),0))))</f>
        <v/>
      </c>
      <c r="AC78" s="149" t="str">
        <f t="shared" ref="AC78:AC83" ca="1" si="118">IF($AC$8="Habilitado",IF($A78="","",ROUND(VLOOKUP($A78,OFERENTE_14,15,FALSE),2)),"")</f>
        <v/>
      </c>
      <c r="AD78" s="150" t="str">
        <f t="shared" ref="AD78:AD101" si="119">IF($A78="","",IF(AC78="","",IF($K$4="Media aritmética",(AC78&lt;=$B78)*($E$5/$B$4)+(AC78&gt;$B78)*0,IF(AND(ROUND(AVERAGE($C78,$E78,$G78,$I78,$K78,$M78,$O78,$Q78,$S78,$U78,$W78,$Y78,$AA78,$AC78,$AE78,$AG78,$AI78),2)-$B78/2&lt;=AC78,(ROUND(AVERAGE($C78,$E78,$G78,$I78,$K78,$M78,$O78,$Q78,$S78,$U78,$W78,$Y78,$AA78,$AC78,$AE78,$AG78,$AI78),2)+$B78/2&gt;=AC78)),($E$5/$B$4),0))))</f>
        <v/>
      </c>
      <c r="AE78" s="149" t="str">
        <f t="shared" si="94"/>
        <v/>
      </c>
      <c r="AF78" s="150" t="str">
        <f t="shared" ref="AF78:AF101" si="120">IF($A78="","",IF(AE78="","",IF($K$4="Media aritmética",(AE78&lt;=$B78)*($E$5/$B$4)+(AE78&gt;$B78)*0,IF(AND(ROUND(AVERAGE($C78,$E78,$G78,$I78,$K78,$M78,$O78,$Q78,$S78,$U78,$W78,$Y78,$AA78,$AC78,$AE78,$AG78,$AI78),2)-$B78/2&lt;=AE78,(ROUND(AVERAGE($C78,$E78,$G78,$I78,$K78,$M78,$O78,$Q78,$S78,$U78,$W78,$Y78,$AA78,$AC78,$AE78,$AG78,$AI78),2)+$B78/2&gt;=AE78)),($E$5/$B$4),0))))</f>
        <v/>
      </c>
      <c r="AG78" s="149" t="str">
        <f t="shared" si="95"/>
        <v/>
      </c>
      <c r="AH78" s="150" t="str">
        <f t="shared" ref="AH78:AH101" si="121">IF($A78="","",IF(AG78="","",IF($K$4="Media aritmética",(AG78&lt;=$B78)*($E$5/$B$4)+(AG78&gt;$B78)*0,IF(AND(ROUND(AVERAGE($C78,$E78,$G78,$I78,$K78,$M78,$O78,$Q78,$S78,$U78,$W78,$Y78,$AA78,$AC78,$AE78,$AG78,$AI78),2)-$B78/2&lt;=AG78,(ROUND(AVERAGE($C78,$E78,$G78,$I78,$K78,$M78,$O78,$Q78,$S78,$U78,$W78,$Y78,$AA78,$AC78,$AE78,$AG78,$AI78),2)+$B78/2&gt;=AG78)),($E$5/$B$4),0))))</f>
        <v/>
      </c>
      <c r="AI78" s="149" t="str">
        <f t="shared" si="96"/>
        <v/>
      </c>
      <c r="AJ78" s="150" t="str">
        <f t="shared" ref="AJ78:AJ101" si="122">IF($A78="","",IF(AI78="","",IF($K$4="Media aritmética",(AI78&lt;=$B78)*($E$5/$B$4)+(AI78&gt;$B78)*0,IF(AND(ROUND(AVERAGE($C78,$E78,$G78,$I78,$K78,$M78,$O78,$Q78,$S78,$U78,$W78,$Y78,$AA78,$AC78,$AE78,$AG78,$AI78),2)-$B78/2&lt;=AI78,(ROUND(AVERAGE($C78,$E78,$G78,$I78,$K78,$M78,$O78,$Q78,$S78,$U78,$W78,$Y78,$AA78,$AC78,$AE78,$AG78,$AI78),2)+$B78/2&gt;=AI78)),($E$5/$B$4),0))))</f>
        <v/>
      </c>
      <c r="AL78" s="211" t="e">
        <f t="shared" ca="1" si="66"/>
        <v>#DIV/0!</v>
      </c>
      <c r="AM78" s="70" t="e">
        <f t="shared" ca="1" si="67"/>
        <v>#DIV/0!</v>
      </c>
      <c r="AN78" s="276" t="e">
        <f t="shared" ca="1" si="68"/>
        <v>#DIV/0!</v>
      </c>
      <c r="AO78" s="276" t="e">
        <f t="shared" ca="1" si="69"/>
        <v>#DIV/0!</v>
      </c>
    </row>
    <row r="79" spans="1:41" s="142" customFormat="1" ht="21" hidden="1" customHeight="1">
      <c r="A79" s="147"/>
      <c r="B79" s="148" t="str">
        <f t="shared" si="97"/>
        <v/>
      </c>
      <c r="C79" s="149" t="str">
        <f t="shared" si="70"/>
        <v/>
      </c>
      <c r="D79" s="150" t="str">
        <f t="shared" si="98"/>
        <v/>
      </c>
      <c r="E79" s="149" t="str">
        <f t="shared" si="71"/>
        <v/>
      </c>
      <c r="F79" s="150" t="str">
        <f t="shared" si="99"/>
        <v/>
      </c>
      <c r="G79" s="149" t="str">
        <f t="shared" ca="1" si="72"/>
        <v/>
      </c>
      <c r="H79" s="150" t="str">
        <f t="shared" si="100"/>
        <v/>
      </c>
      <c r="I79" s="149" t="str">
        <f t="shared" ca="1" si="73"/>
        <v/>
      </c>
      <c r="J79" s="150" t="str">
        <f t="shared" si="101"/>
        <v/>
      </c>
      <c r="K79" s="149" t="str">
        <f t="shared" ca="1" si="74"/>
        <v/>
      </c>
      <c r="L79" s="150" t="str">
        <f t="shared" si="102"/>
        <v/>
      </c>
      <c r="M79" s="149" t="str">
        <f t="shared" ca="1" si="103"/>
        <v/>
      </c>
      <c r="N79" s="150" t="str">
        <f t="shared" si="104"/>
        <v/>
      </c>
      <c r="O79" s="149" t="str">
        <f t="shared" ca="1" si="75"/>
        <v/>
      </c>
      <c r="P79" s="150" t="str">
        <f t="shared" si="105"/>
        <v/>
      </c>
      <c r="Q79" s="149" t="str">
        <f t="shared" ca="1" si="106"/>
        <v/>
      </c>
      <c r="R79" s="150" t="str">
        <f t="shared" si="107"/>
        <v/>
      </c>
      <c r="S79" s="149" t="str">
        <f t="shared" ca="1" si="108"/>
        <v/>
      </c>
      <c r="T79" s="150" t="str">
        <f t="shared" si="109"/>
        <v/>
      </c>
      <c r="U79" s="149" t="str">
        <f t="shared" ca="1" si="110"/>
        <v/>
      </c>
      <c r="V79" s="150" t="str">
        <f t="shared" si="111"/>
        <v/>
      </c>
      <c r="W79" s="149" t="str">
        <f t="shared" ca="1" si="112"/>
        <v/>
      </c>
      <c r="X79" s="150" t="str">
        <f t="shared" si="113"/>
        <v/>
      </c>
      <c r="Y79" s="149" t="str">
        <f t="shared" ca="1" si="114"/>
        <v/>
      </c>
      <c r="Z79" s="150" t="str">
        <f t="shared" si="115"/>
        <v/>
      </c>
      <c r="AA79" s="149" t="str">
        <f t="shared" ca="1" si="116"/>
        <v/>
      </c>
      <c r="AB79" s="150" t="str">
        <f t="shared" si="117"/>
        <v/>
      </c>
      <c r="AC79" s="149" t="str">
        <f t="shared" ca="1" si="118"/>
        <v/>
      </c>
      <c r="AD79" s="150" t="str">
        <f t="shared" si="119"/>
        <v/>
      </c>
      <c r="AE79" s="149" t="str">
        <f t="shared" si="94"/>
        <v/>
      </c>
      <c r="AF79" s="150" t="str">
        <f t="shared" si="120"/>
        <v/>
      </c>
      <c r="AG79" s="149" t="str">
        <f t="shared" si="95"/>
        <v/>
      </c>
      <c r="AH79" s="150" t="str">
        <f t="shared" si="121"/>
        <v/>
      </c>
      <c r="AI79" s="149" t="str">
        <f t="shared" si="96"/>
        <v/>
      </c>
      <c r="AJ79" s="150" t="str">
        <f t="shared" si="122"/>
        <v/>
      </c>
      <c r="AL79" s="211" t="e">
        <f t="shared" ref="AL79:AL101" ca="1" si="123">AVERAGE(C79,E79,G79,I79,K79,M79,O79,Q79,S79,U79,W79,Y79,AC79)</f>
        <v>#DIV/0!</v>
      </c>
      <c r="AM79" s="70" t="e">
        <f t="shared" ref="AM79:AM101" ca="1" si="124">_xlfn.STDEV.P(C79,E79,G79,I79,K79,M79,O79,Q79,S79,U79,W79,Y79,AC79)</f>
        <v>#DIV/0!</v>
      </c>
      <c r="AN79" s="276" t="e">
        <f t="shared" ref="AN79:AN101" ca="1" si="125">AL79+(AM79/2)</f>
        <v>#DIV/0!</v>
      </c>
      <c r="AO79" s="276" t="e">
        <f t="shared" ref="AO79:AO101" ca="1" si="126">AL79-(AM79/2)</f>
        <v>#DIV/0!</v>
      </c>
    </row>
    <row r="80" spans="1:41" s="142" customFormat="1" ht="21" hidden="1" customHeight="1">
      <c r="A80" s="147"/>
      <c r="B80" s="148" t="str">
        <f t="shared" si="97"/>
        <v/>
      </c>
      <c r="C80" s="149" t="str">
        <f t="shared" si="70"/>
        <v/>
      </c>
      <c r="D80" s="150" t="str">
        <f t="shared" si="98"/>
        <v/>
      </c>
      <c r="E80" s="149" t="str">
        <f t="shared" si="71"/>
        <v/>
      </c>
      <c r="F80" s="150" t="str">
        <f t="shared" si="99"/>
        <v/>
      </c>
      <c r="G80" s="149" t="str">
        <f t="shared" ca="1" si="72"/>
        <v/>
      </c>
      <c r="H80" s="150" t="str">
        <f t="shared" si="100"/>
        <v/>
      </c>
      <c r="I80" s="149" t="str">
        <f t="shared" ca="1" si="73"/>
        <v/>
      </c>
      <c r="J80" s="150" t="str">
        <f t="shared" si="101"/>
        <v/>
      </c>
      <c r="K80" s="149" t="str">
        <f t="shared" ca="1" si="74"/>
        <v/>
      </c>
      <c r="L80" s="150" t="str">
        <f t="shared" si="102"/>
        <v/>
      </c>
      <c r="M80" s="149" t="str">
        <f t="shared" ca="1" si="103"/>
        <v/>
      </c>
      <c r="N80" s="150" t="str">
        <f t="shared" si="104"/>
        <v/>
      </c>
      <c r="O80" s="149" t="str">
        <f t="shared" ca="1" si="75"/>
        <v/>
      </c>
      <c r="P80" s="150" t="str">
        <f t="shared" si="105"/>
        <v/>
      </c>
      <c r="Q80" s="149" t="str">
        <f t="shared" ca="1" si="106"/>
        <v/>
      </c>
      <c r="R80" s="150" t="str">
        <f t="shared" si="107"/>
        <v/>
      </c>
      <c r="S80" s="149" t="str">
        <f t="shared" ca="1" si="108"/>
        <v/>
      </c>
      <c r="T80" s="150" t="str">
        <f t="shared" si="109"/>
        <v/>
      </c>
      <c r="U80" s="149" t="str">
        <f t="shared" ca="1" si="110"/>
        <v/>
      </c>
      <c r="V80" s="150" t="str">
        <f t="shared" si="111"/>
        <v/>
      </c>
      <c r="W80" s="149" t="str">
        <f t="shared" ca="1" si="112"/>
        <v/>
      </c>
      <c r="X80" s="150" t="str">
        <f t="shared" si="113"/>
        <v/>
      </c>
      <c r="Y80" s="149" t="str">
        <f t="shared" ca="1" si="114"/>
        <v/>
      </c>
      <c r="Z80" s="150" t="str">
        <f t="shared" si="115"/>
        <v/>
      </c>
      <c r="AA80" s="149" t="str">
        <f t="shared" ca="1" si="116"/>
        <v/>
      </c>
      <c r="AB80" s="150" t="str">
        <f t="shared" si="117"/>
        <v/>
      </c>
      <c r="AC80" s="149" t="str">
        <f t="shared" ca="1" si="118"/>
        <v/>
      </c>
      <c r="AD80" s="150" t="str">
        <f t="shared" si="119"/>
        <v/>
      </c>
      <c r="AE80" s="149" t="str">
        <f t="shared" si="94"/>
        <v/>
      </c>
      <c r="AF80" s="150" t="str">
        <f t="shared" si="120"/>
        <v/>
      </c>
      <c r="AG80" s="149" t="str">
        <f t="shared" si="95"/>
        <v/>
      </c>
      <c r="AH80" s="150" t="str">
        <f t="shared" si="121"/>
        <v/>
      </c>
      <c r="AI80" s="149" t="str">
        <f t="shared" si="96"/>
        <v/>
      </c>
      <c r="AJ80" s="150" t="str">
        <f t="shared" si="122"/>
        <v/>
      </c>
      <c r="AL80" s="211" t="e">
        <f t="shared" ca="1" si="123"/>
        <v>#DIV/0!</v>
      </c>
      <c r="AM80" s="70" t="e">
        <f t="shared" ca="1" si="124"/>
        <v>#DIV/0!</v>
      </c>
      <c r="AN80" s="276" t="e">
        <f t="shared" ca="1" si="125"/>
        <v>#DIV/0!</v>
      </c>
      <c r="AO80" s="276" t="e">
        <f t="shared" ca="1" si="126"/>
        <v>#DIV/0!</v>
      </c>
    </row>
    <row r="81" spans="1:41" s="142" customFormat="1" ht="21" hidden="1" customHeight="1">
      <c r="A81" s="147"/>
      <c r="B81" s="148" t="str">
        <f t="shared" si="97"/>
        <v/>
      </c>
      <c r="C81" s="149" t="str">
        <f t="shared" si="70"/>
        <v/>
      </c>
      <c r="D81" s="150" t="str">
        <f t="shared" si="98"/>
        <v/>
      </c>
      <c r="E81" s="149" t="str">
        <f t="shared" si="71"/>
        <v/>
      </c>
      <c r="F81" s="150" t="str">
        <f t="shared" si="99"/>
        <v/>
      </c>
      <c r="G81" s="149" t="str">
        <f t="shared" ca="1" si="72"/>
        <v/>
      </c>
      <c r="H81" s="150" t="str">
        <f t="shared" si="100"/>
        <v/>
      </c>
      <c r="I81" s="149" t="str">
        <f t="shared" ca="1" si="73"/>
        <v/>
      </c>
      <c r="J81" s="150" t="str">
        <f t="shared" si="101"/>
        <v/>
      </c>
      <c r="K81" s="149" t="str">
        <f t="shared" ca="1" si="74"/>
        <v/>
      </c>
      <c r="L81" s="150" t="str">
        <f t="shared" si="102"/>
        <v/>
      </c>
      <c r="M81" s="149" t="str">
        <f t="shared" ca="1" si="103"/>
        <v/>
      </c>
      <c r="N81" s="150" t="str">
        <f t="shared" si="104"/>
        <v/>
      </c>
      <c r="O81" s="149" t="str">
        <f t="shared" ca="1" si="75"/>
        <v/>
      </c>
      <c r="P81" s="150" t="str">
        <f t="shared" si="105"/>
        <v/>
      </c>
      <c r="Q81" s="149" t="str">
        <f t="shared" ca="1" si="106"/>
        <v/>
      </c>
      <c r="R81" s="150" t="str">
        <f t="shared" si="107"/>
        <v/>
      </c>
      <c r="S81" s="149" t="str">
        <f t="shared" ca="1" si="108"/>
        <v/>
      </c>
      <c r="T81" s="150" t="str">
        <f t="shared" si="109"/>
        <v/>
      </c>
      <c r="U81" s="149" t="str">
        <f t="shared" ca="1" si="110"/>
        <v/>
      </c>
      <c r="V81" s="150" t="str">
        <f t="shared" si="111"/>
        <v/>
      </c>
      <c r="W81" s="149" t="str">
        <f t="shared" ca="1" si="112"/>
        <v/>
      </c>
      <c r="X81" s="150" t="str">
        <f t="shared" si="113"/>
        <v/>
      </c>
      <c r="Y81" s="149" t="str">
        <f t="shared" ca="1" si="114"/>
        <v/>
      </c>
      <c r="Z81" s="150" t="str">
        <f t="shared" si="115"/>
        <v/>
      </c>
      <c r="AA81" s="149" t="str">
        <f t="shared" ca="1" si="116"/>
        <v/>
      </c>
      <c r="AB81" s="150" t="str">
        <f t="shared" si="117"/>
        <v/>
      </c>
      <c r="AC81" s="149" t="str">
        <f t="shared" ca="1" si="118"/>
        <v/>
      </c>
      <c r="AD81" s="150" t="str">
        <f t="shared" si="119"/>
        <v/>
      </c>
      <c r="AE81" s="149" t="str">
        <f t="shared" si="94"/>
        <v/>
      </c>
      <c r="AF81" s="150" t="str">
        <f t="shared" si="120"/>
        <v/>
      </c>
      <c r="AG81" s="149" t="str">
        <f t="shared" si="95"/>
        <v/>
      </c>
      <c r="AH81" s="150" t="str">
        <f t="shared" si="121"/>
        <v/>
      </c>
      <c r="AI81" s="149" t="str">
        <f t="shared" si="96"/>
        <v/>
      </c>
      <c r="AJ81" s="150" t="str">
        <f t="shared" si="122"/>
        <v/>
      </c>
      <c r="AL81" s="211" t="e">
        <f t="shared" ca="1" si="123"/>
        <v>#DIV/0!</v>
      </c>
      <c r="AM81" s="70" t="e">
        <f t="shared" ca="1" si="124"/>
        <v>#DIV/0!</v>
      </c>
      <c r="AN81" s="276" t="e">
        <f t="shared" ca="1" si="125"/>
        <v>#DIV/0!</v>
      </c>
      <c r="AO81" s="276" t="e">
        <f t="shared" ca="1" si="126"/>
        <v>#DIV/0!</v>
      </c>
    </row>
    <row r="82" spans="1:41" s="142" customFormat="1" ht="21" hidden="1" customHeight="1">
      <c r="A82" s="147"/>
      <c r="B82" s="148" t="str">
        <f t="shared" si="97"/>
        <v/>
      </c>
      <c r="C82" s="149" t="str">
        <f t="shared" si="70"/>
        <v/>
      </c>
      <c r="D82" s="150" t="str">
        <f t="shared" si="98"/>
        <v/>
      </c>
      <c r="E82" s="149" t="str">
        <f t="shared" si="71"/>
        <v/>
      </c>
      <c r="F82" s="150" t="str">
        <f t="shared" si="99"/>
        <v/>
      </c>
      <c r="G82" s="149" t="str">
        <f t="shared" ca="1" si="72"/>
        <v/>
      </c>
      <c r="H82" s="150" t="str">
        <f t="shared" si="100"/>
        <v/>
      </c>
      <c r="I82" s="149" t="str">
        <f t="shared" ca="1" si="73"/>
        <v/>
      </c>
      <c r="J82" s="150" t="str">
        <f t="shared" si="101"/>
        <v/>
      </c>
      <c r="K82" s="149" t="str">
        <f t="shared" ca="1" si="74"/>
        <v/>
      </c>
      <c r="L82" s="150" t="str">
        <f t="shared" si="102"/>
        <v/>
      </c>
      <c r="M82" s="149" t="str">
        <f t="shared" ca="1" si="103"/>
        <v/>
      </c>
      <c r="N82" s="150" t="str">
        <f t="shared" si="104"/>
        <v/>
      </c>
      <c r="O82" s="149" t="str">
        <f t="shared" ca="1" si="75"/>
        <v/>
      </c>
      <c r="P82" s="150" t="str">
        <f t="shared" si="105"/>
        <v/>
      </c>
      <c r="Q82" s="149" t="str">
        <f t="shared" ca="1" si="106"/>
        <v/>
      </c>
      <c r="R82" s="150" t="str">
        <f t="shared" si="107"/>
        <v/>
      </c>
      <c r="S82" s="149" t="str">
        <f t="shared" ca="1" si="108"/>
        <v/>
      </c>
      <c r="T82" s="150" t="str">
        <f t="shared" si="109"/>
        <v/>
      </c>
      <c r="U82" s="149" t="str">
        <f t="shared" ca="1" si="110"/>
        <v/>
      </c>
      <c r="V82" s="150" t="str">
        <f t="shared" si="111"/>
        <v/>
      </c>
      <c r="W82" s="149" t="str">
        <f t="shared" ca="1" si="112"/>
        <v/>
      </c>
      <c r="X82" s="150" t="str">
        <f t="shared" si="113"/>
        <v/>
      </c>
      <c r="Y82" s="149" t="str">
        <f t="shared" ca="1" si="114"/>
        <v/>
      </c>
      <c r="Z82" s="150" t="str">
        <f t="shared" si="115"/>
        <v/>
      </c>
      <c r="AA82" s="149" t="str">
        <f t="shared" ca="1" si="116"/>
        <v/>
      </c>
      <c r="AB82" s="150" t="str">
        <f t="shared" si="117"/>
        <v/>
      </c>
      <c r="AC82" s="149" t="str">
        <f t="shared" ca="1" si="118"/>
        <v/>
      </c>
      <c r="AD82" s="150" t="str">
        <f t="shared" si="119"/>
        <v/>
      </c>
      <c r="AE82" s="149" t="str">
        <f t="shared" si="94"/>
        <v/>
      </c>
      <c r="AF82" s="150" t="str">
        <f t="shared" si="120"/>
        <v/>
      </c>
      <c r="AG82" s="149" t="str">
        <f t="shared" si="95"/>
        <v/>
      </c>
      <c r="AH82" s="150" t="str">
        <f t="shared" si="121"/>
        <v/>
      </c>
      <c r="AI82" s="149" t="str">
        <f t="shared" si="96"/>
        <v/>
      </c>
      <c r="AJ82" s="150" t="str">
        <f t="shared" si="122"/>
        <v/>
      </c>
      <c r="AL82" s="211" t="e">
        <f t="shared" ca="1" si="123"/>
        <v>#DIV/0!</v>
      </c>
      <c r="AM82" s="70" t="e">
        <f t="shared" ca="1" si="124"/>
        <v>#DIV/0!</v>
      </c>
      <c r="AN82" s="276" t="e">
        <f t="shared" ca="1" si="125"/>
        <v>#DIV/0!</v>
      </c>
      <c r="AO82" s="276" t="e">
        <f t="shared" ca="1" si="126"/>
        <v>#DIV/0!</v>
      </c>
    </row>
    <row r="83" spans="1:41" s="142" customFormat="1" ht="21" hidden="1" customHeight="1">
      <c r="A83" s="147"/>
      <c r="B83" s="148" t="str">
        <f t="shared" ref="B83:B92" si="127">IF(A83="","",IF($K$4="Media aritmética",ROUND(AVERAGE(C83,E83,G83,I83,K83,M83,O83,Q83,S83,U83,W83,Y83,AA83,AC83,AE83,AG83,AI83),2),ROUND(_xlfn.STDEV.P(C83,E83,G83,I83,K83,M83,O83,Q83,S83,U83,W83,Y83,AA83,AC83,AE83,AG83,AI83),2)))</f>
        <v/>
      </c>
      <c r="C83" s="149" t="str">
        <f t="shared" si="70"/>
        <v/>
      </c>
      <c r="D83" s="150" t="str">
        <f t="shared" ref="D83:D92" si="128">IF($A83="","",IF(C83="","",IF($K$4="Media aritmética",(C83&lt;=$B83)*($E$5/$B$4)+(C83&gt;$B83)*0,IF(AND(ROUND(AVERAGE($C83,$E83,$G83,$I83,$K83,$M83,$O83,$Q83,$S83,$U83,$W83,$Y83,$AA83,$AC83,$AE83,$AG83,$AI83),2)-$B83/2&lt;=C83,(ROUND(AVERAGE($C83,$E83,$G83,$I83,$K83,$M83,$O83,$Q83,$S83,$U83,$W83,$Y83,$AA83,$AC83,$AE83,$AG83,$AI83),2)+$B83/2&gt;=C83)),($E$5/$B$4),0))))</f>
        <v/>
      </c>
      <c r="E83" s="149" t="str">
        <f t="shared" si="71"/>
        <v/>
      </c>
      <c r="F83" s="150" t="str">
        <f t="shared" ref="F83:F92" si="129">IF($A83="","",IF(E83="","",IF($K$4="Media aritmética",(E83&lt;=$B83)*($E$5/$B$4)+(E83&gt;$B83)*0,IF(AND(ROUND(AVERAGE($C83,$E83,$G83,$I83,$K83,$M83,$O83,$Q83,$S83,$U83,$W83,$Y83,$AA83,$AC83,$AE83,$AG83,$AI83),2)-$B83/2&lt;=E83,(ROUND(AVERAGE($C83,$E83,$G83,$I83,$K83,$M83,$O83,$Q83,$S83,$U83,$W83,$Y83,$AA83,$AC83,$AE83,$AG83,$AI83),2)+$B83/2&gt;=E83)),($E$5/$B$4),0))))</f>
        <v/>
      </c>
      <c r="G83" s="149" t="str">
        <f t="shared" ca="1" si="72"/>
        <v/>
      </c>
      <c r="H83" s="150" t="str">
        <f t="shared" ref="H83:H92" si="130">IF($A83="","",IF(G83="","",IF($K$4="Media aritmética",(G83&lt;=$B83)*($E$5/$B$4)+(G83&gt;$B83)*0,IF(AND(ROUND(AVERAGE($C83,$E83,$G83,$I83,$K83,$M83,$O83,$Q83,$S83,$U83,$W83,$Y83,$AA83,$AC83,$AE83,$AG83,$AI83),2)-$B83/2&lt;=G83,(ROUND(AVERAGE($C83,$E83,$G83,$I83,$K83,$M83,$O83,$Q83,$S83,$U83,$W83,$Y83,$AA83,$AC83,$AE83,$AG83,$AI83),2)+$B83/2&gt;=G83)),($E$5/$B$4),0))))</f>
        <v/>
      </c>
      <c r="I83" s="149" t="str">
        <f t="shared" ca="1" si="73"/>
        <v/>
      </c>
      <c r="J83" s="150" t="str">
        <f t="shared" ref="J83:J92" si="131">IF($A83="","",IF(I83="","",IF($K$4="Media aritmética",(I83&lt;=$B83)*($E$5/$B$4)+(I83&gt;$B83)*0,IF(AND(ROUND(AVERAGE($C83,$E83,$G83,$I83,$K83,$M83,$O83,$Q83,$S83,$U83,$W83,$Y83,$AA83,$AC83,$AE83,$AG83,$AI83),2)-$B83/2&lt;=I83,(ROUND(AVERAGE($C83,$E83,$G83,$I83,$K83,$M83,$O83,$Q83,$S83,$U83,$W83,$Y83,$AA83,$AC83,$AE83,$AG83,$AI83),2)+$B83/2&gt;=I83)),($E$5/$B$4),0))))</f>
        <v/>
      </c>
      <c r="K83" s="149" t="str">
        <f t="shared" ca="1" si="74"/>
        <v/>
      </c>
      <c r="L83" s="150" t="str">
        <f t="shared" ref="L83:L92" si="132">IF($A83="","",IF(K83="","",IF($K$4="Media aritmética",(K83&lt;=$B83)*($E$5/$B$4)+(K83&gt;$B83)*0,IF(AND(ROUND(AVERAGE($C83,$E83,$G83,$I83,$K83,$M83,$O83,$Q83,$S83,$U83,$W83,$Y83,$AA83,$AC83,$AE83,$AG83,$AI83),2)-$B83/2&lt;=K83,(ROUND(AVERAGE($C83,$E83,$G83,$I83,$K83,$M83,$O83,$Q83,$S83,$U83,$W83,$Y83,$AA83,$AC83,$AE83,$AG83,$AI83),2)+$B83/2&gt;=K83)),($E$5/$B$4),0))))</f>
        <v/>
      </c>
      <c r="M83" s="149" t="str">
        <f t="shared" ca="1" si="103"/>
        <v/>
      </c>
      <c r="N83" s="150" t="str">
        <f t="shared" ref="N83:N92" si="133">IF($A83="","",IF(M83="","",IF($K$4="Media aritmética",(M83&lt;=$B83)*($E$5/$B$4)+(M83&gt;$B83)*0,IF(AND(ROUND(AVERAGE($C83,$E83,$G83,$I83,$K83,$M83,$O83,$Q83,$S83,$U83,$W83,$Y83,$AA83,$AC83,$AE83,$AG83,$AI83),2)-$B83/2&lt;=M83,(ROUND(AVERAGE($C83,$E83,$G83,$I83,$K83,$M83,$O83,$Q83,$S83,$U83,$W83,$Y83,$AA83,$AC83,$AE83,$AG83,$AI83),2)+$B83/2&gt;=M83)),($E$5/$B$4),0))))</f>
        <v/>
      </c>
      <c r="O83" s="149" t="str">
        <f t="shared" ca="1" si="75"/>
        <v/>
      </c>
      <c r="P83" s="150" t="str">
        <f t="shared" ref="P83:P92" si="134">IF($A83="","",IF(O83="","",IF($K$4="Media aritmética",(O83&lt;=$B83)*($E$5/$B$4)+(O83&gt;$B83)*0,IF(AND(ROUND(AVERAGE($C83,$E83,$G83,$I83,$K83,$M83,$O83,$Q83,$S83,$U83,$W83,$Y83,$AA83,$AC83,$AE83,$AG83,$AI83),2)-$B83/2&lt;=O83,(ROUND(AVERAGE($C83,$E83,$G83,$I83,$K83,$M83,$O83,$Q83,$S83,$U83,$W83,$Y83,$AA83,$AC83,$AE83,$AG83,$AI83),2)+$B83/2&gt;=O83)),($E$5/$B$4),0))))</f>
        <v/>
      </c>
      <c r="Q83" s="149" t="str">
        <f t="shared" ca="1" si="106"/>
        <v/>
      </c>
      <c r="R83" s="150" t="str">
        <f t="shared" ref="R83:R92" si="135">IF($A83="","",IF(Q83="","",IF($K$4="Media aritmética",(Q83&lt;=$B83)*($E$5/$B$4)+(Q83&gt;$B83)*0,IF(AND(ROUND(AVERAGE($C83,$E83,$G83,$I83,$K83,$M83,$O83,$Q83,$S83,$U83,$W83,$Y83,$AA83,$AC83,$AE83,$AG83,$AI83),2)-$B83/2&lt;=Q83,(ROUND(AVERAGE($C83,$E83,$G83,$I83,$K83,$M83,$O83,$Q83,$S83,$U83,$W83,$Y83,$AA83,$AC83,$AE83,$AG83,$AI83),2)+$B83/2&gt;=Q83)),($E$5/$B$4),0))))</f>
        <v/>
      </c>
      <c r="S83" s="149" t="str">
        <f t="shared" ca="1" si="108"/>
        <v/>
      </c>
      <c r="T83" s="150" t="str">
        <f t="shared" ref="T83:T92" si="136">IF($A83="","",IF(S83="","",IF($K$4="Media aritmética",(S83&lt;=$B83)*($E$5/$B$4)+(S83&gt;$B83)*0,IF(AND(ROUND(AVERAGE($C83,$E83,$G83,$I83,$K83,$M83,$O83,$Q83,$S83,$U83,$W83,$Y83,$AA83,$AC83,$AE83,$AG83,$AI83),2)-$B83/2&lt;=S83,(ROUND(AVERAGE($C83,$E83,$G83,$I83,$K83,$M83,$O83,$Q83,$S83,$U83,$W83,$Y83,$AA83,$AC83,$AE83,$AG83,$AI83),2)+$B83/2&gt;=S83)),($E$5/$B$4),0))))</f>
        <v/>
      </c>
      <c r="U83" s="149" t="str">
        <f t="shared" ca="1" si="110"/>
        <v/>
      </c>
      <c r="V83" s="150" t="str">
        <f t="shared" ref="V83:V92" si="137">IF($A83="","",IF(U83="","",IF($K$4="Media aritmética",(U83&lt;=$B83)*($E$5/$B$4)+(U83&gt;$B83)*0,IF(AND(ROUND(AVERAGE($C83,$E83,$G83,$I83,$K83,$M83,$O83,$Q83,$S83,$U83,$W83,$Y83,$AA83,$AC83,$AE83,$AG83,$AI83),2)-$B83/2&lt;=U83,(ROUND(AVERAGE($C83,$E83,$G83,$I83,$K83,$M83,$O83,$Q83,$S83,$U83,$W83,$Y83,$AA83,$AC83,$AE83,$AG83,$AI83),2)+$B83/2&gt;=U83)),($E$5/$B$4),0))))</f>
        <v/>
      </c>
      <c r="W83" s="149" t="str">
        <f t="shared" ca="1" si="112"/>
        <v/>
      </c>
      <c r="X83" s="150" t="str">
        <f t="shared" si="113"/>
        <v/>
      </c>
      <c r="Y83" s="149" t="str">
        <f t="shared" ca="1" si="114"/>
        <v/>
      </c>
      <c r="Z83" s="150" t="str">
        <f t="shared" si="115"/>
        <v/>
      </c>
      <c r="AA83" s="149" t="str">
        <f t="shared" ca="1" si="116"/>
        <v/>
      </c>
      <c r="AB83" s="150" t="str">
        <f t="shared" si="117"/>
        <v/>
      </c>
      <c r="AC83" s="149" t="str">
        <f t="shared" ca="1" si="118"/>
        <v/>
      </c>
      <c r="AD83" s="150" t="str">
        <f t="shared" si="119"/>
        <v/>
      </c>
      <c r="AE83" s="149" t="str">
        <f t="shared" si="94"/>
        <v/>
      </c>
      <c r="AF83" s="150" t="str">
        <f t="shared" si="120"/>
        <v/>
      </c>
      <c r="AG83" s="149" t="str">
        <f t="shared" si="95"/>
        <v/>
      </c>
      <c r="AH83" s="150" t="str">
        <f t="shared" si="121"/>
        <v/>
      </c>
      <c r="AI83" s="149" t="str">
        <f t="shared" si="96"/>
        <v/>
      </c>
      <c r="AJ83" s="150" t="str">
        <f t="shared" si="122"/>
        <v/>
      </c>
      <c r="AL83" s="211" t="e">
        <f t="shared" ca="1" si="123"/>
        <v>#DIV/0!</v>
      </c>
      <c r="AM83" s="70" t="e">
        <f t="shared" ca="1" si="124"/>
        <v>#DIV/0!</v>
      </c>
      <c r="AN83" s="276" t="e">
        <f t="shared" ca="1" si="125"/>
        <v>#DIV/0!</v>
      </c>
      <c r="AO83" s="276" t="e">
        <f t="shared" ca="1" si="126"/>
        <v>#DIV/0!</v>
      </c>
    </row>
    <row r="84" spans="1:41" s="142" customFormat="1" ht="21" hidden="1" customHeight="1">
      <c r="A84" s="147"/>
      <c r="B84" s="148" t="str">
        <f t="shared" si="127"/>
        <v/>
      </c>
      <c r="C84" s="149" t="str">
        <f t="shared" si="70"/>
        <v/>
      </c>
      <c r="D84" s="150" t="str">
        <f t="shared" si="128"/>
        <v/>
      </c>
      <c r="E84" s="149" t="str">
        <f t="shared" si="71"/>
        <v/>
      </c>
      <c r="F84" s="150" t="str">
        <f t="shared" si="129"/>
        <v/>
      </c>
      <c r="G84" s="149" t="str">
        <f t="shared" ca="1" si="72"/>
        <v/>
      </c>
      <c r="H84" s="150" t="str">
        <f t="shared" si="130"/>
        <v/>
      </c>
      <c r="I84" s="149" t="str">
        <f t="shared" ca="1" si="73"/>
        <v/>
      </c>
      <c r="J84" s="150" t="str">
        <f t="shared" si="131"/>
        <v/>
      </c>
      <c r="K84" s="149" t="str">
        <f t="shared" ca="1" si="74"/>
        <v/>
      </c>
      <c r="L84" s="150" t="str">
        <f t="shared" si="132"/>
        <v/>
      </c>
      <c r="M84" s="149" t="str">
        <f t="shared" ca="1" si="103"/>
        <v/>
      </c>
      <c r="N84" s="150" t="str">
        <f t="shared" si="133"/>
        <v/>
      </c>
      <c r="O84" s="149" t="str">
        <f t="shared" ca="1" si="75"/>
        <v/>
      </c>
      <c r="P84" s="150" t="str">
        <f t="shared" si="134"/>
        <v/>
      </c>
      <c r="Q84" s="149" t="str">
        <f t="shared" ca="1" si="106"/>
        <v/>
      </c>
      <c r="R84" s="150" t="str">
        <f t="shared" si="135"/>
        <v/>
      </c>
      <c r="S84" s="149" t="str">
        <f t="shared" ca="1" si="108"/>
        <v/>
      </c>
      <c r="T84" s="150" t="str">
        <f t="shared" si="136"/>
        <v/>
      </c>
      <c r="U84" s="149" t="str">
        <f t="shared" ca="1" si="110"/>
        <v/>
      </c>
      <c r="V84" s="150" t="str">
        <f t="shared" si="137"/>
        <v/>
      </c>
      <c r="W84" s="149"/>
      <c r="X84" s="150"/>
      <c r="Y84" s="149"/>
      <c r="Z84" s="150"/>
      <c r="AA84" s="149"/>
      <c r="AB84" s="150"/>
      <c r="AC84" s="149"/>
      <c r="AD84" s="150"/>
      <c r="AE84" s="149"/>
      <c r="AF84" s="150"/>
      <c r="AG84" s="149"/>
      <c r="AH84" s="150"/>
      <c r="AI84" s="149"/>
      <c r="AJ84" s="150"/>
      <c r="AL84" s="211" t="e">
        <f t="shared" ca="1" si="123"/>
        <v>#DIV/0!</v>
      </c>
      <c r="AM84" s="70" t="e">
        <f t="shared" ca="1" si="124"/>
        <v>#DIV/0!</v>
      </c>
      <c r="AN84" s="276" t="e">
        <f t="shared" ca="1" si="125"/>
        <v>#DIV/0!</v>
      </c>
      <c r="AO84" s="276" t="e">
        <f t="shared" ca="1" si="126"/>
        <v>#DIV/0!</v>
      </c>
    </row>
    <row r="85" spans="1:41" s="142" customFormat="1" ht="21" hidden="1" customHeight="1">
      <c r="A85" s="147"/>
      <c r="B85" s="148" t="str">
        <f t="shared" si="127"/>
        <v/>
      </c>
      <c r="C85" s="149" t="str">
        <f t="shared" si="70"/>
        <v/>
      </c>
      <c r="D85" s="150" t="str">
        <f t="shared" si="128"/>
        <v/>
      </c>
      <c r="E85" s="149" t="str">
        <f t="shared" si="71"/>
        <v/>
      </c>
      <c r="F85" s="150" t="str">
        <f t="shared" si="129"/>
        <v/>
      </c>
      <c r="G85" s="149" t="str">
        <f t="shared" ca="1" si="72"/>
        <v/>
      </c>
      <c r="H85" s="150" t="str">
        <f t="shared" si="130"/>
        <v/>
      </c>
      <c r="I85" s="149" t="str">
        <f t="shared" ca="1" si="73"/>
        <v/>
      </c>
      <c r="J85" s="150" t="str">
        <f t="shared" si="131"/>
        <v/>
      </c>
      <c r="K85" s="149" t="str">
        <f t="shared" ca="1" si="74"/>
        <v/>
      </c>
      <c r="L85" s="150" t="str">
        <f t="shared" si="132"/>
        <v/>
      </c>
      <c r="M85" s="149" t="str">
        <f t="shared" ca="1" si="103"/>
        <v/>
      </c>
      <c r="N85" s="150" t="str">
        <f t="shared" si="133"/>
        <v/>
      </c>
      <c r="O85" s="149" t="str">
        <f t="shared" ca="1" si="75"/>
        <v/>
      </c>
      <c r="P85" s="150" t="str">
        <f t="shared" si="134"/>
        <v/>
      </c>
      <c r="Q85" s="149" t="str">
        <f t="shared" ca="1" si="106"/>
        <v/>
      </c>
      <c r="R85" s="150" t="str">
        <f t="shared" si="135"/>
        <v/>
      </c>
      <c r="S85" s="149" t="str">
        <f t="shared" ca="1" si="108"/>
        <v/>
      </c>
      <c r="T85" s="150" t="str">
        <f t="shared" si="136"/>
        <v/>
      </c>
      <c r="U85" s="149" t="str">
        <f t="shared" ca="1" si="110"/>
        <v/>
      </c>
      <c r="V85" s="150" t="str">
        <f t="shared" si="137"/>
        <v/>
      </c>
      <c r="W85" s="149"/>
      <c r="X85" s="150"/>
      <c r="Y85" s="149"/>
      <c r="Z85" s="150"/>
      <c r="AA85" s="149"/>
      <c r="AB85" s="150"/>
      <c r="AC85" s="149"/>
      <c r="AD85" s="150"/>
      <c r="AE85" s="149"/>
      <c r="AF85" s="150"/>
      <c r="AG85" s="149"/>
      <c r="AH85" s="150"/>
      <c r="AI85" s="149"/>
      <c r="AJ85" s="150"/>
      <c r="AL85" s="211" t="e">
        <f t="shared" ca="1" si="123"/>
        <v>#DIV/0!</v>
      </c>
      <c r="AM85" s="70" t="e">
        <f t="shared" ca="1" si="124"/>
        <v>#DIV/0!</v>
      </c>
      <c r="AN85" s="276" t="e">
        <f t="shared" ca="1" si="125"/>
        <v>#DIV/0!</v>
      </c>
      <c r="AO85" s="276" t="e">
        <f t="shared" ca="1" si="126"/>
        <v>#DIV/0!</v>
      </c>
    </row>
    <row r="86" spans="1:41" s="142" customFormat="1" ht="21" hidden="1" customHeight="1">
      <c r="A86" s="147"/>
      <c r="B86" s="148" t="str">
        <f t="shared" si="127"/>
        <v/>
      </c>
      <c r="C86" s="149" t="str">
        <f t="shared" si="70"/>
        <v/>
      </c>
      <c r="D86" s="150" t="str">
        <f t="shared" si="128"/>
        <v/>
      </c>
      <c r="E86" s="149" t="str">
        <f t="shared" si="71"/>
        <v/>
      </c>
      <c r="F86" s="150" t="str">
        <f t="shared" si="129"/>
        <v/>
      </c>
      <c r="G86" s="149" t="str">
        <f t="shared" ca="1" si="72"/>
        <v/>
      </c>
      <c r="H86" s="150" t="str">
        <f t="shared" si="130"/>
        <v/>
      </c>
      <c r="I86" s="149" t="str">
        <f t="shared" ca="1" si="73"/>
        <v/>
      </c>
      <c r="J86" s="150" t="str">
        <f t="shared" si="131"/>
        <v/>
      </c>
      <c r="K86" s="149" t="str">
        <f t="shared" ca="1" si="74"/>
        <v/>
      </c>
      <c r="L86" s="150" t="str">
        <f t="shared" si="132"/>
        <v/>
      </c>
      <c r="M86" s="149" t="str">
        <f t="shared" ca="1" si="103"/>
        <v/>
      </c>
      <c r="N86" s="150" t="str">
        <f t="shared" si="133"/>
        <v/>
      </c>
      <c r="O86" s="149" t="str">
        <f t="shared" ca="1" si="75"/>
        <v/>
      </c>
      <c r="P86" s="150" t="str">
        <f t="shared" si="134"/>
        <v/>
      </c>
      <c r="Q86" s="149" t="str">
        <f t="shared" ca="1" si="106"/>
        <v/>
      </c>
      <c r="R86" s="150" t="str">
        <f t="shared" si="135"/>
        <v/>
      </c>
      <c r="S86" s="149" t="str">
        <f t="shared" ca="1" si="108"/>
        <v/>
      </c>
      <c r="T86" s="150" t="str">
        <f t="shared" si="136"/>
        <v/>
      </c>
      <c r="U86" s="149" t="str">
        <f t="shared" ca="1" si="110"/>
        <v/>
      </c>
      <c r="V86" s="150" t="str">
        <f t="shared" si="137"/>
        <v/>
      </c>
      <c r="W86" s="149"/>
      <c r="X86" s="150"/>
      <c r="Y86" s="149"/>
      <c r="Z86" s="150"/>
      <c r="AA86" s="149"/>
      <c r="AB86" s="150"/>
      <c r="AC86" s="149"/>
      <c r="AD86" s="150"/>
      <c r="AE86" s="149"/>
      <c r="AF86" s="150"/>
      <c r="AG86" s="149"/>
      <c r="AH86" s="150"/>
      <c r="AI86" s="149"/>
      <c r="AJ86" s="150"/>
      <c r="AL86" s="211" t="e">
        <f t="shared" ca="1" si="123"/>
        <v>#DIV/0!</v>
      </c>
      <c r="AM86" s="70" t="e">
        <f t="shared" ca="1" si="124"/>
        <v>#DIV/0!</v>
      </c>
      <c r="AN86" s="276" t="e">
        <f t="shared" ca="1" si="125"/>
        <v>#DIV/0!</v>
      </c>
      <c r="AO86" s="276" t="e">
        <f t="shared" ca="1" si="126"/>
        <v>#DIV/0!</v>
      </c>
    </row>
    <row r="87" spans="1:41" s="142" customFormat="1" ht="21" hidden="1" customHeight="1">
      <c r="A87" s="147"/>
      <c r="B87" s="148" t="str">
        <f t="shared" si="127"/>
        <v/>
      </c>
      <c r="C87" s="149" t="str">
        <f t="shared" si="70"/>
        <v/>
      </c>
      <c r="D87" s="150" t="str">
        <f t="shared" si="128"/>
        <v/>
      </c>
      <c r="E87" s="149" t="str">
        <f t="shared" si="71"/>
        <v/>
      </c>
      <c r="F87" s="150" t="str">
        <f t="shared" si="129"/>
        <v/>
      </c>
      <c r="G87" s="149" t="str">
        <f t="shared" ca="1" si="72"/>
        <v/>
      </c>
      <c r="H87" s="150" t="str">
        <f t="shared" si="130"/>
        <v/>
      </c>
      <c r="I87" s="149" t="str">
        <f t="shared" ca="1" si="73"/>
        <v/>
      </c>
      <c r="J87" s="150" t="str">
        <f t="shared" si="131"/>
        <v/>
      </c>
      <c r="K87" s="149" t="str">
        <f t="shared" ca="1" si="74"/>
        <v/>
      </c>
      <c r="L87" s="150" t="str">
        <f t="shared" si="132"/>
        <v/>
      </c>
      <c r="M87" s="149" t="str">
        <f t="shared" ca="1" si="103"/>
        <v/>
      </c>
      <c r="N87" s="150" t="str">
        <f t="shared" si="133"/>
        <v/>
      </c>
      <c r="O87" s="149" t="str">
        <f t="shared" ca="1" si="75"/>
        <v/>
      </c>
      <c r="P87" s="150" t="str">
        <f t="shared" si="134"/>
        <v/>
      </c>
      <c r="Q87" s="149" t="str">
        <f t="shared" ca="1" si="106"/>
        <v/>
      </c>
      <c r="R87" s="150" t="str">
        <f t="shared" si="135"/>
        <v/>
      </c>
      <c r="S87" s="149" t="str">
        <f t="shared" ca="1" si="108"/>
        <v/>
      </c>
      <c r="T87" s="150" t="str">
        <f t="shared" si="136"/>
        <v/>
      </c>
      <c r="U87" s="149" t="str">
        <f t="shared" ca="1" si="110"/>
        <v/>
      </c>
      <c r="V87" s="150" t="str">
        <f t="shared" si="137"/>
        <v/>
      </c>
      <c r="W87" s="149"/>
      <c r="X87" s="150"/>
      <c r="Y87" s="149"/>
      <c r="Z87" s="150"/>
      <c r="AA87" s="149"/>
      <c r="AB87" s="150"/>
      <c r="AC87" s="149"/>
      <c r="AD87" s="150"/>
      <c r="AE87" s="149"/>
      <c r="AF87" s="150"/>
      <c r="AG87" s="149"/>
      <c r="AH87" s="150"/>
      <c r="AI87" s="149"/>
      <c r="AJ87" s="150"/>
      <c r="AL87" s="211" t="e">
        <f t="shared" ca="1" si="123"/>
        <v>#DIV/0!</v>
      </c>
      <c r="AM87" s="70" t="e">
        <f t="shared" ca="1" si="124"/>
        <v>#DIV/0!</v>
      </c>
      <c r="AN87" s="276" t="e">
        <f t="shared" ca="1" si="125"/>
        <v>#DIV/0!</v>
      </c>
      <c r="AO87" s="276" t="e">
        <f t="shared" ca="1" si="126"/>
        <v>#DIV/0!</v>
      </c>
    </row>
    <row r="88" spans="1:41" s="142" customFormat="1" ht="21" hidden="1" customHeight="1">
      <c r="A88" s="147"/>
      <c r="B88" s="148" t="str">
        <f t="shared" si="127"/>
        <v/>
      </c>
      <c r="C88" s="149" t="str">
        <f t="shared" si="70"/>
        <v/>
      </c>
      <c r="D88" s="150" t="str">
        <f t="shared" si="128"/>
        <v/>
      </c>
      <c r="E88" s="149" t="str">
        <f t="shared" si="71"/>
        <v/>
      </c>
      <c r="F88" s="150" t="str">
        <f t="shared" si="129"/>
        <v/>
      </c>
      <c r="G88" s="149" t="str">
        <f t="shared" ca="1" si="72"/>
        <v/>
      </c>
      <c r="H88" s="150" t="str">
        <f t="shared" si="130"/>
        <v/>
      </c>
      <c r="I88" s="149" t="str">
        <f t="shared" ca="1" si="73"/>
        <v/>
      </c>
      <c r="J88" s="150" t="str">
        <f t="shared" si="131"/>
        <v/>
      </c>
      <c r="K88" s="149" t="str">
        <f t="shared" ca="1" si="74"/>
        <v/>
      </c>
      <c r="L88" s="150" t="str">
        <f t="shared" si="132"/>
        <v/>
      </c>
      <c r="M88" s="149" t="str">
        <f t="shared" ca="1" si="103"/>
        <v/>
      </c>
      <c r="N88" s="150" t="str">
        <f t="shared" si="133"/>
        <v/>
      </c>
      <c r="O88" s="149" t="str">
        <f t="shared" ca="1" si="75"/>
        <v/>
      </c>
      <c r="P88" s="150" t="str">
        <f t="shared" si="134"/>
        <v/>
      </c>
      <c r="Q88" s="149" t="str">
        <f t="shared" ca="1" si="106"/>
        <v/>
      </c>
      <c r="R88" s="150" t="str">
        <f t="shared" si="135"/>
        <v/>
      </c>
      <c r="S88" s="149" t="str">
        <f t="shared" ca="1" si="108"/>
        <v/>
      </c>
      <c r="T88" s="150" t="str">
        <f t="shared" si="136"/>
        <v/>
      </c>
      <c r="U88" s="149" t="str">
        <f t="shared" ca="1" si="110"/>
        <v/>
      </c>
      <c r="V88" s="150" t="str">
        <f t="shared" si="137"/>
        <v/>
      </c>
      <c r="W88" s="149"/>
      <c r="X88" s="150"/>
      <c r="Y88" s="149"/>
      <c r="Z88" s="150"/>
      <c r="AA88" s="149"/>
      <c r="AB88" s="150"/>
      <c r="AC88" s="149"/>
      <c r="AD88" s="150"/>
      <c r="AE88" s="149"/>
      <c r="AF88" s="150"/>
      <c r="AG88" s="149"/>
      <c r="AH88" s="150"/>
      <c r="AI88" s="149"/>
      <c r="AJ88" s="150"/>
      <c r="AL88" s="211" t="e">
        <f t="shared" ca="1" si="123"/>
        <v>#DIV/0!</v>
      </c>
      <c r="AM88" s="70" t="e">
        <f t="shared" ca="1" si="124"/>
        <v>#DIV/0!</v>
      </c>
      <c r="AN88" s="276" t="e">
        <f t="shared" ca="1" si="125"/>
        <v>#DIV/0!</v>
      </c>
      <c r="AO88" s="276" t="e">
        <f t="shared" ca="1" si="126"/>
        <v>#DIV/0!</v>
      </c>
    </row>
    <row r="89" spans="1:41" s="142" customFormat="1" ht="21" hidden="1" customHeight="1">
      <c r="A89" s="147"/>
      <c r="B89" s="148" t="str">
        <f t="shared" si="127"/>
        <v/>
      </c>
      <c r="C89" s="149" t="str">
        <f t="shared" si="70"/>
        <v/>
      </c>
      <c r="D89" s="150" t="str">
        <f t="shared" si="128"/>
        <v/>
      </c>
      <c r="E89" s="149" t="str">
        <f t="shared" si="71"/>
        <v/>
      </c>
      <c r="F89" s="150" t="str">
        <f t="shared" si="129"/>
        <v/>
      </c>
      <c r="G89" s="149" t="str">
        <f t="shared" ca="1" si="72"/>
        <v/>
      </c>
      <c r="H89" s="150" t="str">
        <f t="shared" si="130"/>
        <v/>
      </c>
      <c r="I89" s="149" t="str">
        <f t="shared" ca="1" si="73"/>
        <v/>
      </c>
      <c r="J89" s="150" t="str">
        <f t="shared" si="131"/>
        <v/>
      </c>
      <c r="K89" s="149" t="str">
        <f t="shared" ca="1" si="74"/>
        <v/>
      </c>
      <c r="L89" s="150" t="str">
        <f t="shared" si="132"/>
        <v/>
      </c>
      <c r="M89" s="149" t="str">
        <f t="shared" ca="1" si="103"/>
        <v/>
      </c>
      <c r="N89" s="150" t="str">
        <f t="shared" si="133"/>
        <v/>
      </c>
      <c r="O89" s="149" t="str">
        <f t="shared" ca="1" si="75"/>
        <v/>
      </c>
      <c r="P89" s="150" t="str">
        <f t="shared" si="134"/>
        <v/>
      </c>
      <c r="Q89" s="149" t="str">
        <f t="shared" ca="1" si="106"/>
        <v/>
      </c>
      <c r="R89" s="150" t="str">
        <f t="shared" si="135"/>
        <v/>
      </c>
      <c r="S89" s="149" t="str">
        <f t="shared" ca="1" si="108"/>
        <v/>
      </c>
      <c r="T89" s="150" t="str">
        <f t="shared" si="136"/>
        <v/>
      </c>
      <c r="U89" s="149" t="str">
        <f t="shared" ca="1" si="110"/>
        <v/>
      </c>
      <c r="V89" s="150" t="str">
        <f t="shared" si="137"/>
        <v/>
      </c>
      <c r="W89" s="149"/>
      <c r="X89" s="150"/>
      <c r="Y89" s="149"/>
      <c r="Z89" s="150"/>
      <c r="AA89" s="149"/>
      <c r="AB89" s="150"/>
      <c r="AC89" s="149"/>
      <c r="AD89" s="150"/>
      <c r="AE89" s="149"/>
      <c r="AF89" s="150"/>
      <c r="AG89" s="149"/>
      <c r="AH89" s="150"/>
      <c r="AI89" s="149"/>
      <c r="AJ89" s="150"/>
      <c r="AL89" s="211" t="e">
        <f t="shared" ca="1" si="123"/>
        <v>#DIV/0!</v>
      </c>
      <c r="AM89" s="70" t="e">
        <f t="shared" ca="1" si="124"/>
        <v>#DIV/0!</v>
      </c>
      <c r="AN89" s="276" t="e">
        <f t="shared" ca="1" si="125"/>
        <v>#DIV/0!</v>
      </c>
      <c r="AO89" s="276" t="e">
        <f t="shared" ca="1" si="126"/>
        <v>#DIV/0!</v>
      </c>
    </row>
    <row r="90" spans="1:41" s="142" customFormat="1" ht="21" hidden="1" customHeight="1">
      <c r="A90" s="147"/>
      <c r="B90" s="148" t="str">
        <f t="shared" si="127"/>
        <v/>
      </c>
      <c r="C90" s="149" t="str">
        <f t="shared" si="70"/>
        <v/>
      </c>
      <c r="D90" s="150" t="str">
        <f t="shared" si="128"/>
        <v/>
      </c>
      <c r="E90" s="149" t="str">
        <f t="shared" si="71"/>
        <v/>
      </c>
      <c r="F90" s="150" t="str">
        <f t="shared" si="129"/>
        <v/>
      </c>
      <c r="G90" s="149" t="str">
        <f t="shared" ca="1" si="72"/>
        <v/>
      </c>
      <c r="H90" s="150" t="str">
        <f t="shared" si="130"/>
        <v/>
      </c>
      <c r="I90" s="149" t="str">
        <f t="shared" ca="1" si="73"/>
        <v/>
      </c>
      <c r="J90" s="150" t="str">
        <f t="shared" si="131"/>
        <v/>
      </c>
      <c r="K90" s="149" t="str">
        <f t="shared" ca="1" si="74"/>
        <v/>
      </c>
      <c r="L90" s="150" t="str">
        <f t="shared" si="132"/>
        <v/>
      </c>
      <c r="M90" s="149" t="str">
        <f t="shared" ca="1" si="103"/>
        <v/>
      </c>
      <c r="N90" s="150" t="str">
        <f t="shared" si="133"/>
        <v/>
      </c>
      <c r="O90" s="149" t="str">
        <f t="shared" ca="1" si="75"/>
        <v/>
      </c>
      <c r="P90" s="150" t="str">
        <f t="shared" si="134"/>
        <v/>
      </c>
      <c r="Q90" s="149" t="str">
        <f t="shared" ca="1" si="106"/>
        <v/>
      </c>
      <c r="R90" s="150" t="str">
        <f t="shared" si="135"/>
        <v/>
      </c>
      <c r="S90" s="149" t="str">
        <f t="shared" ca="1" si="108"/>
        <v/>
      </c>
      <c r="T90" s="150" t="str">
        <f t="shared" si="136"/>
        <v/>
      </c>
      <c r="U90" s="149" t="str">
        <f t="shared" ca="1" si="110"/>
        <v/>
      </c>
      <c r="V90" s="150" t="str">
        <f t="shared" si="137"/>
        <v/>
      </c>
      <c r="W90" s="149"/>
      <c r="X90" s="150"/>
      <c r="Y90" s="149"/>
      <c r="Z90" s="150"/>
      <c r="AA90" s="149"/>
      <c r="AB90" s="150"/>
      <c r="AC90" s="149"/>
      <c r="AD90" s="150"/>
      <c r="AE90" s="149"/>
      <c r="AF90" s="150"/>
      <c r="AG90" s="149"/>
      <c r="AH90" s="150"/>
      <c r="AI90" s="149"/>
      <c r="AJ90" s="150"/>
      <c r="AL90" s="211" t="e">
        <f t="shared" ca="1" si="123"/>
        <v>#DIV/0!</v>
      </c>
      <c r="AM90" s="70" t="e">
        <f t="shared" ca="1" si="124"/>
        <v>#DIV/0!</v>
      </c>
      <c r="AN90" s="276" t="e">
        <f t="shared" ca="1" si="125"/>
        <v>#DIV/0!</v>
      </c>
      <c r="AO90" s="276" t="e">
        <f t="shared" ca="1" si="126"/>
        <v>#DIV/0!</v>
      </c>
    </row>
    <row r="91" spans="1:41" s="142" customFormat="1" ht="21" hidden="1" customHeight="1">
      <c r="A91" s="147"/>
      <c r="B91" s="148" t="str">
        <f t="shared" si="127"/>
        <v/>
      </c>
      <c r="C91" s="149" t="str">
        <f t="shared" si="70"/>
        <v/>
      </c>
      <c r="D91" s="150" t="str">
        <f t="shared" si="128"/>
        <v/>
      </c>
      <c r="E91" s="149" t="str">
        <f t="shared" si="71"/>
        <v/>
      </c>
      <c r="F91" s="150" t="str">
        <f t="shared" si="129"/>
        <v/>
      </c>
      <c r="G91" s="149" t="str">
        <f t="shared" ca="1" si="72"/>
        <v/>
      </c>
      <c r="H91" s="150" t="str">
        <f t="shared" si="130"/>
        <v/>
      </c>
      <c r="I91" s="149" t="str">
        <f t="shared" ca="1" si="73"/>
        <v/>
      </c>
      <c r="J91" s="150" t="str">
        <f t="shared" si="131"/>
        <v/>
      </c>
      <c r="K91" s="149" t="str">
        <f t="shared" ca="1" si="74"/>
        <v/>
      </c>
      <c r="L91" s="150" t="str">
        <f t="shared" si="132"/>
        <v/>
      </c>
      <c r="M91" s="149" t="str">
        <f t="shared" ca="1" si="103"/>
        <v/>
      </c>
      <c r="N91" s="150" t="str">
        <f t="shared" si="133"/>
        <v/>
      </c>
      <c r="O91" s="149" t="str">
        <f t="shared" ca="1" si="75"/>
        <v/>
      </c>
      <c r="P91" s="150" t="str">
        <f t="shared" si="134"/>
        <v/>
      </c>
      <c r="Q91" s="149" t="str">
        <f t="shared" ca="1" si="106"/>
        <v/>
      </c>
      <c r="R91" s="150" t="str">
        <f t="shared" si="135"/>
        <v/>
      </c>
      <c r="S91" s="149" t="str">
        <f t="shared" ca="1" si="108"/>
        <v/>
      </c>
      <c r="T91" s="150" t="str">
        <f t="shared" si="136"/>
        <v/>
      </c>
      <c r="U91" s="149" t="str">
        <f t="shared" ca="1" si="110"/>
        <v/>
      </c>
      <c r="V91" s="150" t="str">
        <f t="shared" si="137"/>
        <v/>
      </c>
      <c r="W91" s="149"/>
      <c r="X91" s="150"/>
      <c r="Y91" s="149"/>
      <c r="Z91" s="150"/>
      <c r="AA91" s="149"/>
      <c r="AB91" s="150"/>
      <c r="AC91" s="149"/>
      <c r="AD91" s="150"/>
      <c r="AE91" s="149"/>
      <c r="AF91" s="150"/>
      <c r="AG91" s="149"/>
      <c r="AH91" s="150"/>
      <c r="AI91" s="149"/>
      <c r="AJ91" s="150"/>
      <c r="AL91" s="211" t="e">
        <f t="shared" ca="1" si="123"/>
        <v>#DIV/0!</v>
      </c>
      <c r="AM91" s="70" t="e">
        <f t="shared" ca="1" si="124"/>
        <v>#DIV/0!</v>
      </c>
      <c r="AN91" s="276" t="e">
        <f t="shared" ca="1" si="125"/>
        <v>#DIV/0!</v>
      </c>
      <c r="AO91" s="276" t="e">
        <f t="shared" ca="1" si="126"/>
        <v>#DIV/0!</v>
      </c>
    </row>
    <row r="92" spans="1:41" s="142" customFormat="1" ht="21" hidden="1" customHeight="1">
      <c r="A92" s="147"/>
      <c r="B92" s="148" t="str">
        <f t="shared" si="127"/>
        <v/>
      </c>
      <c r="C92" s="149" t="str">
        <f t="shared" si="70"/>
        <v/>
      </c>
      <c r="D92" s="150" t="str">
        <f t="shared" si="128"/>
        <v/>
      </c>
      <c r="E92" s="149" t="str">
        <f t="shared" si="71"/>
        <v/>
      </c>
      <c r="F92" s="150" t="str">
        <f t="shared" si="129"/>
        <v/>
      </c>
      <c r="G92" s="149" t="str">
        <f t="shared" ca="1" si="72"/>
        <v/>
      </c>
      <c r="H92" s="150" t="str">
        <f t="shared" si="130"/>
        <v/>
      </c>
      <c r="I92" s="149" t="str">
        <f t="shared" ca="1" si="73"/>
        <v/>
      </c>
      <c r="J92" s="150" t="str">
        <f t="shared" si="131"/>
        <v/>
      </c>
      <c r="K92" s="149" t="str">
        <f t="shared" ca="1" si="74"/>
        <v/>
      </c>
      <c r="L92" s="150" t="str">
        <f t="shared" si="132"/>
        <v/>
      </c>
      <c r="M92" s="149" t="str">
        <f t="shared" ca="1" si="103"/>
        <v/>
      </c>
      <c r="N92" s="150" t="str">
        <f t="shared" si="133"/>
        <v/>
      </c>
      <c r="O92" s="149" t="str">
        <f t="shared" ca="1" si="75"/>
        <v/>
      </c>
      <c r="P92" s="150" t="str">
        <f t="shared" si="134"/>
        <v/>
      </c>
      <c r="Q92" s="149" t="str">
        <f t="shared" ca="1" si="106"/>
        <v/>
      </c>
      <c r="R92" s="150" t="str">
        <f t="shared" si="135"/>
        <v/>
      </c>
      <c r="S92" s="149" t="str">
        <f t="shared" ca="1" si="108"/>
        <v/>
      </c>
      <c r="T92" s="150" t="str">
        <f t="shared" si="136"/>
        <v/>
      </c>
      <c r="U92" s="149" t="str">
        <f t="shared" ca="1" si="110"/>
        <v/>
      </c>
      <c r="V92" s="150" t="str">
        <f t="shared" si="137"/>
        <v/>
      </c>
      <c r="W92" s="149"/>
      <c r="X92" s="150"/>
      <c r="Y92" s="149"/>
      <c r="Z92" s="150"/>
      <c r="AA92" s="149"/>
      <c r="AB92" s="150"/>
      <c r="AC92" s="149"/>
      <c r="AD92" s="150"/>
      <c r="AE92" s="149"/>
      <c r="AF92" s="150"/>
      <c r="AG92" s="149"/>
      <c r="AH92" s="150"/>
      <c r="AI92" s="149"/>
      <c r="AJ92" s="150"/>
      <c r="AL92" s="211" t="e">
        <f t="shared" ca="1" si="123"/>
        <v>#DIV/0!</v>
      </c>
      <c r="AM92" s="70" t="e">
        <f t="shared" ca="1" si="124"/>
        <v>#DIV/0!</v>
      </c>
      <c r="AN92" s="276" t="e">
        <f t="shared" ca="1" si="125"/>
        <v>#DIV/0!</v>
      </c>
      <c r="AO92" s="276" t="e">
        <f t="shared" ca="1" si="126"/>
        <v>#DIV/0!</v>
      </c>
    </row>
    <row r="93" spans="1:41" s="142" customFormat="1" ht="21" hidden="1" customHeight="1">
      <c r="A93" s="147"/>
      <c r="B93" s="148"/>
      <c r="C93" s="149"/>
      <c r="D93" s="150"/>
      <c r="E93" s="149"/>
      <c r="F93" s="150"/>
      <c r="G93" s="149"/>
      <c r="H93" s="150"/>
      <c r="I93" s="149"/>
      <c r="J93" s="150"/>
      <c r="K93" s="149"/>
      <c r="L93" s="150"/>
      <c r="M93" s="149"/>
      <c r="N93" s="150"/>
      <c r="O93" s="149"/>
      <c r="P93" s="150"/>
      <c r="Q93" s="149"/>
      <c r="R93" s="150"/>
      <c r="S93" s="149"/>
      <c r="T93" s="150"/>
      <c r="U93" s="149"/>
      <c r="V93" s="150"/>
      <c r="W93" s="149"/>
      <c r="X93" s="150"/>
      <c r="Y93" s="149"/>
      <c r="Z93" s="150"/>
      <c r="AA93" s="149"/>
      <c r="AB93" s="150"/>
      <c r="AC93" s="149"/>
      <c r="AD93" s="150"/>
      <c r="AE93" s="149"/>
      <c r="AF93" s="150"/>
      <c r="AG93" s="149"/>
      <c r="AH93" s="150"/>
      <c r="AI93" s="149"/>
      <c r="AJ93" s="150"/>
      <c r="AL93" s="211" t="e">
        <f t="shared" si="123"/>
        <v>#DIV/0!</v>
      </c>
      <c r="AM93" s="70" t="e">
        <f t="shared" si="124"/>
        <v>#DIV/0!</v>
      </c>
      <c r="AN93" s="276" t="e">
        <f t="shared" si="125"/>
        <v>#DIV/0!</v>
      </c>
      <c r="AO93" s="276" t="e">
        <f t="shared" si="126"/>
        <v>#DIV/0!</v>
      </c>
    </row>
    <row r="94" spans="1:41" s="142" customFormat="1" ht="21" hidden="1" customHeight="1">
      <c r="A94" s="147"/>
      <c r="B94" s="148"/>
      <c r="C94" s="149"/>
      <c r="D94" s="150"/>
      <c r="E94" s="149"/>
      <c r="F94" s="150"/>
      <c r="G94" s="149"/>
      <c r="H94" s="150"/>
      <c r="I94" s="149"/>
      <c r="J94" s="150"/>
      <c r="K94" s="149"/>
      <c r="L94" s="150"/>
      <c r="M94" s="149"/>
      <c r="N94" s="150"/>
      <c r="O94" s="149"/>
      <c r="P94" s="150"/>
      <c r="Q94" s="149"/>
      <c r="R94" s="150"/>
      <c r="S94" s="149"/>
      <c r="T94" s="150"/>
      <c r="U94" s="149"/>
      <c r="V94" s="150"/>
      <c r="W94" s="149"/>
      <c r="X94" s="150"/>
      <c r="Y94" s="149"/>
      <c r="Z94" s="150"/>
      <c r="AA94" s="149"/>
      <c r="AB94" s="150"/>
      <c r="AC94" s="149"/>
      <c r="AD94" s="150"/>
      <c r="AE94" s="149"/>
      <c r="AF94" s="150"/>
      <c r="AG94" s="149"/>
      <c r="AH94" s="150"/>
      <c r="AI94" s="149"/>
      <c r="AJ94" s="150"/>
      <c r="AL94" s="211" t="e">
        <f t="shared" si="123"/>
        <v>#DIV/0!</v>
      </c>
      <c r="AM94" s="70" t="e">
        <f t="shared" si="124"/>
        <v>#DIV/0!</v>
      </c>
      <c r="AN94" s="276" t="e">
        <f t="shared" si="125"/>
        <v>#DIV/0!</v>
      </c>
      <c r="AO94" s="276" t="e">
        <f t="shared" si="126"/>
        <v>#DIV/0!</v>
      </c>
    </row>
    <row r="95" spans="1:41" s="142" customFormat="1" ht="21" hidden="1" customHeight="1">
      <c r="A95" s="147"/>
      <c r="B95" s="148"/>
      <c r="C95" s="149"/>
      <c r="D95" s="150"/>
      <c r="E95" s="149"/>
      <c r="F95" s="150"/>
      <c r="G95" s="149"/>
      <c r="H95" s="150"/>
      <c r="I95" s="149"/>
      <c r="J95" s="150"/>
      <c r="K95" s="149"/>
      <c r="L95" s="150"/>
      <c r="M95" s="149"/>
      <c r="N95" s="150"/>
      <c r="O95" s="149"/>
      <c r="P95" s="150"/>
      <c r="Q95" s="149"/>
      <c r="R95" s="150"/>
      <c r="S95" s="149"/>
      <c r="T95" s="150"/>
      <c r="U95" s="149"/>
      <c r="V95" s="150"/>
      <c r="W95" s="149"/>
      <c r="X95" s="150"/>
      <c r="Y95" s="149"/>
      <c r="Z95" s="150"/>
      <c r="AA95" s="149"/>
      <c r="AB95" s="150"/>
      <c r="AC95" s="149"/>
      <c r="AD95" s="150"/>
      <c r="AE95" s="149"/>
      <c r="AF95" s="150"/>
      <c r="AG95" s="149"/>
      <c r="AH95" s="150"/>
      <c r="AI95" s="149"/>
      <c r="AJ95" s="150"/>
      <c r="AL95" s="211" t="e">
        <f t="shared" si="123"/>
        <v>#DIV/0!</v>
      </c>
      <c r="AM95" s="70" t="e">
        <f t="shared" si="124"/>
        <v>#DIV/0!</v>
      </c>
      <c r="AN95" s="276" t="e">
        <f t="shared" si="125"/>
        <v>#DIV/0!</v>
      </c>
      <c r="AO95" s="276" t="e">
        <f t="shared" si="126"/>
        <v>#DIV/0!</v>
      </c>
    </row>
    <row r="96" spans="1:41" s="142" customFormat="1" ht="21" hidden="1" customHeight="1">
      <c r="A96" s="147"/>
      <c r="B96" s="148"/>
      <c r="C96" s="149"/>
      <c r="D96" s="150"/>
      <c r="E96" s="149"/>
      <c r="F96" s="150"/>
      <c r="G96" s="149"/>
      <c r="H96" s="150"/>
      <c r="I96" s="149"/>
      <c r="J96" s="150"/>
      <c r="K96" s="149"/>
      <c r="L96" s="150"/>
      <c r="M96" s="149"/>
      <c r="N96" s="150"/>
      <c r="O96" s="149"/>
      <c r="P96" s="150"/>
      <c r="Q96" s="149"/>
      <c r="R96" s="150"/>
      <c r="S96" s="149"/>
      <c r="T96" s="150"/>
      <c r="U96" s="149"/>
      <c r="V96" s="150"/>
      <c r="W96" s="149"/>
      <c r="X96" s="150"/>
      <c r="Y96" s="149"/>
      <c r="Z96" s="150"/>
      <c r="AA96" s="149"/>
      <c r="AB96" s="150"/>
      <c r="AC96" s="149"/>
      <c r="AD96" s="150"/>
      <c r="AE96" s="149"/>
      <c r="AF96" s="150"/>
      <c r="AG96" s="149"/>
      <c r="AH96" s="150"/>
      <c r="AI96" s="149"/>
      <c r="AJ96" s="150"/>
      <c r="AL96" s="211" t="e">
        <f t="shared" si="123"/>
        <v>#DIV/0!</v>
      </c>
      <c r="AM96" s="70" t="e">
        <f t="shared" si="124"/>
        <v>#DIV/0!</v>
      </c>
      <c r="AN96" s="276" t="e">
        <f t="shared" si="125"/>
        <v>#DIV/0!</v>
      </c>
      <c r="AO96" s="276" t="e">
        <f t="shared" si="126"/>
        <v>#DIV/0!</v>
      </c>
    </row>
    <row r="97" spans="1:41" s="142" customFormat="1" ht="21" hidden="1" customHeight="1">
      <c r="A97" s="147"/>
      <c r="B97" s="148"/>
      <c r="C97" s="149"/>
      <c r="D97" s="150"/>
      <c r="E97" s="149"/>
      <c r="F97" s="150"/>
      <c r="G97" s="149"/>
      <c r="H97" s="150"/>
      <c r="I97" s="149"/>
      <c r="J97" s="150"/>
      <c r="K97" s="149"/>
      <c r="L97" s="150"/>
      <c r="M97" s="149"/>
      <c r="N97" s="150"/>
      <c r="O97" s="149"/>
      <c r="P97" s="150"/>
      <c r="Q97" s="149"/>
      <c r="R97" s="150"/>
      <c r="S97" s="149"/>
      <c r="T97" s="150"/>
      <c r="U97" s="149"/>
      <c r="V97" s="150"/>
      <c r="W97" s="149"/>
      <c r="X97" s="150"/>
      <c r="Y97" s="149"/>
      <c r="Z97" s="150"/>
      <c r="AA97" s="149"/>
      <c r="AB97" s="150"/>
      <c r="AC97" s="149"/>
      <c r="AD97" s="150"/>
      <c r="AE97" s="149"/>
      <c r="AF97" s="150"/>
      <c r="AG97" s="149"/>
      <c r="AH97" s="150"/>
      <c r="AI97" s="149"/>
      <c r="AJ97" s="150"/>
      <c r="AL97" s="211" t="e">
        <f t="shared" si="123"/>
        <v>#DIV/0!</v>
      </c>
      <c r="AM97" s="70" t="e">
        <f t="shared" si="124"/>
        <v>#DIV/0!</v>
      </c>
      <c r="AN97" s="276" t="e">
        <f t="shared" si="125"/>
        <v>#DIV/0!</v>
      </c>
      <c r="AO97" s="276" t="e">
        <f t="shared" si="126"/>
        <v>#DIV/0!</v>
      </c>
    </row>
    <row r="98" spans="1:41" s="142" customFormat="1" ht="21" hidden="1" customHeight="1">
      <c r="A98" s="147"/>
      <c r="B98" s="148"/>
      <c r="C98" s="149"/>
      <c r="D98" s="150"/>
      <c r="E98" s="149"/>
      <c r="F98" s="150"/>
      <c r="G98" s="149"/>
      <c r="H98" s="150"/>
      <c r="I98" s="149"/>
      <c r="J98" s="150"/>
      <c r="K98" s="149"/>
      <c r="L98" s="150"/>
      <c r="M98" s="149"/>
      <c r="N98" s="150"/>
      <c r="O98" s="149"/>
      <c r="P98" s="150"/>
      <c r="Q98" s="149"/>
      <c r="R98" s="150"/>
      <c r="S98" s="149"/>
      <c r="T98" s="150"/>
      <c r="U98" s="149"/>
      <c r="V98" s="150"/>
      <c r="W98" s="149"/>
      <c r="X98" s="150"/>
      <c r="Y98" s="149"/>
      <c r="Z98" s="150"/>
      <c r="AA98" s="149"/>
      <c r="AB98" s="150"/>
      <c r="AC98" s="149"/>
      <c r="AD98" s="150"/>
      <c r="AE98" s="149"/>
      <c r="AF98" s="150"/>
      <c r="AG98" s="149"/>
      <c r="AH98" s="150"/>
      <c r="AI98" s="149"/>
      <c r="AJ98" s="150"/>
      <c r="AL98" s="211" t="e">
        <f t="shared" si="123"/>
        <v>#DIV/0!</v>
      </c>
      <c r="AM98" s="70" t="e">
        <f t="shared" si="124"/>
        <v>#DIV/0!</v>
      </c>
      <c r="AN98" s="276" t="e">
        <f t="shared" si="125"/>
        <v>#DIV/0!</v>
      </c>
      <c r="AO98" s="276" t="e">
        <f t="shared" si="126"/>
        <v>#DIV/0!</v>
      </c>
    </row>
    <row r="99" spans="1:41" s="142" customFormat="1" ht="21" hidden="1" customHeight="1">
      <c r="A99" s="147"/>
      <c r="B99" s="148"/>
      <c r="C99" s="149"/>
      <c r="D99" s="150"/>
      <c r="E99" s="149"/>
      <c r="F99" s="150"/>
      <c r="G99" s="149"/>
      <c r="H99" s="150"/>
      <c r="I99" s="149"/>
      <c r="J99" s="150"/>
      <c r="K99" s="149"/>
      <c r="L99" s="150"/>
      <c r="M99" s="149"/>
      <c r="N99" s="150"/>
      <c r="O99" s="149"/>
      <c r="P99" s="150"/>
      <c r="Q99" s="149"/>
      <c r="R99" s="150"/>
      <c r="S99" s="149"/>
      <c r="T99" s="150"/>
      <c r="U99" s="149"/>
      <c r="V99" s="150"/>
      <c r="W99" s="149"/>
      <c r="X99" s="150"/>
      <c r="Y99" s="149"/>
      <c r="Z99" s="150"/>
      <c r="AA99" s="149"/>
      <c r="AB99" s="150"/>
      <c r="AC99" s="149"/>
      <c r="AD99" s="150"/>
      <c r="AE99" s="149"/>
      <c r="AF99" s="150"/>
      <c r="AG99" s="149"/>
      <c r="AH99" s="150"/>
      <c r="AI99" s="149"/>
      <c r="AJ99" s="150"/>
      <c r="AL99" s="211" t="e">
        <f t="shared" si="123"/>
        <v>#DIV/0!</v>
      </c>
      <c r="AM99" s="70" t="e">
        <f t="shared" si="124"/>
        <v>#DIV/0!</v>
      </c>
      <c r="AN99" s="276" t="e">
        <f t="shared" si="125"/>
        <v>#DIV/0!</v>
      </c>
      <c r="AO99" s="276" t="e">
        <f t="shared" si="126"/>
        <v>#DIV/0!</v>
      </c>
    </row>
    <row r="100" spans="1:41" s="142" customFormat="1" ht="21" hidden="1" customHeight="1">
      <c r="A100" s="147"/>
      <c r="B100" s="148"/>
      <c r="C100" s="149"/>
      <c r="D100" s="150"/>
      <c r="E100" s="149"/>
      <c r="F100" s="150"/>
      <c r="G100" s="149"/>
      <c r="H100" s="150"/>
      <c r="I100" s="149"/>
      <c r="J100" s="150"/>
      <c r="K100" s="149"/>
      <c r="L100" s="150"/>
      <c r="M100" s="149"/>
      <c r="N100" s="150"/>
      <c r="O100" s="149"/>
      <c r="P100" s="150"/>
      <c r="Q100" s="149"/>
      <c r="R100" s="150"/>
      <c r="S100" s="149"/>
      <c r="T100" s="150"/>
      <c r="U100" s="149"/>
      <c r="V100" s="150"/>
      <c r="W100" s="149"/>
      <c r="X100" s="150"/>
      <c r="Y100" s="149"/>
      <c r="Z100" s="150"/>
      <c r="AA100" s="149"/>
      <c r="AB100" s="150"/>
      <c r="AC100" s="149"/>
      <c r="AD100" s="150"/>
      <c r="AE100" s="149"/>
      <c r="AF100" s="150"/>
      <c r="AG100" s="149"/>
      <c r="AH100" s="150"/>
      <c r="AI100" s="149"/>
      <c r="AJ100" s="150"/>
      <c r="AL100" s="211" t="e">
        <f t="shared" si="123"/>
        <v>#DIV/0!</v>
      </c>
      <c r="AM100" s="70" t="e">
        <f t="shared" si="124"/>
        <v>#DIV/0!</v>
      </c>
      <c r="AN100" s="276" t="e">
        <f t="shared" si="125"/>
        <v>#DIV/0!</v>
      </c>
      <c r="AO100" s="276" t="e">
        <f t="shared" si="126"/>
        <v>#DIV/0!</v>
      </c>
    </row>
    <row r="101" spans="1:41" s="142" customFormat="1" ht="21" hidden="1" customHeight="1">
      <c r="A101" s="147"/>
      <c r="B101" s="148" t="str">
        <f t="shared" si="97"/>
        <v/>
      </c>
      <c r="C101" s="149" t="str">
        <f t="shared" si="70"/>
        <v/>
      </c>
      <c r="D101" s="150" t="str">
        <f t="shared" si="98"/>
        <v/>
      </c>
      <c r="E101" s="149" t="str">
        <f t="shared" si="71"/>
        <v/>
      </c>
      <c r="F101" s="150" t="str">
        <f>IF($A101="","",IF(E101="","",IF($K$4="Media aritmética",(E101&lt;=$B101)*($E$5/$B$4)+(E101&gt;$B101)*0,IF(AND(ROUND(AVERAGE($C101,$E101,$G101,$I101,$K101,$M101,$O101,$Q101,$S101,$U101,$W101,$Y101,$AA101,$AC101,$AE101,$AG101,$AI101),2)-$B101/2&lt;=E101,(ROUND(AVERAGE($C101,$E101,$G101,$I101,$K101,$M101,$O101,$Q101,$S101,$U101,$W101,$Y101,$AA101,$AC101,$AE101,$AG101,$AI101),2)+$B101/2&gt;=E101)),($E$5/$B$4),0))))</f>
        <v/>
      </c>
      <c r="G101" s="149" t="str">
        <f t="shared" ca="1" si="72"/>
        <v/>
      </c>
      <c r="H101" s="150" t="str">
        <f t="shared" si="100"/>
        <v/>
      </c>
      <c r="I101" s="149" t="str">
        <f t="shared" ca="1" si="73"/>
        <v/>
      </c>
      <c r="J101" s="150" t="str">
        <f t="shared" si="101"/>
        <v/>
      </c>
      <c r="K101" s="149" t="str">
        <f t="shared" ca="1" si="74"/>
        <v/>
      </c>
      <c r="L101" s="150" t="str">
        <f t="shared" si="102"/>
        <v/>
      </c>
      <c r="M101" s="149" t="str">
        <f t="shared" ref="M101" ca="1" si="138">IF($M$8="Habilitado",IF($A101="","",ROUND(VLOOKUP($A101,OFERENTE_6,15,FALSE),2)),"")</f>
        <v/>
      </c>
      <c r="N101" s="150" t="str">
        <f t="shared" si="104"/>
        <v/>
      </c>
      <c r="O101" s="149" t="str">
        <f t="shared" ca="1" si="75"/>
        <v/>
      </c>
      <c r="P101" s="150" t="str">
        <f t="shared" si="105"/>
        <v/>
      </c>
      <c r="Q101" s="149" t="str">
        <f ca="1">IF($Q$8="Habilitado",IF($A101="","",ROUND(VLOOKUP($A101,OFERENTE_7,15,FALSE),2)),"")</f>
        <v/>
      </c>
      <c r="R101" s="150" t="str">
        <f t="shared" si="107"/>
        <v/>
      </c>
      <c r="S101" s="149" t="str">
        <f ca="1">IF($S$8="Habilitado",IF($A101="","",ROUND(VLOOKUP($A101,OFERENTE_7,15,FALSE),2)),"")</f>
        <v/>
      </c>
      <c r="T101" s="150" t="str">
        <f t="shared" si="109"/>
        <v/>
      </c>
      <c r="U101" s="149" t="str">
        <f ca="1">IF($U$8="Habilitado",IF($A101="","",ROUND(VLOOKUP($A101,OFERENTE_7,15,FALSE),2)),"")</f>
        <v/>
      </c>
      <c r="V101" s="150" t="str">
        <f t="shared" si="111"/>
        <v/>
      </c>
      <c r="W101" s="149" t="str">
        <f t="shared" ref="W101" ca="1" si="139">IF($W$8="Habilitado",IF($A101="","",ROUND(VLOOKUP($A101,OFERENTE_11,14,FALSE),2)),"")</f>
        <v/>
      </c>
      <c r="X101" s="150" t="str">
        <f t="shared" si="113"/>
        <v/>
      </c>
      <c r="Y101" s="149" t="str">
        <f t="shared" ref="Y101" ca="1" si="140">IF($Y$8="Habilitado",IF($A101="","",ROUND(VLOOKUP($A101,OFERENTE_12,14,FALSE),2)),"")</f>
        <v/>
      </c>
      <c r="Z101" s="150" t="str">
        <f t="shared" si="115"/>
        <v/>
      </c>
      <c r="AA101" s="149" t="str">
        <f t="shared" ref="AA101" ca="1" si="141">IF($AA$8="Habilitado",IF($A101="","",ROUND(VLOOKUP($A101,OFERENTE_13,14,FALSE),2)),"")</f>
        <v/>
      </c>
      <c r="AB101" s="150" t="str">
        <f t="shared" si="117"/>
        <v/>
      </c>
      <c r="AC101" s="149" t="str">
        <f t="shared" ref="AC101" ca="1" si="142">IF($AC$8="Habilitado",IF($A101="","",ROUND(VLOOKUP($A101,OFERENTE_14,14,FALSE),2)),"")</f>
        <v/>
      </c>
      <c r="AD101" s="150" t="str">
        <f t="shared" si="119"/>
        <v/>
      </c>
      <c r="AE101" s="149" t="str">
        <f t="shared" si="94"/>
        <v/>
      </c>
      <c r="AF101" s="150" t="str">
        <f t="shared" si="120"/>
        <v/>
      </c>
      <c r="AG101" s="149" t="str">
        <f t="shared" si="95"/>
        <v/>
      </c>
      <c r="AH101" s="150" t="str">
        <f t="shared" si="121"/>
        <v/>
      </c>
      <c r="AI101" s="149" t="str">
        <f t="shared" si="96"/>
        <v/>
      </c>
      <c r="AJ101" s="150" t="str">
        <f t="shared" si="122"/>
        <v/>
      </c>
      <c r="AL101" s="211" t="e">
        <f t="shared" ca="1" si="123"/>
        <v>#DIV/0!</v>
      </c>
      <c r="AM101" s="70" t="e">
        <f t="shared" ca="1" si="124"/>
        <v>#DIV/0!</v>
      </c>
      <c r="AN101" s="276" t="e">
        <f t="shared" ca="1" si="125"/>
        <v>#DIV/0!</v>
      </c>
      <c r="AO101" s="276" t="e">
        <f t="shared" ca="1" si="126"/>
        <v>#DIV/0!</v>
      </c>
    </row>
    <row r="102" spans="1:41" ht="21" customHeight="1"/>
    <row r="103" spans="1:41" ht="21.75" customHeight="1">
      <c r="A103" s="865" t="s">
        <v>130</v>
      </c>
      <c r="B103" s="866"/>
      <c r="C103" s="867"/>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row>
    <row r="104" spans="1:41" s="142" customFormat="1" ht="21" customHeight="1">
      <c r="A104" s="277">
        <v>1.3</v>
      </c>
      <c r="B104" s="148" t="e">
        <f ca="1">IF(A104="","",IF($K$4="Media aritmética",ROUND(AVERAGE(C104,E104,G104,I104,K104,M104,O104,Q104,S104,U104,W104,Y104,AA104,AC104,AE104,AG104,AI104),2),ROUND(_xlfn.STDEV.P(C104,E104,G104,I104,K104,M104,O104,Q104,S104,U104,W104,Y104,AA104,AC104,AE104,AG104,AI104),2)))</f>
        <v>#DIV/0!</v>
      </c>
      <c r="C104" s="149" t="str">
        <f t="shared" ref="C104:C140" si="143">IF($C$8="Habilitado",IF($A104="","",ROUND(VLOOKUP($A104,OFERENTE_1,15,FALSE),2)),"")</f>
        <v/>
      </c>
      <c r="D104" s="150" t="str">
        <f>IF($A104="","",IF(C104="","",IF($K$4="Media aritmética",(C104&lt;=$B104)*($G$5/$B$5)+(C104&gt;$B104)*0,IF(AND(ROUND(AVERAGE($C104,$E104,$G104,$I104,$K104,$M104,$O104,$Q104,$S104,$U104,$W104,$Y104,$AA104,$AC104,$AE104,$AG104,$AI104),2)-$B104/2&lt;=C104,(ROUND(AVERAGE($C104,$E104,$G104,$I104,$K104,$M104,$O104,$Q104,$S104,$U104,$W104,$Y104,$AA104,$AC104,$AE104,$AG104,$AI104),2)+$B104/2&gt;=C104)),($G$5/$B$5),0))))</f>
        <v/>
      </c>
      <c r="E104" s="149" t="str">
        <f t="shared" ref="E104:E140" si="144">IF($E$8="Habilitado",IF($A104="","",ROUND(VLOOKUP($A104,OFERENTE_2,15,FALSE),2)),"")</f>
        <v/>
      </c>
      <c r="F104" s="150" t="str">
        <f>IF($A104="","",IF(E104="","",IF($K$4="Media aritmética",(E104&lt;=$B104)*($G$5/$B$5)+(E104&gt;$B104)*0,IF(AND(ROUND(AVERAGE($C104,$E104,$G104,$I104,$K104,$M104,$O104,$Q104,$S104,$U104,$W104,$Y104,$AA104,$AC104,$AE104,$AG104,$AI104),2)-$B104/2&lt;=E104,(ROUND(AVERAGE($C104,$E104,$G104,$I104,$K104,$M104,$O104,$Q104,$S104,$U104,$W104,$Y104,$AA104,$AC104,$AE104,$AG104,$AI104),2)+$B104/2&gt;=E104)),($G$5/$B$5),0))))</f>
        <v/>
      </c>
      <c r="G104" s="149" t="str">
        <f t="shared" ref="G104:G140" ca="1" si="145">IF($G$8="Habilitado",IF($A104="","",ROUND(VLOOKUP($A104,OFERENTE_3,15,FALSE),2)),"")</f>
        <v/>
      </c>
      <c r="H104" s="150" t="str">
        <f ca="1">IF($A104="","",IF(G104="","",IF($K$4="Media aritmética",(G104&lt;=$B104)*($G$5/$B$5)+(G104&gt;$B104)*0,IF(AND(ROUND(AVERAGE($C104,$E104,$G104,$I104,$K104,$M104,$O104,$Q104,$S104,$U104,$W104,$Y104,$AA104,$AC104,$AE104,$AG104,$AI104),2)-$B104/2&lt;=G104,(ROUND(AVERAGE($C104,$E104,$G104,$I104,$K104,$M104,$O104,$Q104,$S104,$U104,$W104,$Y104,$AA104,$AC104,$AE104,$AG104,$AI104),2)+$B104/2&gt;=G104)),($G$5/$B$5),0))))</f>
        <v/>
      </c>
      <c r="I104" s="149" t="str">
        <f t="shared" ref="I104:I140" ca="1" si="146">IF($I$8="Habilitado",IF($A104="","",ROUND(VLOOKUP($A104,OFERENTE_4,15,FALSE),2)),"")</f>
        <v/>
      </c>
      <c r="J104" s="150" t="str">
        <f ca="1">IF($A104="","",IF(I104="","",IF($K$4="Media aritmética",(I104&lt;=$B104)*($G$5/$B$5)+(I104&gt;$B104)*0,IF(AND(ROUND(AVERAGE($C104,$E104,$G104,$I104,$K104,$M104,$O104,$Q104,$S104,$U104,$W104,$Y104,$AA104,$AC104,$AE104,$AG104,$AI104),2)-$B104/2&lt;=I104,(ROUND(AVERAGE($C104,$E104,$G104,$I104,$K104,$M104,$O104,$Q104,$S104,$U104,$W104,$Y104,$AA104,$AC104,$AE104,$AG104,$AI104),2)+$B104/2&gt;=I104)),($G$5/$B$5),0))))</f>
        <v/>
      </c>
      <c r="K104" s="149" t="str">
        <f t="shared" ref="K104:K140" ca="1" si="147">IF($K$8="Habilitado",IF($A104="","",ROUND(VLOOKUP($A104,OFERENTE_5,15,FALSE),2)),"")</f>
        <v/>
      </c>
      <c r="L104" s="150" t="str">
        <f ca="1">IF($A104="","",IF(K104="","",IF($K$4="Media aritmética",(K104&lt;=$B104)*($G$5/$B$5)+(K104&gt;$B104)*0,IF(AND(ROUND(AVERAGE($C104,$E104,$G104,$I104,$K104,$M104,$O104,$Q104,$S104,$U104,$W104,$Y104,$AA104,$AC104,$AE104,$AG104,$AI104),2)-$B104/2&lt;=K104,(ROUND(AVERAGE($C104,$E104,$G104,$I104,$K104,$M104,$O104,$Q104,$S104,$U104,$W104,$Y104,$AA104,$AC104,$AE104,$AG104,$AI104),2)+$B104/2&gt;=K104)),($G$5/$B$5),0))))</f>
        <v/>
      </c>
      <c r="M104" s="149" t="str">
        <f t="shared" ref="M104:M140" ca="1" si="148">IF($M$8="Habilitado",IF($A104="","",ROUND(VLOOKUP($A104,OFERENTE_6,15,FALSE),2)),"")</f>
        <v/>
      </c>
      <c r="N104" s="150" t="str">
        <f ca="1">IF($A104="","",IF(M104="","",IF($K$4="Media aritmética",(M104&lt;=$B104)*($G$5/$B$5)+(M104&gt;$B104)*0,IF(AND(ROUND(AVERAGE($C104,$E104,$G104,$I104,$K104,$M104,$O104,$Q104,$S104,$U104,$W104,$Y104,$AA104,$AC104,$AE104,$AG104,$AI104),2)-$B104/2&lt;=M104,(ROUND(AVERAGE($C104,$E104,$G104,$I104,$K104,$M104,$O104,$Q104,$S104,$U104,$W104,$Y104,$AA104,$AC104,$AE104,$AG104,$AI104),2)+$B104/2&gt;=M104)),($G$5/$B$5),0))))</f>
        <v/>
      </c>
      <c r="O104" s="149" t="str">
        <f t="shared" ref="O104:O136" ca="1" si="149">IF($O$8="Habilitado",IF($A104="","",ROUND(VLOOKUP($A104,OFERENTE_7,15,FALSE),2)),"")</f>
        <v/>
      </c>
      <c r="P104" s="150" t="str">
        <f ca="1">IF($A104="","",IF(O104="","",IF($K$4="Media aritmética",(O104&lt;=$B104)*($G$5/$B$5)+(O104&gt;$B104)*0,IF(AND(ROUND(AVERAGE($C104,$E104,$G104,$I104,$K104,$M104,$O104,$Q104,$S104,$U104,$W104,$Y104,$AA104,$AC104,$AE104,$AG104,$AI104),2)-$B104/2&lt;=O104,(ROUND(AVERAGE($C104,$E104,$G104,$I104,$K104,$M104,$O104,$Q104,$S104,$U104,$W104,$Y104,$AA104,$AC104,$AE104,$AG104,$AI104),2)+$B104/2&gt;=O104)),($G$5/$B$5),0))))</f>
        <v/>
      </c>
      <c r="Q104" s="149" t="str">
        <f t="shared" ref="Q104:Q140" ca="1" si="150">IF($Q$8="Habilitado",IF($A104="","",ROUND(VLOOKUP($A104,OFERENTE_8,15,FALSE),2)),"")</f>
        <v/>
      </c>
      <c r="R104" s="150" t="str">
        <f ca="1">IF($A104="","",IF(Q104="","",IF($K$4="Media aritmética",(Q104&lt;=$B104)*($G$5/$B$5)+(Q104&gt;$B104)*0,IF(AND(ROUND(AVERAGE($C104,$E104,$G104,$I104,$K104,$M104,$O104,$Q104,$S104,$U104,$W104,$Y104,$AA104,$AC104,$AE104,$AG104,$AI104),2)-$B104/2&lt;=Q104,(ROUND(AVERAGE($C104,$E104,$G104,$I104,$K104,$M104,$O104,$Q104,$S104,$U104,$W104,$Y104,$AA104,$AC104,$AE104,$AG104,$AI104),2)+$B104/2&gt;=Q104)),($G$5/$B$5),0))))</f>
        <v/>
      </c>
      <c r="S104" s="149" t="str">
        <f t="shared" ref="S104:S140" ca="1" si="151">IF($S$8="Habilitado",IF($A104="","",ROUND(VLOOKUP($A104,OFERENTE_9,15,FALSE),2)),"")</f>
        <v/>
      </c>
      <c r="T104" s="150" t="str">
        <f ca="1">IF($A104="","",IF(S104="","",IF($K$4="Media aritmética",(S104&lt;=$B104)*($G$5/$B$5)+(S104&gt;$B104)*0,IF(AND(ROUND(AVERAGE($C104,$E104,$G104,$I104,$K104,$M104,$O104,$Q104,$S104,$U104,$W104,$Y104,$AA104,$AC104,$AE104,$AG104,$AI104),2)-$B104/2&lt;=S104,(ROUND(AVERAGE($C104,$E104,$G104,$I104,$K104,$M104,$O104,$Q104,$S104,$U104,$W104,$Y104,$AA104,$AC104,$AE104,$AG104,$AI104),2)+$B104/2&gt;=S104)),($G$5/$B$5),0))))</f>
        <v/>
      </c>
      <c r="U104" s="149" t="str">
        <f t="shared" ref="U104:U140" ca="1" si="152">IF($U$8="Habilitado",IF($A104="","",ROUND(VLOOKUP($A104,OFERENTE_10,15,FALSE),2)),"")</f>
        <v/>
      </c>
      <c r="V104" s="150" t="str">
        <f ca="1">IF($A104="","",IF(U104="","",IF($K$4="Media aritmética",(U104&lt;=$B104)*($G$5/$B$5)+(U104&gt;$B104)*0,IF(AND(ROUND(AVERAGE($C104,$E104,$G104,$I104,$K104,$M104,$O104,$Q104,$S104,$U104,$W104,$Y104,$AA104,$AC104,$AE104,$AG104,$AI104),2)-$B104/2&lt;=U104,(ROUND(AVERAGE($C104,$E104,$G104,$I104,$K104,$M104,$O104,$Q104,$S104,$U104,$W104,$Y104,$AA104,$AC104,$AE104,$AG104,$AI104),2)+$B104/2&gt;=U104)),($G$5/$B$5),0))))</f>
        <v/>
      </c>
      <c r="W104" s="149" t="str">
        <f t="shared" ref="W104:W140" ca="1" si="153">IF($W$8="Habilitado",IF($A104="","",ROUND(VLOOKUP($A104,OFERENTE_11,15,FALSE),2)),"")</f>
        <v/>
      </c>
      <c r="X104" s="150" t="str">
        <f ca="1">IF($A104="","",IF(W104="","",IF($K$4="Media aritmética",(W104&lt;=$B104)*($G$5/$B$5)+(W104&gt;$B104)*0,IF(AND(ROUND(AVERAGE($C104,$E104,$G104,$I104,$K104,$M104,$O104,$Q104,$S104,$U104,$W104,$Y104,$AA104,$AC104,$AE104,$AG104,$AI104),2)-$B104/2&lt;=W104,(ROUND(AVERAGE($C104,$E104,$G104,$I104,$K104,$M104,$O104,$Q104,$S104,$U104,$W104,$Y104,$AA104,$AC104,$AE104,$AG104,$AI104),2)+$B104/2&gt;=W104)),($G$5/$B$5),0))))</f>
        <v/>
      </c>
      <c r="Y104" s="149" t="str">
        <f t="shared" ref="Y104:Y140" ca="1" si="154">IF($Y$8="Habilitado",IF($A104="","",ROUND(VLOOKUP($A104,OFERENTE_12,15,FALSE),2)),"")</f>
        <v/>
      </c>
      <c r="Z104" s="150" t="str">
        <f ca="1">IF($A104="","",IF(Y104="","",IF($K$4="Media aritmética",(Y104&lt;=$B104)*($G$5/$B$5)+(Y104&gt;$B104)*0,IF(AND(ROUND(AVERAGE($C104,$E104,$G104,$I104,$K104,$M104,$O104,$Q104,$S104,$U104,$W104,$Y104,$AA104,$AC104,$AE104,$AG104,$AI104),2)-$B104/2&lt;=Y104,(ROUND(AVERAGE($C104,$E104,$G104,$I104,$K104,$M104,$O104,$Q104,$S104,$U104,$W104,$Y104,$AA104,$AC104,$AE104,$AG104,$AI104),2)+$B104/2&gt;=Y104)),($G$5/$B$5),0))))</f>
        <v/>
      </c>
      <c r="AA104" s="149" t="str">
        <f t="shared" ref="AA104:AA140" ca="1" si="155">IF($AA$8="Habilitado",IF($A104="","",ROUND(VLOOKUP($A104,OFERENTE_13,15,FALSE),2)),"")</f>
        <v/>
      </c>
      <c r="AB104" s="150" t="str">
        <f ca="1">IF($A104="","",IF(AA104="","",IF($K$4="Media aritmética",(AA104&lt;=$B104)*($G$5/$B$5)+(AA104&gt;$B104)*0,IF(AND(ROUND(AVERAGE($C104,$E104,$G104,$I104,$K104,$M104,$O104,$Q104,$S104,$U104,$W104,$Y104,$AA104,$AC104,$AE104,$AG104,$AI104),2)-$B104/2&lt;=AA104,(ROUND(AVERAGE($C104,$E104,$G104,$I104,$K104,$M104,$O104,$Q104,$S104,$U104,$W104,$Y104,$AA104,$AC104,$AE104,$AG104,$AI104),2)+$B104/2&gt;=AA104)),($G$5/$B$5),0))))</f>
        <v/>
      </c>
      <c r="AC104" s="149" t="str">
        <f t="shared" ref="AC104:AC140" ca="1" si="156">IF($AC$8="Habilitado",IF($A104="","",ROUND(VLOOKUP($A104,OFERENTE_14,15,FALSE),2)),"")</f>
        <v/>
      </c>
      <c r="AD104" s="150" t="str">
        <f ca="1">IF($A104="","",IF(AC104="","",IF($K$4="Media aritmética",(AC104&lt;=$B104)*($G$5/$B$5)+(AC104&gt;$B104)*0,IF(AND(ROUND(AVERAGE($C104,$E104,$G104,$I104,$K104,$M104,$O104,$Q104,$S104,$U104,$W104,$Y104,$AA104,$AC104,$AE104,$AG104,$AI104),2)-$B104/2&lt;=AC104,(ROUND(AVERAGE($C104,$E104,$G104,$I104,$K104,$M104,$O104,$Q104,$S104,$U104,$W104,$Y104,$AA104,$AC104,$AE104,$AG104,$AI104),2)+$B104/2&gt;=AC104)),($G$5/$B$5),0))))</f>
        <v/>
      </c>
      <c r="AE104" s="149" t="str">
        <f t="shared" ref="AE104:AE135" si="157">IF($AE$8="Habilitado",IF($A104="","",ROUND(VLOOKUP($A104,OFERENTE_15,14,FALSE),2)),"")</f>
        <v/>
      </c>
      <c r="AF104" s="150" t="str">
        <f>IF($A104="","",IF(AE104="","",IF($K$4="Media aritmética",(AE104&lt;=$B104)*($G$5/$B$5)+(AE104&gt;$B104)*0,IF(AND(ROUND(AVERAGE($C104,$E104,$G104,$I104,$K104,$M104,$O104,$Q104,$S104,$U104,$W104,$Y104,$AA104,$AC104,$AE104,$AG104,$AI104),2)-$B104/2&lt;=AE104,(ROUND(AVERAGE($C104,$E104,$G104,$I104,$K104,$M104,$O104,$Q104,$S104,$U104,$W104,$Y104,$AA104,$AC104,$AE104,$AG104,$AI104),2)+$B104/2&gt;=AE104)),($G$5/$B$5),0))))</f>
        <v/>
      </c>
      <c r="AG104" s="149" t="str">
        <f t="shared" ref="AG104:AG135" si="158">IF($AG$8="Habilitado",IF($A104="","",ROUND(VLOOKUP($A104,OFERENTE_16,14,FALSE),2)),"")</f>
        <v/>
      </c>
      <c r="AH104" s="150" t="str">
        <f>IF($A104="","",IF(AG104="","",IF($K$4="Media aritmética",(AG104&lt;=$B104)*($G$5/$B$5)+(AG104&gt;$B104)*0,IF(AND(ROUND(AVERAGE($C104,$E104,$G104,$I104,$K104,$M104,$O104,$Q104,$S104,$U104,$W104,$Y104,$AA104,$AC104,$AE104,$AG104,$AI104),2)-$B104/2&lt;=AG104,(ROUND(AVERAGE($C104,$E104,$G104,$I104,$K104,$M104,$O104,$Q104,$S104,$U104,$W104,$Y104,$AA104,$AC104,$AE104,$AG104,$AI104),2)+$B104/2&gt;=AG104)),($G$5/$B$5),0))))</f>
        <v/>
      </c>
      <c r="AI104" s="149" t="str">
        <f t="shared" ref="AI104:AI135" si="159">IF($AI$8="Habilitado",IF($A104="","",ROUND(VLOOKUP($A104,OFERENTE_17,14,FALSE),2)),"")</f>
        <v/>
      </c>
      <c r="AJ104" s="150" t="str">
        <f>IF($A104="","",IF(AI104="","",IF($K$4="Media aritmética",(AI104&lt;=$B104)*($G$5/$B$5)+(AI104&gt;$B104)*0,IF(AND(ROUND(AVERAGE($C104,$E104,$G104,$I104,$K104,$M104,$O104,$Q104,$S104,$U104,$W104,$Y104,$AA104,$AC104,$AE104,$AG104,$AI104),2)-$B104/2&lt;=AI104,(ROUND(AVERAGE($C104,$E104,$G104,$I104,$K104,$M104,$O104,$Q104,$S104,$U104,$W104,$Y104,$AA104,$AC104,$AE104,$AG104,$AI104),2)+$B104/2&gt;=AI104)),($G$5/$B$5),0))))</f>
        <v/>
      </c>
      <c r="AL104" s="211" t="e">
        <f t="shared" ref="AL104" ca="1" si="160">AVERAGE(C104,E104,G104,I104,K104,M104,O104,Q104,S104,U104,W104,Y104,AC104)</f>
        <v>#DIV/0!</v>
      </c>
      <c r="AM104" s="70" t="e">
        <f t="shared" ref="AM104" ca="1" si="161">_xlfn.STDEV.P(C104,E104,G104,I104,K104,M104,O104,Q104,S104,U104,W104,Y104,AC104)</f>
        <v>#DIV/0!</v>
      </c>
      <c r="AN104" s="276" t="e">
        <f t="shared" ref="AN104" ca="1" si="162">AL104+(AM104/2)</f>
        <v>#DIV/0!</v>
      </c>
      <c r="AO104" s="276" t="e">
        <f t="shared" ref="AO104" ca="1" si="163">AL104-(AM104/2)</f>
        <v>#DIV/0!</v>
      </c>
    </row>
    <row r="105" spans="1:41" s="142" customFormat="1" ht="21" customHeight="1">
      <c r="A105" s="277">
        <v>1.4</v>
      </c>
      <c r="B105" s="148" t="e">
        <f ca="1">IF(A105="","",IF($K$4="Media aritmética",ROUND(AVERAGE(C105,E105,G105,I105,K105,M105,O105,Q105,S105,U105,W105,Y105,AA105,AC105,AE105,AG105,AI105),2),ROUND(_xlfn.STDEV.P(C105,E105,G105,I105,K105,M105,O105,Q105,S105,U105,W105,Y105,AA105,AC105,AE105,AG105,AI105),2)))</f>
        <v>#DIV/0!</v>
      </c>
      <c r="C105" s="149" t="str">
        <f t="shared" si="143"/>
        <v/>
      </c>
      <c r="D105" s="150" t="str">
        <f t="shared" ref="D105:D135" si="164">IF($A105="","",IF(C105="","",IF($K$4="Media aritmética",(C105&lt;=$B105)*($G$5/$B$5)+(C105&gt;$B105)*0,IF(AND(ROUND(AVERAGE($C105,$E105,$G105,$I105,$K105,$M105,$O105,$Q105,$S105,$U105,$W105,$Y105,$AA105,$AC105,$AE105,$AG105,$AI105),2)-$B105/2&lt;=C105,(ROUND(AVERAGE($C105,$E105,$G105,$I105,$K105,$M105,$O105,$Q105,$S105,$U105,$W105,$Y105,$AA105,$AC105,$AE105,$AG105,$AI105),2)+$B105/2&gt;=C105)),($G$5/$B$5),0))))</f>
        <v/>
      </c>
      <c r="E105" s="149" t="str">
        <f t="shared" si="144"/>
        <v/>
      </c>
      <c r="F105" s="150" t="str">
        <f t="shared" ref="F105:F135" si="165">IF($A105="","",IF(E105="","",IF($K$4="Media aritmética",(E105&lt;=$B105)*($G$5/$B$5)+(E105&gt;$B105)*0,IF(AND(ROUND(AVERAGE($C105,$E105,$G105,$I105,$K105,$M105,$O105,$Q105,$S105,$U105,$W105,$Y105,$AA105,$AC105,$AE105,$AG105,$AI105),2)-$B105/2&lt;=E105,(ROUND(AVERAGE($C105,$E105,$G105,$I105,$K105,$M105,$O105,$Q105,$S105,$U105,$W105,$Y105,$AA105,$AC105,$AE105,$AG105,$AI105),2)+$B105/2&gt;=E105)),($G$5/$B$5),0))))</f>
        <v/>
      </c>
      <c r="G105" s="149" t="str">
        <f t="shared" ca="1" si="145"/>
        <v/>
      </c>
      <c r="H105" s="150" t="str">
        <f t="shared" ref="H105:H135" ca="1" si="166">IF($A105="","",IF(G105="","",IF($K$4="Media aritmética",(G105&lt;=$B105)*($G$5/$B$5)+(G105&gt;$B105)*0,IF(AND(ROUND(AVERAGE($C105,$E105,$G105,$I105,$K105,$M105,$O105,$Q105,$S105,$U105,$W105,$Y105,$AA105,$AC105,$AE105,$AG105,$AI105),2)-$B105/2&lt;=G105,(ROUND(AVERAGE($C105,$E105,$G105,$I105,$K105,$M105,$O105,$Q105,$S105,$U105,$W105,$Y105,$AA105,$AC105,$AE105,$AG105,$AI105),2)+$B105/2&gt;=G105)),($G$5/$B$5),0))))</f>
        <v/>
      </c>
      <c r="I105" s="149" t="str">
        <f t="shared" ca="1" si="146"/>
        <v/>
      </c>
      <c r="J105" s="150" t="str">
        <f t="shared" ref="J105:J135" ca="1" si="167">IF($A105="","",IF(I105="","",IF($K$4="Media aritmética",(I105&lt;=$B105)*($G$5/$B$5)+(I105&gt;$B105)*0,IF(AND(ROUND(AVERAGE($C105,$E105,$G105,$I105,$K105,$M105,$O105,$Q105,$S105,$U105,$W105,$Y105,$AA105,$AC105,$AE105,$AG105,$AI105),2)-$B105/2&lt;=I105,(ROUND(AVERAGE($C105,$E105,$G105,$I105,$K105,$M105,$O105,$Q105,$S105,$U105,$W105,$Y105,$AA105,$AC105,$AE105,$AG105,$AI105),2)+$B105/2&gt;=I105)),($G$5/$B$5),0))))</f>
        <v/>
      </c>
      <c r="K105" s="149" t="str">
        <f t="shared" ca="1" si="147"/>
        <v/>
      </c>
      <c r="L105" s="150" t="str">
        <f t="shared" ref="L105:L135" ca="1" si="168">IF($A105="","",IF(K105="","",IF($K$4="Media aritmética",(K105&lt;=$B105)*($G$5/$B$5)+(K105&gt;$B105)*0,IF(AND(ROUND(AVERAGE($C105,$E105,$G105,$I105,$K105,$M105,$O105,$Q105,$S105,$U105,$W105,$Y105,$AA105,$AC105,$AE105,$AG105,$AI105),2)-$B105/2&lt;=K105,(ROUND(AVERAGE($C105,$E105,$G105,$I105,$K105,$M105,$O105,$Q105,$S105,$U105,$W105,$Y105,$AA105,$AC105,$AE105,$AG105,$AI105),2)+$B105/2&gt;=K105)),($G$5/$B$5),0))))</f>
        <v/>
      </c>
      <c r="M105" s="149" t="str">
        <f t="shared" ca="1" si="148"/>
        <v/>
      </c>
      <c r="N105" s="150" t="str">
        <f t="shared" ref="N105:N135" ca="1" si="169">IF($A105="","",IF(M105="","",IF($K$4="Media aritmética",(M105&lt;=$B105)*($G$5/$B$5)+(M105&gt;$B105)*0,IF(AND(ROUND(AVERAGE($C105,$E105,$G105,$I105,$K105,$M105,$O105,$Q105,$S105,$U105,$W105,$Y105,$AA105,$AC105,$AE105,$AG105,$AI105),2)-$B105/2&lt;=M105,(ROUND(AVERAGE($C105,$E105,$G105,$I105,$K105,$M105,$O105,$Q105,$S105,$U105,$W105,$Y105,$AA105,$AC105,$AE105,$AG105,$AI105),2)+$B105/2&gt;=M105)),($G$5/$B$5),0))))</f>
        <v/>
      </c>
      <c r="O105" s="149" t="str">
        <f t="shared" ca="1" si="149"/>
        <v/>
      </c>
      <c r="P105" s="150" t="str">
        <f t="shared" ref="P105:P135" ca="1" si="170">IF($A105="","",IF(O105="","",IF($K$4="Media aritmética",(O105&lt;=$B105)*($G$5/$B$5)+(O105&gt;$B105)*0,IF(AND(ROUND(AVERAGE($C105,$E105,$G105,$I105,$K105,$M105,$O105,$Q105,$S105,$U105,$W105,$Y105,$AA105,$AC105,$AE105,$AG105,$AI105),2)-$B105/2&lt;=O105,(ROUND(AVERAGE($C105,$E105,$G105,$I105,$K105,$M105,$O105,$Q105,$S105,$U105,$W105,$Y105,$AA105,$AC105,$AE105,$AG105,$AI105),2)+$B105/2&gt;=O105)),($G$5/$B$5),0))))</f>
        <v/>
      </c>
      <c r="Q105" s="149" t="str">
        <f t="shared" ca="1" si="150"/>
        <v/>
      </c>
      <c r="R105" s="150" t="str">
        <f t="shared" ref="R105:R135" ca="1" si="171">IF($A105="","",IF(Q105="","",IF($K$4="Media aritmética",(Q105&lt;=$B105)*($G$5/$B$5)+(Q105&gt;$B105)*0,IF(AND(ROUND(AVERAGE($C105,$E105,$G105,$I105,$K105,$M105,$O105,$Q105,$S105,$U105,$W105,$Y105,$AA105,$AC105,$AE105,$AG105,$AI105),2)-$B105/2&lt;=Q105,(ROUND(AVERAGE($C105,$E105,$G105,$I105,$K105,$M105,$O105,$Q105,$S105,$U105,$W105,$Y105,$AA105,$AC105,$AE105,$AG105,$AI105),2)+$B105/2&gt;=Q105)),($G$5/$B$5),0))))</f>
        <v/>
      </c>
      <c r="S105" s="149" t="str">
        <f t="shared" ca="1" si="151"/>
        <v/>
      </c>
      <c r="T105" s="150" t="str">
        <f t="shared" ref="T105:T135" ca="1" si="172">IF($A105="","",IF(S105="","",IF($K$4="Media aritmética",(S105&lt;=$B105)*($G$5/$B$5)+(S105&gt;$B105)*0,IF(AND(ROUND(AVERAGE($C105,$E105,$G105,$I105,$K105,$M105,$O105,$Q105,$S105,$U105,$W105,$Y105,$AA105,$AC105,$AE105,$AG105,$AI105),2)-$B105/2&lt;=S105,(ROUND(AVERAGE($C105,$E105,$G105,$I105,$K105,$M105,$O105,$Q105,$S105,$U105,$W105,$Y105,$AA105,$AC105,$AE105,$AG105,$AI105),2)+$B105/2&gt;=S105)),($G$5/$B$5),0))))</f>
        <v/>
      </c>
      <c r="U105" s="149" t="str">
        <f t="shared" ca="1" si="152"/>
        <v/>
      </c>
      <c r="V105" s="150" t="str">
        <f t="shared" ref="V105:V135" ca="1" si="173">IF($A105="","",IF(U105="","",IF($K$4="Media aritmética",(U105&lt;=$B105)*($G$5/$B$5)+(U105&gt;$B105)*0,IF(AND(ROUND(AVERAGE($C105,$E105,$G105,$I105,$K105,$M105,$O105,$Q105,$S105,$U105,$W105,$Y105,$AA105,$AC105,$AE105,$AG105,$AI105),2)-$B105/2&lt;=U105,(ROUND(AVERAGE($C105,$E105,$G105,$I105,$K105,$M105,$O105,$Q105,$S105,$U105,$W105,$Y105,$AA105,$AC105,$AE105,$AG105,$AI105),2)+$B105/2&gt;=U105)),($G$5/$B$5),0))))</f>
        <v/>
      </c>
      <c r="W105" s="149" t="str">
        <f t="shared" ca="1" si="153"/>
        <v/>
      </c>
      <c r="X105" s="150" t="str">
        <f t="shared" ref="X105:X135" ca="1" si="174">IF($A105="","",IF(W105="","",IF($K$4="Media aritmética",(W105&lt;=$B105)*($G$5/$B$5)+(W105&gt;$B105)*0,IF(AND(ROUND(AVERAGE($C105,$E105,$G105,$I105,$K105,$M105,$O105,$Q105,$S105,$U105,$W105,$Y105,$AA105,$AC105,$AE105,$AG105,$AI105),2)-$B105/2&lt;=W105,(ROUND(AVERAGE($C105,$E105,$G105,$I105,$K105,$M105,$O105,$Q105,$S105,$U105,$W105,$Y105,$AA105,$AC105,$AE105,$AG105,$AI105),2)+$B105/2&gt;=W105)),($G$5/$B$5),0))))</f>
        <v/>
      </c>
      <c r="Y105" s="149" t="str">
        <f t="shared" ca="1" si="154"/>
        <v/>
      </c>
      <c r="Z105" s="150" t="str">
        <f t="shared" ref="Z105:Z135" ca="1" si="175">IF($A105="","",IF(Y105="","",IF($K$4="Media aritmética",(Y105&lt;=$B105)*($G$5/$B$5)+(Y105&gt;$B105)*0,IF(AND(ROUND(AVERAGE($C105,$E105,$G105,$I105,$K105,$M105,$O105,$Q105,$S105,$U105,$W105,$Y105,$AA105,$AC105,$AE105,$AG105,$AI105),2)-$B105/2&lt;=Y105,(ROUND(AVERAGE($C105,$E105,$G105,$I105,$K105,$M105,$O105,$Q105,$S105,$U105,$W105,$Y105,$AA105,$AC105,$AE105,$AG105,$AI105),2)+$B105/2&gt;=Y105)),($G$5/$B$5),0))))</f>
        <v/>
      </c>
      <c r="AA105" s="149" t="str">
        <f t="shared" ca="1" si="155"/>
        <v/>
      </c>
      <c r="AB105" s="150" t="str">
        <f t="shared" ref="AB105:AB135" ca="1" si="176">IF($A105="","",IF(AA105="","",IF($K$4="Media aritmética",(AA105&lt;=$B105)*($G$5/$B$5)+(AA105&gt;$B105)*0,IF(AND(ROUND(AVERAGE($C105,$E105,$G105,$I105,$K105,$M105,$O105,$Q105,$S105,$U105,$W105,$Y105,$AA105,$AC105,$AE105,$AG105,$AI105),2)-$B105/2&lt;=AA105,(ROUND(AVERAGE($C105,$E105,$G105,$I105,$K105,$M105,$O105,$Q105,$S105,$U105,$W105,$Y105,$AA105,$AC105,$AE105,$AG105,$AI105),2)+$B105/2&gt;=AA105)),($G$5/$B$5),0))))</f>
        <v/>
      </c>
      <c r="AC105" s="149" t="str">
        <f t="shared" ca="1" si="156"/>
        <v/>
      </c>
      <c r="AD105" s="150" t="str">
        <f t="shared" ref="AD105:AD135" ca="1" si="177">IF($A105="","",IF(AC105="","",IF($K$4="Media aritmética",(AC105&lt;=$B105)*($G$5/$B$5)+(AC105&gt;$B105)*0,IF(AND(ROUND(AVERAGE($C105,$E105,$G105,$I105,$K105,$M105,$O105,$Q105,$S105,$U105,$W105,$Y105,$AA105,$AC105,$AE105,$AG105,$AI105),2)-$B105/2&lt;=AC105,(ROUND(AVERAGE($C105,$E105,$G105,$I105,$K105,$M105,$O105,$Q105,$S105,$U105,$W105,$Y105,$AA105,$AC105,$AE105,$AG105,$AI105),2)+$B105/2&gt;=AC105)),($G$5/$B$5),0))))</f>
        <v/>
      </c>
      <c r="AE105" s="149" t="str">
        <f t="shared" si="157"/>
        <v/>
      </c>
      <c r="AF105" s="150" t="str">
        <f t="shared" ref="AF105:AF135" si="178">IF($A105="","",IF(AE105="","",IF($K$4="Media aritmética",(AE105&lt;=$B105)*($G$5/$B$5)+(AE105&gt;$B105)*0,IF(AND(ROUND(AVERAGE($C105,$E105,$G105,$I105,$K105,$M105,$O105,$Q105,$S105,$U105,$W105,$Y105,$AA105,$AC105,$AE105,$AG105,$AI105),2)-$B105/2&lt;=AE105,(ROUND(AVERAGE($C105,$E105,$G105,$I105,$K105,$M105,$O105,$Q105,$S105,$U105,$W105,$Y105,$AA105,$AC105,$AE105,$AG105,$AI105),2)+$B105/2&gt;=AE105)),($G$5/$B$5),0))))</f>
        <v/>
      </c>
      <c r="AG105" s="149" t="str">
        <f t="shared" si="158"/>
        <v/>
      </c>
      <c r="AH105" s="150" t="str">
        <f t="shared" ref="AH105:AH135" si="179">IF($A105="","",IF(AG105="","",IF($K$4="Media aritmética",(AG105&lt;=$B105)*($G$5/$B$5)+(AG105&gt;$B105)*0,IF(AND(ROUND(AVERAGE($C105,$E105,$G105,$I105,$K105,$M105,$O105,$Q105,$S105,$U105,$W105,$Y105,$AA105,$AC105,$AE105,$AG105,$AI105),2)-$B105/2&lt;=AG105,(ROUND(AVERAGE($C105,$E105,$G105,$I105,$K105,$M105,$O105,$Q105,$S105,$U105,$W105,$Y105,$AA105,$AC105,$AE105,$AG105,$AI105),2)+$B105/2&gt;=AG105)),($G$5/$B$5),0))))</f>
        <v/>
      </c>
      <c r="AI105" s="149" t="str">
        <f t="shared" si="159"/>
        <v/>
      </c>
      <c r="AJ105" s="150" t="str">
        <f t="shared" ref="AJ105:AJ135" si="180">IF($A105="","",IF(AI105="","",IF($K$4="Media aritmética",(AI105&lt;=$B105)*($G$5/$B$5)+(AI105&gt;$B105)*0,IF(AND(ROUND(AVERAGE($C105,$E105,$G105,$I105,$K105,$M105,$O105,$Q105,$S105,$U105,$W105,$Y105,$AA105,$AC105,$AE105,$AG105,$AI105),2)-$B105/2&lt;=AI105,(ROUND(AVERAGE($C105,$E105,$G105,$I105,$K105,$M105,$O105,$Q105,$S105,$U105,$W105,$Y105,$AA105,$AC105,$AE105,$AG105,$AI105),2)+$B105/2&gt;=AI105)),($G$5/$B$5),0))))</f>
        <v/>
      </c>
      <c r="AL105" s="211" t="e">
        <f t="shared" ref="AL105:AL140" ca="1" si="181">AVERAGE(C105,E105,G105,I105,K105,M105,O105,Q105,S105,U105,W105,Y105,AC105)</f>
        <v>#DIV/0!</v>
      </c>
      <c r="AM105" s="70" t="e">
        <f t="shared" ref="AM105:AM140" ca="1" si="182">_xlfn.STDEV.P(C105,E105,G105,I105,K105,M105,O105,Q105,S105,U105,W105,Y105,AC105)</f>
        <v>#DIV/0!</v>
      </c>
      <c r="AN105" s="276" t="e">
        <f t="shared" ref="AN105:AN140" ca="1" si="183">AL105+(AM105/2)</f>
        <v>#DIV/0!</v>
      </c>
      <c r="AO105" s="276" t="e">
        <f t="shared" ref="AO105:AO140" ca="1" si="184">AL105-(AM105/2)</f>
        <v>#DIV/0!</v>
      </c>
    </row>
    <row r="106" spans="1:41" s="142" customFormat="1" ht="21" customHeight="1">
      <c r="A106" s="277">
        <v>1.8</v>
      </c>
      <c r="B106" s="148" t="e">
        <f t="shared" ref="B106:B135" ca="1" si="185">IF(A106="","",IF($K$4="Media aritmética",ROUND(AVERAGE(C106,E106,G106,I106,K106,M106,O106,Q106,S106,U106,W106,Y106,AA106,AC106,AE106,AG106,AI106),2),ROUND(_xlfn.STDEV.P(C106,E106,G106,I106,K106,M106,O106,Q106,S106,U106,W106,Y106,AA106,AC106,AE106,AG106,AI106),2)))</f>
        <v>#DIV/0!</v>
      </c>
      <c r="C106" s="149" t="str">
        <f t="shared" si="143"/>
        <v/>
      </c>
      <c r="D106" s="150" t="str">
        <f t="shared" si="164"/>
        <v/>
      </c>
      <c r="E106" s="149" t="str">
        <f t="shared" si="144"/>
        <v/>
      </c>
      <c r="F106" s="150" t="str">
        <f t="shared" si="165"/>
        <v/>
      </c>
      <c r="G106" s="149" t="str">
        <f t="shared" ca="1" si="145"/>
        <v/>
      </c>
      <c r="H106" s="150" t="str">
        <f t="shared" ca="1" si="166"/>
        <v/>
      </c>
      <c r="I106" s="149" t="str">
        <f t="shared" ca="1" si="146"/>
        <v/>
      </c>
      <c r="J106" s="150" t="str">
        <f t="shared" ca="1" si="167"/>
        <v/>
      </c>
      <c r="K106" s="149" t="str">
        <f t="shared" ca="1" si="147"/>
        <v/>
      </c>
      <c r="L106" s="150" t="str">
        <f t="shared" ca="1" si="168"/>
        <v/>
      </c>
      <c r="M106" s="149" t="str">
        <f t="shared" ca="1" si="148"/>
        <v/>
      </c>
      <c r="N106" s="150" t="str">
        <f t="shared" ca="1" si="169"/>
        <v/>
      </c>
      <c r="O106" s="149" t="str">
        <f t="shared" ca="1" si="149"/>
        <v/>
      </c>
      <c r="P106" s="150" t="str">
        <f t="shared" ca="1" si="170"/>
        <v/>
      </c>
      <c r="Q106" s="149" t="str">
        <f t="shared" ca="1" si="150"/>
        <v/>
      </c>
      <c r="R106" s="150" t="str">
        <f t="shared" ca="1" si="171"/>
        <v/>
      </c>
      <c r="S106" s="149" t="str">
        <f t="shared" ca="1" si="151"/>
        <v/>
      </c>
      <c r="T106" s="150" t="str">
        <f t="shared" ca="1" si="172"/>
        <v/>
      </c>
      <c r="U106" s="149" t="str">
        <f t="shared" ca="1" si="152"/>
        <v/>
      </c>
      <c r="V106" s="150" t="str">
        <f t="shared" ca="1" si="173"/>
        <v/>
      </c>
      <c r="W106" s="149" t="str">
        <f t="shared" ca="1" si="153"/>
        <v/>
      </c>
      <c r="X106" s="150" t="str">
        <f t="shared" ca="1" si="174"/>
        <v/>
      </c>
      <c r="Y106" s="149" t="str">
        <f t="shared" ca="1" si="154"/>
        <v/>
      </c>
      <c r="Z106" s="150" t="str">
        <f t="shared" ca="1" si="175"/>
        <v/>
      </c>
      <c r="AA106" s="149" t="str">
        <f t="shared" ca="1" si="155"/>
        <v/>
      </c>
      <c r="AB106" s="150" t="str">
        <f t="shared" ca="1" si="176"/>
        <v/>
      </c>
      <c r="AC106" s="149" t="str">
        <f t="shared" ca="1" si="156"/>
        <v/>
      </c>
      <c r="AD106" s="150" t="str">
        <f t="shared" ca="1" si="177"/>
        <v/>
      </c>
      <c r="AE106" s="149" t="str">
        <f t="shared" si="157"/>
        <v/>
      </c>
      <c r="AF106" s="150" t="str">
        <f t="shared" si="178"/>
        <v/>
      </c>
      <c r="AG106" s="149" t="str">
        <f t="shared" si="158"/>
        <v/>
      </c>
      <c r="AH106" s="150" t="str">
        <f t="shared" si="179"/>
        <v/>
      </c>
      <c r="AI106" s="149" t="str">
        <f t="shared" si="159"/>
        <v/>
      </c>
      <c r="AJ106" s="150" t="str">
        <f t="shared" si="180"/>
        <v/>
      </c>
      <c r="AL106" s="211" t="e">
        <f t="shared" ca="1" si="181"/>
        <v>#DIV/0!</v>
      </c>
      <c r="AM106" s="70" t="e">
        <f t="shared" ca="1" si="182"/>
        <v>#DIV/0!</v>
      </c>
      <c r="AN106" s="276" t="e">
        <f t="shared" ca="1" si="183"/>
        <v>#DIV/0!</v>
      </c>
      <c r="AO106" s="276" t="e">
        <f t="shared" ca="1" si="184"/>
        <v>#DIV/0!</v>
      </c>
    </row>
    <row r="107" spans="1:41" s="142" customFormat="1" ht="21" customHeight="1">
      <c r="A107" s="277">
        <v>1.9</v>
      </c>
      <c r="B107" s="148" t="e">
        <f t="shared" ca="1" si="185"/>
        <v>#DIV/0!</v>
      </c>
      <c r="C107" s="149" t="str">
        <f t="shared" si="143"/>
        <v/>
      </c>
      <c r="D107" s="150" t="str">
        <f t="shared" si="164"/>
        <v/>
      </c>
      <c r="E107" s="149" t="str">
        <f t="shared" si="144"/>
        <v/>
      </c>
      <c r="F107" s="150" t="str">
        <f t="shared" si="165"/>
        <v/>
      </c>
      <c r="G107" s="149" t="str">
        <f t="shared" ca="1" si="145"/>
        <v/>
      </c>
      <c r="H107" s="150" t="str">
        <f t="shared" ca="1" si="166"/>
        <v/>
      </c>
      <c r="I107" s="149" t="str">
        <f t="shared" ca="1" si="146"/>
        <v/>
      </c>
      <c r="J107" s="150" t="str">
        <f t="shared" ca="1" si="167"/>
        <v/>
      </c>
      <c r="K107" s="149" t="str">
        <f t="shared" ca="1" si="147"/>
        <v/>
      </c>
      <c r="L107" s="150" t="str">
        <f t="shared" ca="1" si="168"/>
        <v/>
      </c>
      <c r="M107" s="149" t="str">
        <f t="shared" ca="1" si="148"/>
        <v/>
      </c>
      <c r="N107" s="150" t="str">
        <f t="shared" ca="1" si="169"/>
        <v/>
      </c>
      <c r="O107" s="149" t="str">
        <f t="shared" ca="1" si="149"/>
        <v/>
      </c>
      <c r="P107" s="150" t="str">
        <f t="shared" ca="1" si="170"/>
        <v/>
      </c>
      <c r="Q107" s="149" t="str">
        <f t="shared" ca="1" si="150"/>
        <v/>
      </c>
      <c r="R107" s="150" t="str">
        <f t="shared" ca="1" si="171"/>
        <v/>
      </c>
      <c r="S107" s="149" t="str">
        <f t="shared" ca="1" si="151"/>
        <v/>
      </c>
      <c r="T107" s="150" t="str">
        <f t="shared" ca="1" si="172"/>
        <v/>
      </c>
      <c r="U107" s="149" t="str">
        <f t="shared" ca="1" si="152"/>
        <v/>
      </c>
      <c r="V107" s="150" t="str">
        <f t="shared" ca="1" si="173"/>
        <v/>
      </c>
      <c r="W107" s="149" t="str">
        <f t="shared" ca="1" si="153"/>
        <v/>
      </c>
      <c r="X107" s="150" t="str">
        <f t="shared" ca="1" si="174"/>
        <v/>
      </c>
      <c r="Y107" s="149" t="str">
        <f t="shared" ca="1" si="154"/>
        <v/>
      </c>
      <c r="Z107" s="150" t="str">
        <f t="shared" ca="1" si="175"/>
        <v/>
      </c>
      <c r="AA107" s="149" t="str">
        <f t="shared" ca="1" si="155"/>
        <v/>
      </c>
      <c r="AB107" s="150" t="str">
        <f t="shared" ca="1" si="176"/>
        <v/>
      </c>
      <c r="AC107" s="149" t="str">
        <f t="shared" ca="1" si="156"/>
        <v/>
      </c>
      <c r="AD107" s="150" t="str">
        <f t="shared" ca="1" si="177"/>
        <v/>
      </c>
      <c r="AE107" s="149" t="str">
        <f t="shared" si="157"/>
        <v/>
      </c>
      <c r="AF107" s="150" t="str">
        <f t="shared" si="178"/>
        <v/>
      </c>
      <c r="AG107" s="149" t="str">
        <f t="shared" si="158"/>
        <v/>
      </c>
      <c r="AH107" s="150" t="str">
        <f t="shared" si="179"/>
        <v/>
      </c>
      <c r="AI107" s="149" t="str">
        <f t="shared" si="159"/>
        <v/>
      </c>
      <c r="AJ107" s="150" t="str">
        <f t="shared" si="180"/>
        <v/>
      </c>
      <c r="AL107" s="211" t="e">
        <f t="shared" ca="1" si="181"/>
        <v>#DIV/0!</v>
      </c>
      <c r="AM107" s="70" t="e">
        <f t="shared" ca="1" si="182"/>
        <v>#DIV/0!</v>
      </c>
      <c r="AN107" s="276" t="e">
        <f t="shared" ca="1" si="183"/>
        <v>#DIV/0!</v>
      </c>
      <c r="AO107" s="276" t="e">
        <f t="shared" ca="1" si="184"/>
        <v>#DIV/0!</v>
      </c>
    </row>
    <row r="108" spans="1:41" s="142" customFormat="1" ht="21" hidden="1" customHeight="1">
      <c r="A108" s="277"/>
      <c r="B108" s="148" t="str">
        <f t="shared" si="185"/>
        <v/>
      </c>
      <c r="C108" s="149" t="str">
        <f t="shared" si="143"/>
        <v/>
      </c>
      <c r="D108" s="150" t="str">
        <f t="shared" si="164"/>
        <v/>
      </c>
      <c r="E108" s="149" t="str">
        <f t="shared" si="144"/>
        <v/>
      </c>
      <c r="F108" s="150" t="str">
        <f t="shared" si="165"/>
        <v/>
      </c>
      <c r="G108" s="149" t="str">
        <f t="shared" ca="1" si="145"/>
        <v/>
      </c>
      <c r="H108" s="150" t="str">
        <f t="shared" si="166"/>
        <v/>
      </c>
      <c r="I108" s="149" t="str">
        <f t="shared" ca="1" si="146"/>
        <v/>
      </c>
      <c r="J108" s="150" t="str">
        <f t="shared" si="167"/>
        <v/>
      </c>
      <c r="K108" s="149" t="str">
        <f t="shared" ca="1" si="147"/>
        <v/>
      </c>
      <c r="L108" s="150" t="str">
        <f t="shared" si="168"/>
        <v/>
      </c>
      <c r="M108" s="149" t="str">
        <f t="shared" ca="1" si="148"/>
        <v/>
      </c>
      <c r="N108" s="150" t="str">
        <f t="shared" si="169"/>
        <v/>
      </c>
      <c r="O108" s="149" t="str">
        <f t="shared" ca="1" si="149"/>
        <v/>
      </c>
      <c r="P108" s="150" t="str">
        <f t="shared" si="170"/>
        <v/>
      </c>
      <c r="Q108" s="149" t="str">
        <f t="shared" ca="1" si="150"/>
        <v/>
      </c>
      <c r="R108" s="150" t="str">
        <f t="shared" si="171"/>
        <v/>
      </c>
      <c r="S108" s="149" t="str">
        <f t="shared" ca="1" si="151"/>
        <v/>
      </c>
      <c r="T108" s="150" t="str">
        <f t="shared" si="172"/>
        <v/>
      </c>
      <c r="U108" s="149" t="str">
        <f t="shared" ca="1" si="152"/>
        <v/>
      </c>
      <c r="V108" s="150" t="str">
        <f t="shared" si="173"/>
        <v/>
      </c>
      <c r="W108" s="149" t="str">
        <f t="shared" ca="1" si="153"/>
        <v/>
      </c>
      <c r="X108" s="150" t="str">
        <f t="shared" si="174"/>
        <v/>
      </c>
      <c r="Y108" s="149" t="str">
        <f t="shared" ca="1" si="154"/>
        <v/>
      </c>
      <c r="Z108" s="150" t="str">
        <f t="shared" si="175"/>
        <v/>
      </c>
      <c r="AA108" s="149" t="str">
        <f t="shared" ca="1" si="155"/>
        <v/>
      </c>
      <c r="AB108" s="150" t="str">
        <f t="shared" si="176"/>
        <v/>
      </c>
      <c r="AC108" s="149" t="str">
        <f t="shared" ca="1" si="156"/>
        <v/>
      </c>
      <c r="AD108" s="150" t="str">
        <f t="shared" si="177"/>
        <v/>
      </c>
      <c r="AE108" s="149" t="str">
        <f t="shared" si="157"/>
        <v/>
      </c>
      <c r="AF108" s="150" t="str">
        <f t="shared" si="178"/>
        <v/>
      </c>
      <c r="AG108" s="149" t="str">
        <f t="shared" si="158"/>
        <v/>
      </c>
      <c r="AH108" s="150" t="str">
        <f t="shared" si="179"/>
        <v/>
      </c>
      <c r="AI108" s="149" t="str">
        <f t="shared" si="159"/>
        <v/>
      </c>
      <c r="AJ108" s="150" t="str">
        <f t="shared" si="180"/>
        <v/>
      </c>
      <c r="AL108" s="211" t="e">
        <f t="shared" ca="1" si="181"/>
        <v>#DIV/0!</v>
      </c>
      <c r="AM108" s="70" t="e">
        <f t="shared" ca="1" si="182"/>
        <v>#DIV/0!</v>
      </c>
      <c r="AN108" s="276" t="e">
        <f t="shared" ca="1" si="183"/>
        <v>#DIV/0!</v>
      </c>
      <c r="AO108" s="276" t="e">
        <f t="shared" ca="1" si="184"/>
        <v>#DIV/0!</v>
      </c>
    </row>
    <row r="109" spans="1:41" s="142" customFormat="1" ht="21" hidden="1" customHeight="1">
      <c r="A109" s="277"/>
      <c r="B109" s="148" t="str">
        <f t="shared" si="185"/>
        <v/>
      </c>
      <c r="C109" s="149" t="str">
        <f t="shared" si="143"/>
        <v/>
      </c>
      <c r="D109" s="150" t="str">
        <f t="shared" si="164"/>
        <v/>
      </c>
      <c r="E109" s="149" t="str">
        <f t="shared" si="144"/>
        <v/>
      </c>
      <c r="F109" s="150" t="str">
        <f t="shared" si="165"/>
        <v/>
      </c>
      <c r="G109" s="149" t="str">
        <f t="shared" ca="1" si="145"/>
        <v/>
      </c>
      <c r="H109" s="150" t="str">
        <f t="shared" si="166"/>
        <v/>
      </c>
      <c r="I109" s="149" t="str">
        <f t="shared" ca="1" si="146"/>
        <v/>
      </c>
      <c r="J109" s="150" t="str">
        <f t="shared" si="167"/>
        <v/>
      </c>
      <c r="K109" s="149" t="str">
        <f t="shared" ca="1" si="147"/>
        <v/>
      </c>
      <c r="L109" s="150" t="str">
        <f t="shared" si="168"/>
        <v/>
      </c>
      <c r="M109" s="149" t="str">
        <f t="shared" ca="1" si="148"/>
        <v/>
      </c>
      <c r="N109" s="150" t="str">
        <f t="shared" si="169"/>
        <v/>
      </c>
      <c r="O109" s="149" t="str">
        <f t="shared" ca="1" si="149"/>
        <v/>
      </c>
      <c r="P109" s="150" t="str">
        <f t="shared" si="170"/>
        <v/>
      </c>
      <c r="Q109" s="149" t="str">
        <f t="shared" ca="1" si="150"/>
        <v/>
      </c>
      <c r="R109" s="150" t="str">
        <f t="shared" si="171"/>
        <v/>
      </c>
      <c r="S109" s="149" t="str">
        <f t="shared" ca="1" si="151"/>
        <v/>
      </c>
      <c r="T109" s="150" t="str">
        <f t="shared" si="172"/>
        <v/>
      </c>
      <c r="U109" s="149" t="str">
        <f t="shared" ca="1" si="152"/>
        <v/>
      </c>
      <c r="V109" s="150" t="str">
        <f t="shared" si="173"/>
        <v/>
      </c>
      <c r="W109" s="149" t="str">
        <f t="shared" ca="1" si="153"/>
        <v/>
      </c>
      <c r="X109" s="150" t="str">
        <f t="shared" si="174"/>
        <v/>
      </c>
      <c r="Y109" s="149" t="str">
        <f t="shared" ca="1" si="154"/>
        <v/>
      </c>
      <c r="Z109" s="150" t="str">
        <f t="shared" si="175"/>
        <v/>
      </c>
      <c r="AA109" s="149" t="str">
        <f t="shared" ca="1" si="155"/>
        <v/>
      </c>
      <c r="AB109" s="150" t="str">
        <f t="shared" si="176"/>
        <v/>
      </c>
      <c r="AC109" s="149" t="str">
        <f t="shared" ca="1" si="156"/>
        <v/>
      </c>
      <c r="AD109" s="150" t="str">
        <f t="shared" si="177"/>
        <v/>
      </c>
      <c r="AE109" s="149" t="str">
        <f t="shared" si="157"/>
        <v/>
      </c>
      <c r="AF109" s="150" t="str">
        <f t="shared" si="178"/>
        <v/>
      </c>
      <c r="AG109" s="149" t="str">
        <f t="shared" si="158"/>
        <v/>
      </c>
      <c r="AH109" s="150" t="str">
        <f t="shared" si="179"/>
        <v/>
      </c>
      <c r="AI109" s="149" t="str">
        <f t="shared" si="159"/>
        <v/>
      </c>
      <c r="AJ109" s="150" t="str">
        <f t="shared" si="180"/>
        <v/>
      </c>
      <c r="AL109" s="211" t="e">
        <f t="shared" ca="1" si="181"/>
        <v>#DIV/0!</v>
      </c>
      <c r="AM109" s="70" t="e">
        <f t="shared" ca="1" si="182"/>
        <v>#DIV/0!</v>
      </c>
      <c r="AN109" s="276" t="e">
        <f t="shared" ca="1" si="183"/>
        <v>#DIV/0!</v>
      </c>
      <c r="AO109" s="276" t="e">
        <f t="shared" ca="1" si="184"/>
        <v>#DIV/0!</v>
      </c>
    </row>
    <row r="110" spans="1:41" s="142" customFormat="1" ht="21" hidden="1" customHeight="1">
      <c r="A110" s="277"/>
      <c r="B110" s="148" t="str">
        <f t="shared" si="185"/>
        <v/>
      </c>
      <c r="C110" s="149" t="str">
        <f t="shared" si="143"/>
        <v/>
      </c>
      <c r="D110" s="150" t="str">
        <f t="shared" si="164"/>
        <v/>
      </c>
      <c r="E110" s="149" t="str">
        <f t="shared" si="144"/>
        <v/>
      </c>
      <c r="F110" s="150" t="str">
        <f t="shared" si="165"/>
        <v/>
      </c>
      <c r="G110" s="149" t="str">
        <f t="shared" ca="1" si="145"/>
        <v/>
      </c>
      <c r="H110" s="150" t="str">
        <f t="shared" si="166"/>
        <v/>
      </c>
      <c r="I110" s="149" t="str">
        <f t="shared" ca="1" si="146"/>
        <v/>
      </c>
      <c r="J110" s="150" t="str">
        <f t="shared" si="167"/>
        <v/>
      </c>
      <c r="K110" s="149" t="str">
        <f t="shared" ca="1" si="147"/>
        <v/>
      </c>
      <c r="L110" s="150" t="str">
        <f t="shared" si="168"/>
        <v/>
      </c>
      <c r="M110" s="149" t="str">
        <f t="shared" ca="1" si="148"/>
        <v/>
      </c>
      <c r="N110" s="150" t="str">
        <f t="shared" si="169"/>
        <v/>
      </c>
      <c r="O110" s="149" t="str">
        <f t="shared" ca="1" si="149"/>
        <v/>
      </c>
      <c r="P110" s="150" t="str">
        <f t="shared" si="170"/>
        <v/>
      </c>
      <c r="Q110" s="149" t="str">
        <f t="shared" ca="1" si="150"/>
        <v/>
      </c>
      <c r="R110" s="150" t="str">
        <f t="shared" si="171"/>
        <v/>
      </c>
      <c r="S110" s="149" t="str">
        <f t="shared" ca="1" si="151"/>
        <v/>
      </c>
      <c r="T110" s="150" t="str">
        <f t="shared" si="172"/>
        <v/>
      </c>
      <c r="U110" s="149" t="str">
        <f t="shared" ca="1" si="152"/>
        <v/>
      </c>
      <c r="V110" s="150" t="str">
        <f t="shared" si="173"/>
        <v/>
      </c>
      <c r="W110" s="149" t="str">
        <f t="shared" ca="1" si="153"/>
        <v/>
      </c>
      <c r="X110" s="150" t="str">
        <f t="shared" si="174"/>
        <v/>
      </c>
      <c r="Y110" s="149" t="str">
        <f t="shared" ca="1" si="154"/>
        <v/>
      </c>
      <c r="Z110" s="150" t="str">
        <f t="shared" si="175"/>
        <v/>
      </c>
      <c r="AA110" s="149" t="str">
        <f t="shared" ca="1" si="155"/>
        <v/>
      </c>
      <c r="AB110" s="150" t="str">
        <f t="shared" si="176"/>
        <v/>
      </c>
      <c r="AC110" s="149" t="str">
        <f t="shared" ca="1" si="156"/>
        <v/>
      </c>
      <c r="AD110" s="150" t="str">
        <f t="shared" si="177"/>
        <v/>
      </c>
      <c r="AE110" s="149" t="str">
        <f t="shared" si="157"/>
        <v/>
      </c>
      <c r="AF110" s="150" t="str">
        <f t="shared" si="178"/>
        <v/>
      </c>
      <c r="AG110" s="149" t="str">
        <f t="shared" si="158"/>
        <v/>
      </c>
      <c r="AH110" s="150" t="str">
        <f t="shared" si="179"/>
        <v/>
      </c>
      <c r="AI110" s="149" t="str">
        <f t="shared" si="159"/>
        <v/>
      </c>
      <c r="AJ110" s="150" t="str">
        <f t="shared" si="180"/>
        <v/>
      </c>
      <c r="AL110" s="211" t="e">
        <f t="shared" ca="1" si="181"/>
        <v>#DIV/0!</v>
      </c>
      <c r="AM110" s="70" t="e">
        <f t="shared" ca="1" si="182"/>
        <v>#DIV/0!</v>
      </c>
      <c r="AN110" s="276" t="e">
        <f t="shared" ca="1" si="183"/>
        <v>#DIV/0!</v>
      </c>
      <c r="AO110" s="276" t="e">
        <f t="shared" ca="1" si="184"/>
        <v>#DIV/0!</v>
      </c>
    </row>
    <row r="111" spans="1:41" s="142" customFormat="1" ht="21" hidden="1" customHeight="1">
      <c r="A111" s="277"/>
      <c r="B111" s="148" t="str">
        <f t="shared" si="185"/>
        <v/>
      </c>
      <c r="C111" s="149" t="str">
        <f t="shared" si="143"/>
        <v/>
      </c>
      <c r="D111" s="150" t="str">
        <f t="shared" si="164"/>
        <v/>
      </c>
      <c r="E111" s="149" t="str">
        <f t="shared" si="144"/>
        <v/>
      </c>
      <c r="F111" s="150" t="str">
        <f t="shared" si="165"/>
        <v/>
      </c>
      <c r="G111" s="149" t="str">
        <f t="shared" ca="1" si="145"/>
        <v/>
      </c>
      <c r="H111" s="150" t="str">
        <f t="shared" si="166"/>
        <v/>
      </c>
      <c r="I111" s="149" t="str">
        <f t="shared" ca="1" si="146"/>
        <v/>
      </c>
      <c r="J111" s="150" t="str">
        <f t="shared" si="167"/>
        <v/>
      </c>
      <c r="K111" s="149" t="str">
        <f t="shared" ca="1" si="147"/>
        <v/>
      </c>
      <c r="L111" s="150" t="str">
        <f t="shared" si="168"/>
        <v/>
      </c>
      <c r="M111" s="149" t="str">
        <f t="shared" ca="1" si="148"/>
        <v/>
      </c>
      <c r="N111" s="150" t="str">
        <f t="shared" si="169"/>
        <v/>
      </c>
      <c r="O111" s="149" t="str">
        <f t="shared" ca="1" si="149"/>
        <v/>
      </c>
      <c r="P111" s="150" t="str">
        <f t="shared" si="170"/>
        <v/>
      </c>
      <c r="Q111" s="149" t="str">
        <f t="shared" ca="1" si="150"/>
        <v/>
      </c>
      <c r="R111" s="150" t="str">
        <f t="shared" si="171"/>
        <v/>
      </c>
      <c r="S111" s="149" t="str">
        <f t="shared" ca="1" si="151"/>
        <v/>
      </c>
      <c r="T111" s="150" t="str">
        <f t="shared" si="172"/>
        <v/>
      </c>
      <c r="U111" s="149" t="str">
        <f t="shared" ca="1" si="152"/>
        <v/>
      </c>
      <c r="V111" s="150" t="str">
        <f t="shared" si="173"/>
        <v/>
      </c>
      <c r="W111" s="149" t="str">
        <f t="shared" ca="1" si="153"/>
        <v/>
      </c>
      <c r="X111" s="150" t="str">
        <f t="shared" si="174"/>
        <v/>
      </c>
      <c r="Y111" s="149" t="str">
        <f t="shared" ca="1" si="154"/>
        <v/>
      </c>
      <c r="Z111" s="150" t="str">
        <f t="shared" si="175"/>
        <v/>
      </c>
      <c r="AA111" s="149" t="str">
        <f t="shared" ca="1" si="155"/>
        <v/>
      </c>
      <c r="AB111" s="150" t="str">
        <f t="shared" si="176"/>
        <v/>
      </c>
      <c r="AC111" s="149" t="str">
        <f t="shared" ca="1" si="156"/>
        <v/>
      </c>
      <c r="AD111" s="150" t="str">
        <f t="shared" si="177"/>
        <v/>
      </c>
      <c r="AE111" s="149" t="str">
        <f t="shared" si="157"/>
        <v/>
      </c>
      <c r="AF111" s="150" t="str">
        <f t="shared" si="178"/>
        <v/>
      </c>
      <c r="AG111" s="149" t="str">
        <f t="shared" si="158"/>
        <v/>
      </c>
      <c r="AH111" s="150" t="str">
        <f t="shared" si="179"/>
        <v/>
      </c>
      <c r="AI111" s="149" t="str">
        <f t="shared" si="159"/>
        <v/>
      </c>
      <c r="AJ111" s="150" t="str">
        <f t="shared" si="180"/>
        <v/>
      </c>
      <c r="AL111" s="211" t="e">
        <f t="shared" ca="1" si="181"/>
        <v>#DIV/0!</v>
      </c>
      <c r="AM111" s="70" t="e">
        <f t="shared" ca="1" si="182"/>
        <v>#DIV/0!</v>
      </c>
      <c r="AN111" s="276" t="e">
        <f t="shared" ca="1" si="183"/>
        <v>#DIV/0!</v>
      </c>
      <c r="AO111" s="276" t="e">
        <f t="shared" ca="1" si="184"/>
        <v>#DIV/0!</v>
      </c>
    </row>
    <row r="112" spans="1:41" s="142" customFormat="1" ht="21" hidden="1" customHeight="1">
      <c r="A112" s="277"/>
      <c r="B112" s="148" t="str">
        <f t="shared" si="185"/>
        <v/>
      </c>
      <c r="C112" s="149" t="str">
        <f t="shared" si="143"/>
        <v/>
      </c>
      <c r="D112" s="150" t="str">
        <f t="shared" si="164"/>
        <v/>
      </c>
      <c r="E112" s="149" t="str">
        <f t="shared" si="144"/>
        <v/>
      </c>
      <c r="F112" s="150" t="str">
        <f t="shared" si="165"/>
        <v/>
      </c>
      <c r="G112" s="149" t="str">
        <f t="shared" ca="1" si="145"/>
        <v/>
      </c>
      <c r="H112" s="150" t="str">
        <f t="shared" si="166"/>
        <v/>
      </c>
      <c r="I112" s="149" t="str">
        <f t="shared" ca="1" si="146"/>
        <v/>
      </c>
      <c r="J112" s="150" t="str">
        <f t="shared" si="167"/>
        <v/>
      </c>
      <c r="K112" s="149" t="str">
        <f t="shared" ca="1" si="147"/>
        <v/>
      </c>
      <c r="L112" s="150" t="str">
        <f t="shared" si="168"/>
        <v/>
      </c>
      <c r="M112" s="149" t="str">
        <f t="shared" ca="1" si="148"/>
        <v/>
      </c>
      <c r="N112" s="150" t="str">
        <f t="shared" si="169"/>
        <v/>
      </c>
      <c r="O112" s="149" t="str">
        <f t="shared" ca="1" si="149"/>
        <v/>
      </c>
      <c r="P112" s="150" t="str">
        <f t="shared" si="170"/>
        <v/>
      </c>
      <c r="Q112" s="149" t="str">
        <f t="shared" ca="1" si="150"/>
        <v/>
      </c>
      <c r="R112" s="150" t="str">
        <f t="shared" si="171"/>
        <v/>
      </c>
      <c r="S112" s="149" t="str">
        <f t="shared" ca="1" si="151"/>
        <v/>
      </c>
      <c r="T112" s="150" t="str">
        <f t="shared" si="172"/>
        <v/>
      </c>
      <c r="U112" s="149" t="str">
        <f t="shared" ca="1" si="152"/>
        <v/>
      </c>
      <c r="V112" s="150" t="str">
        <f t="shared" si="173"/>
        <v/>
      </c>
      <c r="W112" s="149" t="str">
        <f t="shared" ca="1" si="153"/>
        <v/>
      </c>
      <c r="X112" s="150" t="str">
        <f t="shared" si="174"/>
        <v/>
      </c>
      <c r="Y112" s="149" t="str">
        <f t="shared" ca="1" si="154"/>
        <v/>
      </c>
      <c r="Z112" s="150" t="str">
        <f t="shared" si="175"/>
        <v/>
      </c>
      <c r="AA112" s="149" t="str">
        <f t="shared" ca="1" si="155"/>
        <v/>
      </c>
      <c r="AB112" s="150" t="str">
        <f t="shared" si="176"/>
        <v/>
      </c>
      <c r="AC112" s="149" t="str">
        <f t="shared" ca="1" si="156"/>
        <v/>
      </c>
      <c r="AD112" s="150" t="str">
        <f t="shared" si="177"/>
        <v/>
      </c>
      <c r="AE112" s="149" t="str">
        <f t="shared" si="157"/>
        <v/>
      </c>
      <c r="AF112" s="150" t="str">
        <f t="shared" si="178"/>
        <v/>
      </c>
      <c r="AG112" s="149" t="str">
        <f t="shared" si="158"/>
        <v/>
      </c>
      <c r="AH112" s="150" t="str">
        <f t="shared" si="179"/>
        <v/>
      </c>
      <c r="AI112" s="149" t="str">
        <f t="shared" si="159"/>
        <v/>
      </c>
      <c r="AJ112" s="150" t="str">
        <f t="shared" si="180"/>
        <v/>
      </c>
      <c r="AL112" s="211" t="e">
        <f t="shared" ca="1" si="181"/>
        <v>#DIV/0!</v>
      </c>
      <c r="AM112" s="70" t="e">
        <f t="shared" ca="1" si="182"/>
        <v>#DIV/0!</v>
      </c>
      <c r="AN112" s="276" t="e">
        <f t="shared" ca="1" si="183"/>
        <v>#DIV/0!</v>
      </c>
      <c r="AO112" s="276" t="e">
        <f t="shared" ca="1" si="184"/>
        <v>#DIV/0!</v>
      </c>
    </row>
    <row r="113" spans="1:41" s="142" customFormat="1" ht="21" hidden="1" customHeight="1">
      <c r="A113" s="277"/>
      <c r="B113" s="148" t="str">
        <f t="shared" si="185"/>
        <v/>
      </c>
      <c r="C113" s="149" t="str">
        <f t="shared" si="143"/>
        <v/>
      </c>
      <c r="D113" s="150" t="str">
        <f t="shared" si="164"/>
        <v/>
      </c>
      <c r="E113" s="149" t="str">
        <f t="shared" si="144"/>
        <v/>
      </c>
      <c r="F113" s="150" t="str">
        <f t="shared" si="165"/>
        <v/>
      </c>
      <c r="G113" s="149" t="str">
        <f t="shared" ca="1" si="145"/>
        <v/>
      </c>
      <c r="H113" s="150" t="str">
        <f t="shared" si="166"/>
        <v/>
      </c>
      <c r="I113" s="149" t="str">
        <f t="shared" ca="1" si="146"/>
        <v/>
      </c>
      <c r="J113" s="150" t="str">
        <f t="shared" si="167"/>
        <v/>
      </c>
      <c r="K113" s="149" t="str">
        <f t="shared" ca="1" si="147"/>
        <v/>
      </c>
      <c r="L113" s="150" t="str">
        <f t="shared" si="168"/>
        <v/>
      </c>
      <c r="M113" s="149" t="str">
        <f t="shared" ca="1" si="148"/>
        <v/>
      </c>
      <c r="N113" s="150" t="str">
        <f t="shared" si="169"/>
        <v/>
      </c>
      <c r="O113" s="149" t="str">
        <f t="shared" ca="1" si="149"/>
        <v/>
      </c>
      <c r="P113" s="150" t="str">
        <f t="shared" si="170"/>
        <v/>
      </c>
      <c r="Q113" s="149" t="str">
        <f t="shared" ca="1" si="150"/>
        <v/>
      </c>
      <c r="R113" s="150" t="str">
        <f t="shared" si="171"/>
        <v/>
      </c>
      <c r="S113" s="149" t="str">
        <f t="shared" ca="1" si="151"/>
        <v/>
      </c>
      <c r="T113" s="150" t="str">
        <f t="shared" si="172"/>
        <v/>
      </c>
      <c r="U113" s="149" t="str">
        <f t="shared" ca="1" si="152"/>
        <v/>
      </c>
      <c r="V113" s="150" t="str">
        <f t="shared" si="173"/>
        <v/>
      </c>
      <c r="W113" s="149" t="str">
        <f t="shared" ca="1" si="153"/>
        <v/>
      </c>
      <c r="X113" s="150" t="str">
        <f t="shared" si="174"/>
        <v/>
      </c>
      <c r="Y113" s="149" t="str">
        <f t="shared" ca="1" si="154"/>
        <v/>
      </c>
      <c r="Z113" s="150" t="str">
        <f t="shared" si="175"/>
        <v/>
      </c>
      <c r="AA113" s="149" t="str">
        <f t="shared" ca="1" si="155"/>
        <v/>
      </c>
      <c r="AB113" s="150" t="str">
        <f t="shared" si="176"/>
        <v/>
      </c>
      <c r="AC113" s="149" t="str">
        <f t="shared" ca="1" si="156"/>
        <v/>
      </c>
      <c r="AD113" s="150" t="str">
        <f t="shared" si="177"/>
        <v/>
      </c>
      <c r="AE113" s="149" t="str">
        <f t="shared" si="157"/>
        <v/>
      </c>
      <c r="AF113" s="150" t="str">
        <f t="shared" si="178"/>
        <v/>
      </c>
      <c r="AG113" s="149" t="str">
        <f t="shared" si="158"/>
        <v/>
      </c>
      <c r="AH113" s="150" t="str">
        <f t="shared" si="179"/>
        <v/>
      </c>
      <c r="AI113" s="149" t="str">
        <f t="shared" si="159"/>
        <v/>
      </c>
      <c r="AJ113" s="150" t="str">
        <f t="shared" si="180"/>
        <v/>
      </c>
      <c r="AL113" s="211" t="e">
        <f t="shared" ca="1" si="181"/>
        <v>#DIV/0!</v>
      </c>
      <c r="AM113" s="70" t="e">
        <f t="shared" ca="1" si="182"/>
        <v>#DIV/0!</v>
      </c>
      <c r="AN113" s="276" t="e">
        <f t="shared" ca="1" si="183"/>
        <v>#DIV/0!</v>
      </c>
      <c r="AO113" s="276" t="e">
        <f t="shared" ca="1" si="184"/>
        <v>#DIV/0!</v>
      </c>
    </row>
    <row r="114" spans="1:41" s="142" customFormat="1" ht="21" hidden="1" customHeight="1">
      <c r="A114" s="277"/>
      <c r="B114" s="148" t="str">
        <f t="shared" si="185"/>
        <v/>
      </c>
      <c r="C114" s="149" t="str">
        <f t="shared" si="143"/>
        <v/>
      </c>
      <c r="D114" s="150" t="str">
        <f t="shared" si="164"/>
        <v/>
      </c>
      <c r="E114" s="149" t="str">
        <f t="shared" si="144"/>
        <v/>
      </c>
      <c r="F114" s="150" t="str">
        <f t="shared" si="165"/>
        <v/>
      </c>
      <c r="G114" s="149" t="str">
        <f t="shared" ca="1" si="145"/>
        <v/>
      </c>
      <c r="H114" s="150" t="str">
        <f t="shared" si="166"/>
        <v/>
      </c>
      <c r="I114" s="149" t="str">
        <f t="shared" ca="1" si="146"/>
        <v/>
      </c>
      <c r="J114" s="150" t="str">
        <f t="shared" si="167"/>
        <v/>
      </c>
      <c r="K114" s="149" t="str">
        <f t="shared" ca="1" si="147"/>
        <v/>
      </c>
      <c r="L114" s="150" t="str">
        <f t="shared" si="168"/>
        <v/>
      </c>
      <c r="M114" s="149" t="str">
        <f t="shared" ca="1" si="148"/>
        <v/>
      </c>
      <c r="N114" s="150" t="str">
        <f t="shared" si="169"/>
        <v/>
      </c>
      <c r="O114" s="149" t="str">
        <f t="shared" ca="1" si="149"/>
        <v/>
      </c>
      <c r="P114" s="150" t="str">
        <f t="shared" si="170"/>
        <v/>
      </c>
      <c r="Q114" s="149" t="str">
        <f t="shared" ca="1" si="150"/>
        <v/>
      </c>
      <c r="R114" s="150" t="str">
        <f t="shared" si="171"/>
        <v/>
      </c>
      <c r="S114" s="149" t="str">
        <f t="shared" ca="1" si="151"/>
        <v/>
      </c>
      <c r="T114" s="150" t="str">
        <f t="shared" si="172"/>
        <v/>
      </c>
      <c r="U114" s="149" t="str">
        <f t="shared" ca="1" si="152"/>
        <v/>
      </c>
      <c r="V114" s="150" t="str">
        <f t="shared" si="173"/>
        <v/>
      </c>
      <c r="W114" s="149" t="str">
        <f t="shared" ca="1" si="153"/>
        <v/>
      </c>
      <c r="X114" s="150" t="str">
        <f t="shared" si="174"/>
        <v/>
      </c>
      <c r="Y114" s="149" t="str">
        <f t="shared" ca="1" si="154"/>
        <v/>
      </c>
      <c r="Z114" s="150" t="str">
        <f t="shared" si="175"/>
        <v/>
      </c>
      <c r="AA114" s="149" t="str">
        <f t="shared" ca="1" si="155"/>
        <v/>
      </c>
      <c r="AB114" s="150" t="str">
        <f t="shared" si="176"/>
        <v/>
      </c>
      <c r="AC114" s="149" t="str">
        <f t="shared" ca="1" si="156"/>
        <v/>
      </c>
      <c r="AD114" s="150" t="str">
        <f t="shared" si="177"/>
        <v/>
      </c>
      <c r="AE114" s="149" t="str">
        <f t="shared" si="157"/>
        <v/>
      </c>
      <c r="AF114" s="150" t="str">
        <f t="shared" si="178"/>
        <v/>
      </c>
      <c r="AG114" s="149" t="str">
        <f t="shared" si="158"/>
        <v/>
      </c>
      <c r="AH114" s="150" t="str">
        <f t="shared" si="179"/>
        <v/>
      </c>
      <c r="AI114" s="149" t="str">
        <f t="shared" si="159"/>
        <v/>
      </c>
      <c r="AJ114" s="150" t="str">
        <f t="shared" si="180"/>
        <v/>
      </c>
      <c r="AL114" s="211" t="e">
        <f t="shared" ca="1" si="181"/>
        <v>#DIV/0!</v>
      </c>
      <c r="AM114" s="70" t="e">
        <f t="shared" ca="1" si="182"/>
        <v>#DIV/0!</v>
      </c>
      <c r="AN114" s="276" t="e">
        <f t="shared" ca="1" si="183"/>
        <v>#DIV/0!</v>
      </c>
      <c r="AO114" s="276" t="e">
        <f t="shared" ca="1" si="184"/>
        <v>#DIV/0!</v>
      </c>
    </row>
    <row r="115" spans="1:41" s="142" customFormat="1" ht="21" hidden="1" customHeight="1">
      <c r="A115" s="277"/>
      <c r="B115" s="148" t="str">
        <f t="shared" si="185"/>
        <v/>
      </c>
      <c r="C115" s="149" t="str">
        <f t="shared" si="143"/>
        <v/>
      </c>
      <c r="D115" s="150" t="str">
        <f t="shared" si="164"/>
        <v/>
      </c>
      <c r="E115" s="149" t="str">
        <f t="shared" si="144"/>
        <v/>
      </c>
      <c r="F115" s="150" t="str">
        <f t="shared" si="165"/>
        <v/>
      </c>
      <c r="G115" s="149" t="str">
        <f t="shared" ca="1" si="145"/>
        <v/>
      </c>
      <c r="H115" s="150" t="str">
        <f t="shared" si="166"/>
        <v/>
      </c>
      <c r="I115" s="149" t="str">
        <f t="shared" ca="1" si="146"/>
        <v/>
      </c>
      <c r="J115" s="150" t="str">
        <f t="shared" si="167"/>
        <v/>
      </c>
      <c r="K115" s="149" t="str">
        <f t="shared" ca="1" si="147"/>
        <v/>
      </c>
      <c r="L115" s="150" t="str">
        <f t="shared" si="168"/>
        <v/>
      </c>
      <c r="M115" s="149" t="str">
        <f t="shared" ca="1" si="148"/>
        <v/>
      </c>
      <c r="N115" s="150" t="str">
        <f t="shared" si="169"/>
        <v/>
      </c>
      <c r="O115" s="149" t="str">
        <f t="shared" ca="1" si="149"/>
        <v/>
      </c>
      <c r="P115" s="150" t="str">
        <f t="shared" si="170"/>
        <v/>
      </c>
      <c r="Q115" s="149" t="str">
        <f t="shared" ca="1" si="150"/>
        <v/>
      </c>
      <c r="R115" s="150" t="str">
        <f t="shared" si="171"/>
        <v/>
      </c>
      <c r="S115" s="149" t="str">
        <f t="shared" ca="1" si="151"/>
        <v/>
      </c>
      <c r="T115" s="150" t="str">
        <f t="shared" si="172"/>
        <v/>
      </c>
      <c r="U115" s="149" t="str">
        <f t="shared" ca="1" si="152"/>
        <v/>
      </c>
      <c r="V115" s="150" t="str">
        <f t="shared" si="173"/>
        <v/>
      </c>
      <c r="W115" s="149" t="str">
        <f t="shared" ca="1" si="153"/>
        <v/>
      </c>
      <c r="X115" s="150" t="str">
        <f t="shared" si="174"/>
        <v/>
      </c>
      <c r="Y115" s="149" t="str">
        <f t="shared" ca="1" si="154"/>
        <v/>
      </c>
      <c r="Z115" s="150" t="str">
        <f t="shared" si="175"/>
        <v/>
      </c>
      <c r="AA115" s="149" t="str">
        <f t="shared" ca="1" si="155"/>
        <v/>
      </c>
      <c r="AB115" s="150" t="str">
        <f t="shared" si="176"/>
        <v/>
      </c>
      <c r="AC115" s="149" t="str">
        <f t="shared" ca="1" si="156"/>
        <v/>
      </c>
      <c r="AD115" s="150" t="str">
        <f t="shared" si="177"/>
        <v/>
      </c>
      <c r="AE115" s="149" t="str">
        <f t="shared" si="157"/>
        <v/>
      </c>
      <c r="AF115" s="150" t="str">
        <f t="shared" si="178"/>
        <v/>
      </c>
      <c r="AG115" s="149" t="str">
        <f t="shared" si="158"/>
        <v/>
      </c>
      <c r="AH115" s="150" t="str">
        <f t="shared" si="179"/>
        <v/>
      </c>
      <c r="AI115" s="149" t="str">
        <f t="shared" si="159"/>
        <v/>
      </c>
      <c r="AJ115" s="150" t="str">
        <f t="shared" si="180"/>
        <v/>
      </c>
      <c r="AL115" s="211" t="e">
        <f t="shared" ca="1" si="181"/>
        <v>#DIV/0!</v>
      </c>
      <c r="AM115" s="70" t="e">
        <f t="shared" ca="1" si="182"/>
        <v>#DIV/0!</v>
      </c>
      <c r="AN115" s="276" t="e">
        <f t="shared" ca="1" si="183"/>
        <v>#DIV/0!</v>
      </c>
      <c r="AO115" s="276" t="e">
        <f t="shared" ca="1" si="184"/>
        <v>#DIV/0!</v>
      </c>
    </row>
    <row r="116" spans="1:41" s="142" customFormat="1" ht="21" hidden="1" customHeight="1">
      <c r="A116" s="277"/>
      <c r="B116" s="148" t="str">
        <f t="shared" si="185"/>
        <v/>
      </c>
      <c r="C116" s="149" t="str">
        <f t="shared" si="143"/>
        <v/>
      </c>
      <c r="D116" s="150" t="str">
        <f t="shared" si="164"/>
        <v/>
      </c>
      <c r="E116" s="149" t="str">
        <f t="shared" si="144"/>
        <v/>
      </c>
      <c r="F116" s="150" t="str">
        <f t="shared" si="165"/>
        <v/>
      </c>
      <c r="G116" s="149" t="str">
        <f t="shared" ca="1" si="145"/>
        <v/>
      </c>
      <c r="H116" s="150" t="str">
        <f t="shared" si="166"/>
        <v/>
      </c>
      <c r="I116" s="149" t="str">
        <f t="shared" ca="1" si="146"/>
        <v/>
      </c>
      <c r="J116" s="150" t="str">
        <f t="shared" si="167"/>
        <v/>
      </c>
      <c r="K116" s="149" t="str">
        <f t="shared" ca="1" si="147"/>
        <v/>
      </c>
      <c r="L116" s="150" t="str">
        <f t="shared" si="168"/>
        <v/>
      </c>
      <c r="M116" s="149" t="str">
        <f t="shared" ca="1" si="148"/>
        <v/>
      </c>
      <c r="N116" s="150" t="str">
        <f t="shared" si="169"/>
        <v/>
      </c>
      <c r="O116" s="149" t="str">
        <f t="shared" ca="1" si="149"/>
        <v/>
      </c>
      <c r="P116" s="150" t="str">
        <f t="shared" si="170"/>
        <v/>
      </c>
      <c r="Q116" s="149" t="str">
        <f t="shared" ca="1" si="150"/>
        <v/>
      </c>
      <c r="R116" s="150" t="str">
        <f t="shared" si="171"/>
        <v/>
      </c>
      <c r="S116" s="149" t="str">
        <f t="shared" ca="1" si="151"/>
        <v/>
      </c>
      <c r="T116" s="150" t="str">
        <f t="shared" si="172"/>
        <v/>
      </c>
      <c r="U116" s="149" t="str">
        <f t="shared" ca="1" si="152"/>
        <v/>
      </c>
      <c r="V116" s="150" t="str">
        <f t="shared" si="173"/>
        <v/>
      </c>
      <c r="W116" s="149" t="str">
        <f t="shared" ca="1" si="153"/>
        <v/>
      </c>
      <c r="X116" s="150" t="str">
        <f t="shared" si="174"/>
        <v/>
      </c>
      <c r="Y116" s="149" t="str">
        <f t="shared" ca="1" si="154"/>
        <v/>
      </c>
      <c r="Z116" s="150" t="str">
        <f t="shared" si="175"/>
        <v/>
      </c>
      <c r="AA116" s="149" t="str">
        <f t="shared" ca="1" si="155"/>
        <v/>
      </c>
      <c r="AB116" s="150" t="str">
        <f t="shared" si="176"/>
        <v/>
      </c>
      <c r="AC116" s="149" t="str">
        <f t="shared" ca="1" si="156"/>
        <v/>
      </c>
      <c r="AD116" s="150" t="str">
        <f t="shared" si="177"/>
        <v/>
      </c>
      <c r="AE116" s="149" t="str">
        <f t="shared" si="157"/>
        <v/>
      </c>
      <c r="AF116" s="150" t="str">
        <f t="shared" si="178"/>
        <v/>
      </c>
      <c r="AG116" s="149" t="str">
        <f t="shared" si="158"/>
        <v/>
      </c>
      <c r="AH116" s="150" t="str">
        <f t="shared" si="179"/>
        <v/>
      </c>
      <c r="AI116" s="149" t="str">
        <f t="shared" si="159"/>
        <v/>
      </c>
      <c r="AJ116" s="150" t="str">
        <f t="shared" si="180"/>
        <v/>
      </c>
      <c r="AL116" s="211" t="e">
        <f t="shared" ca="1" si="181"/>
        <v>#DIV/0!</v>
      </c>
      <c r="AM116" s="70" t="e">
        <f t="shared" ca="1" si="182"/>
        <v>#DIV/0!</v>
      </c>
      <c r="AN116" s="276" t="e">
        <f t="shared" ca="1" si="183"/>
        <v>#DIV/0!</v>
      </c>
      <c r="AO116" s="276" t="e">
        <f t="shared" ca="1" si="184"/>
        <v>#DIV/0!</v>
      </c>
    </row>
    <row r="117" spans="1:41" s="142" customFormat="1" ht="21" hidden="1" customHeight="1">
      <c r="A117" s="277"/>
      <c r="B117" s="148" t="str">
        <f t="shared" si="185"/>
        <v/>
      </c>
      <c r="C117" s="149" t="str">
        <f t="shared" si="143"/>
        <v/>
      </c>
      <c r="D117" s="150" t="str">
        <f t="shared" si="164"/>
        <v/>
      </c>
      <c r="E117" s="149" t="str">
        <f t="shared" si="144"/>
        <v/>
      </c>
      <c r="F117" s="150" t="str">
        <f t="shared" si="165"/>
        <v/>
      </c>
      <c r="G117" s="149" t="str">
        <f t="shared" ca="1" si="145"/>
        <v/>
      </c>
      <c r="H117" s="150" t="str">
        <f t="shared" si="166"/>
        <v/>
      </c>
      <c r="I117" s="149" t="str">
        <f t="shared" ca="1" si="146"/>
        <v/>
      </c>
      <c r="J117" s="150" t="str">
        <f t="shared" si="167"/>
        <v/>
      </c>
      <c r="K117" s="149" t="str">
        <f t="shared" ca="1" si="147"/>
        <v/>
      </c>
      <c r="L117" s="150" t="str">
        <f t="shared" si="168"/>
        <v/>
      </c>
      <c r="M117" s="149" t="str">
        <f t="shared" ca="1" si="148"/>
        <v/>
      </c>
      <c r="N117" s="150" t="str">
        <f t="shared" si="169"/>
        <v/>
      </c>
      <c r="O117" s="149" t="str">
        <f t="shared" ca="1" si="149"/>
        <v/>
      </c>
      <c r="P117" s="150" t="str">
        <f t="shared" si="170"/>
        <v/>
      </c>
      <c r="Q117" s="149" t="str">
        <f t="shared" ca="1" si="150"/>
        <v/>
      </c>
      <c r="R117" s="150" t="str">
        <f t="shared" si="171"/>
        <v/>
      </c>
      <c r="S117" s="149" t="str">
        <f t="shared" ca="1" si="151"/>
        <v/>
      </c>
      <c r="T117" s="150" t="str">
        <f t="shared" si="172"/>
        <v/>
      </c>
      <c r="U117" s="149" t="str">
        <f t="shared" ca="1" si="152"/>
        <v/>
      </c>
      <c r="V117" s="150" t="str">
        <f t="shared" si="173"/>
        <v/>
      </c>
      <c r="W117" s="149" t="str">
        <f t="shared" ca="1" si="153"/>
        <v/>
      </c>
      <c r="X117" s="150" t="str">
        <f t="shared" si="174"/>
        <v/>
      </c>
      <c r="Y117" s="149" t="str">
        <f t="shared" ca="1" si="154"/>
        <v/>
      </c>
      <c r="Z117" s="150" t="str">
        <f t="shared" si="175"/>
        <v/>
      </c>
      <c r="AA117" s="149" t="str">
        <f t="shared" ca="1" si="155"/>
        <v/>
      </c>
      <c r="AB117" s="150" t="str">
        <f t="shared" si="176"/>
        <v/>
      </c>
      <c r="AC117" s="149" t="str">
        <f t="shared" ca="1" si="156"/>
        <v/>
      </c>
      <c r="AD117" s="150" t="str">
        <f t="shared" si="177"/>
        <v/>
      </c>
      <c r="AE117" s="149" t="str">
        <f t="shared" si="157"/>
        <v/>
      </c>
      <c r="AF117" s="150" t="str">
        <f t="shared" si="178"/>
        <v/>
      </c>
      <c r="AG117" s="149" t="str">
        <f t="shared" si="158"/>
        <v/>
      </c>
      <c r="AH117" s="150" t="str">
        <f t="shared" si="179"/>
        <v/>
      </c>
      <c r="AI117" s="149" t="str">
        <f t="shared" si="159"/>
        <v/>
      </c>
      <c r="AJ117" s="150" t="str">
        <f t="shared" si="180"/>
        <v/>
      </c>
      <c r="AL117" s="211" t="e">
        <f t="shared" ca="1" si="181"/>
        <v>#DIV/0!</v>
      </c>
      <c r="AM117" s="70" t="e">
        <f t="shared" ca="1" si="182"/>
        <v>#DIV/0!</v>
      </c>
      <c r="AN117" s="276" t="e">
        <f t="shared" ca="1" si="183"/>
        <v>#DIV/0!</v>
      </c>
      <c r="AO117" s="276" t="e">
        <f t="shared" ca="1" si="184"/>
        <v>#DIV/0!</v>
      </c>
    </row>
    <row r="118" spans="1:41" s="142" customFormat="1" ht="21" hidden="1" customHeight="1">
      <c r="A118" s="277"/>
      <c r="B118" s="148" t="str">
        <f t="shared" si="185"/>
        <v/>
      </c>
      <c r="C118" s="149" t="str">
        <f t="shared" si="143"/>
        <v/>
      </c>
      <c r="D118" s="150" t="str">
        <f t="shared" si="164"/>
        <v/>
      </c>
      <c r="E118" s="149" t="str">
        <f t="shared" si="144"/>
        <v/>
      </c>
      <c r="F118" s="150" t="str">
        <f t="shared" si="165"/>
        <v/>
      </c>
      <c r="G118" s="149" t="str">
        <f t="shared" ca="1" si="145"/>
        <v/>
      </c>
      <c r="H118" s="150" t="str">
        <f t="shared" si="166"/>
        <v/>
      </c>
      <c r="I118" s="149" t="str">
        <f t="shared" ca="1" si="146"/>
        <v/>
      </c>
      <c r="J118" s="150" t="str">
        <f t="shared" si="167"/>
        <v/>
      </c>
      <c r="K118" s="149" t="str">
        <f t="shared" ca="1" si="147"/>
        <v/>
      </c>
      <c r="L118" s="150" t="str">
        <f t="shared" si="168"/>
        <v/>
      </c>
      <c r="M118" s="149" t="str">
        <f t="shared" ca="1" si="148"/>
        <v/>
      </c>
      <c r="N118" s="150" t="str">
        <f t="shared" si="169"/>
        <v/>
      </c>
      <c r="O118" s="149" t="str">
        <f t="shared" ca="1" si="149"/>
        <v/>
      </c>
      <c r="P118" s="150" t="str">
        <f t="shared" si="170"/>
        <v/>
      </c>
      <c r="Q118" s="149" t="str">
        <f t="shared" ca="1" si="150"/>
        <v/>
      </c>
      <c r="R118" s="150" t="str">
        <f t="shared" si="171"/>
        <v/>
      </c>
      <c r="S118" s="149" t="str">
        <f t="shared" ca="1" si="151"/>
        <v/>
      </c>
      <c r="T118" s="150" t="str">
        <f t="shared" si="172"/>
        <v/>
      </c>
      <c r="U118" s="149" t="str">
        <f t="shared" ca="1" si="152"/>
        <v/>
      </c>
      <c r="V118" s="150" t="str">
        <f t="shared" si="173"/>
        <v/>
      </c>
      <c r="W118" s="149" t="str">
        <f t="shared" ca="1" si="153"/>
        <v/>
      </c>
      <c r="X118" s="150" t="str">
        <f t="shared" si="174"/>
        <v/>
      </c>
      <c r="Y118" s="149" t="str">
        <f t="shared" ca="1" si="154"/>
        <v/>
      </c>
      <c r="Z118" s="150" t="str">
        <f t="shared" si="175"/>
        <v/>
      </c>
      <c r="AA118" s="149" t="str">
        <f t="shared" ca="1" si="155"/>
        <v/>
      </c>
      <c r="AB118" s="150" t="str">
        <f t="shared" si="176"/>
        <v/>
      </c>
      <c r="AC118" s="149" t="str">
        <f t="shared" ca="1" si="156"/>
        <v/>
      </c>
      <c r="AD118" s="150" t="str">
        <f t="shared" si="177"/>
        <v/>
      </c>
      <c r="AE118" s="149" t="str">
        <f t="shared" si="157"/>
        <v/>
      </c>
      <c r="AF118" s="150" t="str">
        <f t="shared" si="178"/>
        <v/>
      </c>
      <c r="AG118" s="149" t="str">
        <f t="shared" si="158"/>
        <v/>
      </c>
      <c r="AH118" s="150" t="str">
        <f t="shared" si="179"/>
        <v/>
      </c>
      <c r="AI118" s="149" t="str">
        <f t="shared" si="159"/>
        <v/>
      </c>
      <c r="AJ118" s="150" t="str">
        <f t="shared" si="180"/>
        <v/>
      </c>
      <c r="AL118" s="211" t="e">
        <f t="shared" ca="1" si="181"/>
        <v>#DIV/0!</v>
      </c>
      <c r="AM118" s="70" t="e">
        <f t="shared" ca="1" si="182"/>
        <v>#DIV/0!</v>
      </c>
      <c r="AN118" s="276" t="e">
        <f t="shared" ca="1" si="183"/>
        <v>#DIV/0!</v>
      </c>
      <c r="AO118" s="276" t="e">
        <f t="shared" ca="1" si="184"/>
        <v>#DIV/0!</v>
      </c>
    </row>
    <row r="119" spans="1:41" s="142" customFormat="1" ht="21" hidden="1" customHeight="1">
      <c r="A119" s="277"/>
      <c r="B119" s="148" t="str">
        <f t="shared" si="185"/>
        <v/>
      </c>
      <c r="C119" s="149" t="str">
        <f t="shared" si="143"/>
        <v/>
      </c>
      <c r="D119" s="150" t="str">
        <f t="shared" si="164"/>
        <v/>
      </c>
      <c r="E119" s="149" t="str">
        <f t="shared" si="144"/>
        <v/>
      </c>
      <c r="F119" s="150" t="str">
        <f t="shared" si="165"/>
        <v/>
      </c>
      <c r="G119" s="149" t="str">
        <f t="shared" ca="1" si="145"/>
        <v/>
      </c>
      <c r="H119" s="150" t="str">
        <f t="shared" si="166"/>
        <v/>
      </c>
      <c r="I119" s="149" t="str">
        <f t="shared" ca="1" si="146"/>
        <v/>
      </c>
      <c r="J119" s="150" t="str">
        <f t="shared" si="167"/>
        <v/>
      </c>
      <c r="K119" s="149" t="str">
        <f t="shared" ca="1" si="147"/>
        <v/>
      </c>
      <c r="L119" s="150" t="str">
        <f t="shared" si="168"/>
        <v/>
      </c>
      <c r="M119" s="149" t="str">
        <f t="shared" ca="1" si="148"/>
        <v/>
      </c>
      <c r="N119" s="150" t="str">
        <f t="shared" si="169"/>
        <v/>
      </c>
      <c r="O119" s="149" t="str">
        <f t="shared" ca="1" si="149"/>
        <v/>
      </c>
      <c r="P119" s="150" t="str">
        <f t="shared" si="170"/>
        <v/>
      </c>
      <c r="Q119" s="149" t="str">
        <f t="shared" ca="1" si="150"/>
        <v/>
      </c>
      <c r="R119" s="150" t="str">
        <f t="shared" si="171"/>
        <v/>
      </c>
      <c r="S119" s="149" t="str">
        <f t="shared" ca="1" si="151"/>
        <v/>
      </c>
      <c r="T119" s="150" t="str">
        <f t="shared" si="172"/>
        <v/>
      </c>
      <c r="U119" s="149" t="str">
        <f t="shared" ca="1" si="152"/>
        <v/>
      </c>
      <c r="V119" s="150" t="str">
        <f t="shared" si="173"/>
        <v/>
      </c>
      <c r="W119" s="149" t="str">
        <f t="shared" ca="1" si="153"/>
        <v/>
      </c>
      <c r="X119" s="150" t="str">
        <f t="shared" si="174"/>
        <v/>
      </c>
      <c r="Y119" s="149" t="str">
        <f t="shared" ca="1" si="154"/>
        <v/>
      </c>
      <c r="Z119" s="150" t="str">
        <f t="shared" si="175"/>
        <v/>
      </c>
      <c r="AA119" s="149" t="str">
        <f t="shared" ca="1" si="155"/>
        <v/>
      </c>
      <c r="AB119" s="150" t="str">
        <f t="shared" si="176"/>
        <v/>
      </c>
      <c r="AC119" s="149" t="str">
        <f t="shared" ca="1" si="156"/>
        <v/>
      </c>
      <c r="AD119" s="150" t="str">
        <f t="shared" si="177"/>
        <v/>
      </c>
      <c r="AE119" s="149" t="str">
        <f t="shared" si="157"/>
        <v/>
      </c>
      <c r="AF119" s="150" t="str">
        <f t="shared" si="178"/>
        <v/>
      </c>
      <c r="AG119" s="149" t="str">
        <f t="shared" si="158"/>
        <v/>
      </c>
      <c r="AH119" s="150" t="str">
        <f t="shared" si="179"/>
        <v/>
      </c>
      <c r="AI119" s="149" t="str">
        <f t="shared" si="159"/>
        <v/>
      </c>
      <c r="AJ119" s="150" t="str">
        <f t="shared" si="180"/>
        <v/>
      </c>
      <c r="AL119" s="211" t="e">
        <f t="shared" ca="1" si="181"/>
        <v>#DIV/0!</v>
      </c>
      <c r="AM119" s="70" t="e">
        <f t="shared" ca="1" si="182"/>
        <v>#DIV/0!</v>
      </c>
      <c r="AN119" s="276" t="e">
        <f t="shared" ca="1" si="183"/>
        <v>#DIV/0!</v>
      </c>
      <c r="AO119" s="276" t="e">
        <f t="shared" ca="1" si="184"/>
        <v>#DIV/0!</v>
      </c>
    </row>
    <row r="120" spans="1:41" s="142" customFormat="1" ht="21" hidden="1" customHeight="1">
      <c r="A120" s="277"/>
      <c r="B120" s="148" t="str">
        <f t="shared" si="185"/>
        <v/>
      </c>
      <c r="C120" s="149" t="str">
        <f t="shared" si="143"/>
        <v/>
      </c>
      <c r="D120" s="150" t="str">
        <f t="shared" si="164"/>
        <v/>
      </c>
      <c r="E120" s="149" t="str">
        <f t="shared" si="144"/>
        <v/>
      </c>
      <c r="F120" s="150" t="str">
        <f t="shared" si="165"/>
        <v/>
      </c>
      <c r="G120" s="149" t="str">
        <f t="shared" ca="1" si="145"/>
        <v/>
      </c>
      <c r="H120" s="150" t="str">
        <f t="shared" si="166"/>
        <v/>
      </c>
      <c r="I120" s="149" t="str">
        <f t="shared" ca="1" si="146"/>
        <v/>
      </c>
      <c r="J120" s="150" t="str">
        <f t="shared" si="167"/>
        <v/>
      </c>
      <c r="K120" s="149" t="str">
        <f t="shared" ca="1" si="147"/>
        <v/>
      </c>
      <c r="L120" s="150" t="str">
        <f t="shared" si="168"/>
        <v/>
      </c>
      <c r="M120" s="149" t="str">
        <f t="shared" ca="1" si="148"/>
        <v/>
      </c>
      <c r="N120" s="150" t="str">
        <f t="shared" si="169"/>
        <v/>
      </c>
      <c r="O120" s="149" t="str">
        <f t="shared" ca="1" si="149"/>
        <v/>
      </c>
      <c r="P120" s="150" t="str">
        <f t="shared" si="170"/>
        <v/>
      </c>
      <c r="Q120" s="149" t="str">
        <f t="shared" ca="1" si="150"/>
        <v/>
      </c>
      <c r="R120" s="150" t="str">
        <f t="shared" si="171"/>
        <v/>
      </c>
      <c r="S120" s="149" t="str">
        <f t="shared" ca="1" si="151"/>
        <v/>
      </c>
      <c r="T120" s="150" t="str">
        <f t="shared" si="172"/>
        <v/>
      </c>
      <c r="U120" s="149" t="str">
        <f t="shared" ca="1" si="152"/>
        <v/>
      </c>
      <c r="V120" s="150" t="str">
        <f t="shared" si="173"/>
        <v/>
      </c>
      <c r="W120" s="149" t="str">
        <f t="shared" ca="1" si="153"/>
        <v/>
      </c>
      <c r="X120" s="150" t="str">
        <f t="shared" si="174"/>
        <v/>
      </c>
      <c r="Y120" s="149" t="str">
        <f t="shared" ca="1" si="154"/>
        <v/>
      </c>
      <c r="Z120" s="150" t="str">
        <f t="shared" si="175"/>
        <v/>
      </c>
      <c r="AA120" s="149" t="str">
        <f t="shared" ca="1" si="155"/>
        <v/>
      </c>
      <c r="AB120" s="150" t="str">
        <f t="shared" si="176"/>
        <v/>
      </c>
      <c r="AC120" s="149" t="str">
        <f t="shared" ca="1" si="156"/>
        <v/>
      </c>
      <c r="AD120" s="150" t="str">
        <f t="shared" si="177"/>
        <v/>
      </c>
      <c r="AE120" s="149" t="str">
        <f t="shared" si="157"/>
        <v/>
      </c>
      <c r="AF120" s="150" t="str">
        <f t="shared" si="178"/>
        <v/>
      </c>
      <c r="AG120" s="149" t="str">
        <f t="shared" si="158"/>
        <v/>
      </c>
      <c r="AH120" s="150" t="str">
        <f t="shared" si="179"/>
        <v/>
      </c>
      <c r="AI120" s="149" t="str">
        <f t="shared" si="159"/>
        <v/>
      </c>
      <c r="AJ120" s="150" t="str">
        <f t="shared" si="180"/>
        <v/>
      </c>
      <c r="AL120" s="211" t="e">
        <f t="shared" ca="1" si="181"/>
        <v>#DIV/0!</v>
      </c>
      <c r="AM120" s="70" t="e">
        <f t="shared" ca="1" si="182"/>
        <v>#DIV/0!</v>
      </c>
      <c r="AN120" s="276" t="e">
        <f t="shared" ca="1" si="183"/>
        <v>#DIV/0!</v>
      </c>
      <c r="AO120" s="276" t="e">
        <f t="shared" ca="1" si="184"/>
        <v>#DIV/0!</v>
      </c>
    </row>
    <row r="121" spans="1:41" s="142" customFormat="1" ht="21" hidden="1" customHeight="1">
      <c r="A121" s="277"/>
      <c r="B121" s="148" t="str">
        <f t="shared" si="185"/>
        <v/>
      </c>
      <c r="C121" s="149" t="str">
        <f t="shared" si="143"/>
        <v/>
      </c>
      <c r="D121" s="150" t="str">
        <f t="shared" si="164"/>
        <v/>
      </c>
      <c r="E121" s="149" t="str">
        <f t="shared" si="144"/>
        <v/>
      </c>
      <c r="F121" s="150" t="str">
        <f t="shared" si="165"/>
        <v/>
      </c>
      <c r="G121" s="149" t="str">
        <f t="shared" ca="1" si="145"/>
        <v/>
      </c>
      <c r="H121" s="150" t="str">
        <f t="shared" si="166"/>
        <v/>
      </c>
      <c r="I121" s="149" t="str">
        <f t="shared" ca="1" si="146"/>
        <v/>
      </c>
      <c r="J121" s="150" t="str">
        <f t="shared" si="167"/>
        <v/>
      </c>
      <c r="K121" s="149" t="str">
        <f t="shared" ca="1" si="147"/>
        <v/>
      </c>
      <c r="L121" s="150" t="str">
        <f t="shared" si="168"/>
        <v/>
      </c>
      <c r="M121" s="149" t="str">
        <f t="shared" ca="1" si="148"/>
        <v/>
      </c>
      <c r="N121" s="150" t="str">
        <f t="shared" si="169"/>
        <v/>
      </c>
      <c r="O121" s="149" t="str">
        <f t="shared" ca="1" si="149"/>
        <v/>
      </c>
      <c r="P121" s="150" t="str">
        <f t="shared" si="170"/>
        <v/>
      </c>
      <c r="Q121" s="149" t="str">
        <f t="shared" ca="1" si="150"/>
        <v/>
      </c>
      <c r="R121" s="150" t="str">
        <f t="shared" si="171"/>
        <v/>
      </c>
      <c r="S121" s="149" t="str">
        <f t="shared" ca="1" si="151"/>
        <v/>
      </c>
      <c r="T121" s="150" t="str">
        <f t="shared" si="172"/>
        <v/>
      </c>
      <c r="U121" s="149" t="str">
        <f t="shared" ca="1" si="152"/>
        <v/>
      </c>
      <c r="V121" s="150" t="str">
        <f t="shared" si="173"/>
        <v/>
      </c>
      <c r="W121" s="149" t="str">
        <f t="shared" ca="1" si="153"/>
        <v/>
      </c>
      <c r="X121" s="150" t="str">
        <f t="shared" si="174"/>
        <v/>
      </c>
      <c r="Y121" s="149" t="str">
        <f t="shared" ca="1" si="154"/>
        <v/>
      </c>
      <c r="Z121" s="150" t="str">
        <f t="shared" si="175"/>
        <v/>
      </c>
      <c r="AA121" s="149" t="str">
        <f t="shared" ca="1" si="155"/>
        <v/>
      </c>
      <c r="AB121" s="150" t="str">
        <f t="shared" si="176"/>
        <v/>
      </c>
      <c r="AC121" s="149" t="str">
        <f t="shared" ca="1" si="156"/>
        <v/>
      </c>
      <c r="AD121" s="150" t="str">
        <f t="shared" si="177"/>
        <v/>
      </c>
      <c r="AE121" s="149" t="str">
        <f t="shared" si="157"/>
        <v/>
      </c>
      <c r="AF121" s="150" t="str">
        <f t="shared" si="178"/>
        <v/>
      </c>
      <c r="AG121" s="149" t="str">
        <f t="shared" si="158"/>
        <v/>
      </c>
      <c r="AH121" s="150" t="str">
        <f t="shared" si="179"/>
        <v/>
      </c>
      <c r="AI121" s="149" t="str">
        <f t="shared" si="159"/>
        <v/>
      </c>
      <c r="AJ121" s="150" t="str">
        <f t="shared" si="180"/>
        <v/>
      </c>
      <c r="AL121" s="211" t="e">
        <f t="shared" ca="1" si="181"/>
        <v>#DIV/0!</v>
      </c>
      <c r="AM121" s="70" t="e">
        <f t="shared" ca="1" si="182"/>
        <v>#DIV/0!</v>
      </c>
      <c r="AN121" s="276" t="e">
        <f t="shared" ca="1" si="183"/>
        <v>#DIV/0!</v>
      </c>
      <c r="AO121" s="276" t="e">
        <f t="shared" ca="1" si="184"/>
        <v>#DIV/0!</v>
      </c>
    </row>
    <row r="122" spans="1:41" s="142" customFormat="1" ht="21" hidden="1" customHeight="1">
      <c r="A122" s="277"/>
      <c r="B122" s="148" t="str">
        <f t="shared" si="185"/>
        <v/>
      </c>
      <c r="C122" s="149" t="str">
        <f t="shared" si="143"/>
        <v/>
      </c>
      <c r="D122" s="150" t="str">
        <f t="shared" si="164"/>
        <v/>
      </c>
      <c r="E122" s="149" t="str">
        <f t="shared" si="144"/>
        <v/>
      </c>
      <c r="F122" s="150" t="str">
        <f t="shared" si="165"/>
        <v/>
      </c>
      <c r="G122" s="149" t="str">
        <f t="shared" ca="1" si="145"/>
        <v/>
      </c>
      <c r="H122" s="150" t="str">
        <f t="shared" si="166"/>
        <v/>
      </c>
      <c r="I122" s="149" t="str">
        <f t="shared" ca="1" si="146"/>
        <v/>
      </c>
      <c r="J122" s="150" t="str">
        <f t="shared" si="167"/>
        <v/>
      </c>
      <c r="K122" s="149" t="str">
        <f t="shared" ca="1" si="147"/>
        <v/>
      </c>
      <c r="L122" s="150" t="str">
        <f t="shared" si="168"/>
        <v/>
      </c>
      <c r="M122" s="149" t="str">
        <f t="shared" ca="1" si="148"/>
        <v/>
      </c>
      <c r="N122" s="150" t="str">
        <f t="shared" si="169"/>
        <v/>
      </c>
      <c r="O122" s="149" t="str">
        <f t="shared" ca="1" si="149"/>
        <v/>
      </c>
      <c r="P122" s="150" t="str">
        <f t="shared" si="170"/>
        <v/>
      </c>
      <c r="Q122" s="149" t="str">
        <f t="shared" ca="1" si="150"/>
        <v/>
      </c>
      <c r="R122" s="150" t="str">
        <f t="shared" si="171"/>
        <v/>
      </c>
      <c r="S122" s="149" t="str">
        <f t="shared" ca="1" si="151"/>
        <v/>
      </c>
      <c r="T122" s="150" t="str">
        <f t="shared" si="172"/>
        <v/>
      </c>
      <c r="U122" s="149" t="str">
        <f t="shared" ca="1" si="152"/>
        <v/>
      </c>
      <c r="V122" s="150" t="str">
        <f t="shared" si="173"/>
        <v/>
      </c>
      <c r="W122" s="149" t="str">
        <f t="shared" ca="1" si="153"/>
        <v/>
      </c>
      <c r="X122" s="150" t="str">
        <f t="shared" si="174"/>
        <v/>
      </c>
      <c r="Y122" s="149" t="str">
        <f t="shared" ca="1" si="154"/>
        <v/>
      </c>
      <c r="Z122" s="150" t="str">
        <f t="shared" si="175"/>
        <v/>
      </c>
      <c r="AA122" s="149" t="str">
        <f t="shared" ca="1" si="155"/>
        <v/>
      </c>
      <c r="AB122" s="150" t="str">
        <f t="shared" si="176"/>
        <v/>
      </c>
      <c r="AC122" s="149" t="str">
        <f t="shared" ca="1" si="156"/>
        <v/>
      </c>
      <c r="AD122" s="150" t="str">
        <f t="shared" si="177"/>
        <v/>
      </c>
      <c r="AE122" s="149" t="str">
        <f t="shared" si="157"/>
        <v/>
      </c>
      <c r="AF122" s="150" t="str">
        <f t="shared" si="178"/>
        <v/>
      </c>
      <c r="AG122" s="149" t="str">
        <f t="shared" si="158"/>
        <v/>
      </c>
      <c r="AH122" s="150" t="str">
        <f t="shared" si="179"/>
        <v/>
      </c>
      <c r="AI122" s="149" t="str">
        <f t="shared" si="159"/>
        <v/>
      </c>
      <c r="AJ122" s="150" t="str">
        <f t="shared" si="180"/>
        <v/>
      </c>
      <c r="AL122" s="211" t="e">
        <f t="shared" ca="1" si="181"/>
        <v>#DIV/0!</v>
      </c>
      <c r="AM122" s="70" t="e">
        <f t="shared" ca="1" si="182"/>
        <v>#DIV/0!</v>
      </c>
      <c r="AN122" s="276" t="e">
        <f t="shared" ca="1" si="183"/>
        <v>#DIV/0!</v>
      </c>
      <c r="AO122" s="276" t="e">
        <f t="shared" ca="1" si="184"/>
        <v>#DIV/0!</v>
      </c>
    </row>
    <row r="123" spans="1:41" s="142" customFormat="1" ht="21" hidden="1" customHeight="1">
      <c r="A123" s="277"/>
      <c r="B123" s="148" t="str">
        <f t="shared" si="185"/>
        <v/>
      </c>
      <c r="C123" s="149" t="str">
        <f t="shared" si="143"/>
        <v/>
      </c>
      <c r="D123" s="150" t="str">
        <f t="shared" si="164"/>
        <v/>
      </c>
      <c r="E123" s="149" t="str">
        <f t="shared" si="144"/>
        <v/>
      </c>
      <c r="F123" s="150" t="str">
        <f t="shared" si="165"/>
        <v/>
      </c>
      <c r="G123" s="149" t="str">
        <f t="shared" ca="1" si="145"/>
        <v/>
      </c>
      <c r="H123" s="150" t="str">
        <f t="shared" si="166"/>
        <v/>
      </c>
      <c r="I123" s="149" t="str">
        <f t="shared" ca="1" si="146"/>
        <v/>
      </c>
      <c r="J123" s="150" t="str">
        <f t="shared" si="167"/>
        <v/>
      </c>
      <c r="K123" s="149" t="str">
        <f t="shared" ca="1" si="147"/>
        <v/>
      </c>
      <c r="L123" s="150" t="str">
        <f t="shared" si="168"/>
        <v/>
      </c>
      <c r="M123" s="149" t="str">
        <f t="shared" ca="1" si="148"/>
        <v/>
      </c>
      <c r="N123" s="150" t="str">
        <f t="shared" si="169"/>
        <v/>
      </c>
      <c r="O123" s="149" t="str">
        <f t="shared" ca="1" si="149"/>
        <v/>
      </c>
      <c r="P123" s="150" t="str">
        <f t="shared" si="170"/>
        <v/>
      </c>
      <c r="Q123" s="149" t="str">
        <f t="shared" ca="1" si="150"/>
        <v/>
      </c>
      <c r="R123" s="150" t="str">
        <f t="shared" si="171"/>
        <v/>
      </c>
      <c r="S123" s="149" t="str">
        <f t="shared" ca="1" si="151"/>
        <v/>
      </c>
      <c r="T123" s="150" t="str">
        <f t="shared" si="172"/>
        <v/>
      </c>
      <c r="U123" s="149" t="str">
        <f t="shared" ca="1" si="152"/>
        <v/>
      </c>
      <c r="V123" s="150" t="str">
        <f t="shared" si="173"/>
        <v/>
      </c>
      <c r="W123" s="149" t="str">
        <f t="shared" ca="1" si="153"/>
        <v/>
      </c>
      <c r="X123" s="150" t="str">
        <f t="shared" si="174"/>
        <v/>
      </c>
      <c r="Y123" s="149" t="str">
        <f t="shared" ca="1" si="154"/>
        <v/>
      </c>
      <c r="Z123" s="150" t="str">
        <f t="shared" si="175"/>
        <v/>
      </c>
      <c r="AA123" s="149" t="str">
        <f t="shared" ca="1" si="155"/>
        <v/>
      </c>
      <c r="AB123" s="150" t="str">
        <f t="shared" si="176"/>
        <v/>
      </c>
      <c r="AC123" s="149" t="str">
        <f t="shared" ca="1" si="156"/>
        <v/>
      </c>
      <c r="AD123" s="150" t="str">
        <f t="shared" si="177"/>
        <v/>
      </c>
      <c r="AE123" s="149" t="str">
        <f t="shared" si="157"/>
        <v/>
      </c>
      <c r="AF123" s="150" t="str">
        <f t="shared" si="178"/>
        <v/>
      </c>
      <c r="AG123" s="149" t="str">
        <f t="shared" si="158"/>
        <v/>
      </c>
      <c r="AH123" s="150" t="str">
        <f t="shared" si="179"/>
        <v/>
      </c>
      <c r="AI123" s="149" t="str">
        <f t="shared" si="159"/>
        <v/>
      </c>
      <c r="AJ123" s="150" t="str">
        <f t="shared" si="180"/>
        <v/>
      </c>
      <c r="AL123" s="211" t="e">
        <f t="shared" ca="1" si="181"/>
        <v>#DIV/0!</v>
      </c>
      <c r="AM123" s="70" t="e">
        <f t="shared" ca="1" si="182"/>
        <v>#DIV/0!</v>
      </c>
      <c r="AN123" s="276" t="e">
        <f t="shared" ca="1" si="183"/>
        <v>#DIV/0!</v>
      </c>
      <c r="AO123" s="276" t="e">
        <f t="shared" ca="1" si="184"/>
        <v>#DIV/0!</v>
      </c>
    </row>
    <row r="124" spans="1:41" s="142" customFormat="1" ht="21" hidden="1" customHeight="1">
      <c r="A124" s="277"/>
      <c r="B124" s="148" t="str">
        <f t="shared" si="185"/>
        <v/>
      </c>
      <c r="C124" s="149" t="str">
        <f t="shared" si="143"/>
        <v/>
      </c>
      <c r="D124" s="150" t="str">
        <f t="shared" si="164"/>
        <v/>
      </c>
      <c r="E124" s="149" t="str">
        <f t="shared" si="144"/>
        <v/>
      </c>
      <c r="F124" s="150" t="str">
        <f t="shared" si="165"/>
        <v/>
      </c>
      <c r="G124" s="149" t="str">
        <f t="shared" ca="1" si="145"/>
        <v/>
      </c>
      <c r="H124" s="150" t="str">
        <f t="shared" si="166"/>
        <v/>
      </c>
      <c r="I124" s="149" t="str">
        <f t="shared" ca="1" si="146"/>
        <v/>
      </c>
      <c r="J124" s="150" t="str">
        <f t="shared" si="167"/>
        <v/>
      </c>
      <c r="K124" s="149" t="str">
        <f t="shared" ca="1" si="147"/>
        <v/>
      </c>
      <c r="L124" s="150" t="str">
        <f t="shared" si="168"/>
        <v/>
      </c>
      <c r="M124" s="149" t="str">
        <f t="shared" ca="1" si="148"/>
        <v/>
      </c>
      <c r="N124" s="150" t="str">
        <f t="shared" si="169"/>
        <v/>
      </c>
      <c r="O124" s="149" t="str">
        <f t="shared" ca="1" si="149"/>
        <v/>
      </c>
      <c r="P124" s="150" t="str">
        <f t="shared" si="170"/>
        <v/>
      </c>
      <c r="Q124" s="149" t="str">
        <f t="shared" ca="1" si="150"/>
        <v/>
      </c>
      <c r="R124" s="150" t="str">
        <f t="shared" si="171"/>
        <v/>
      </c>
      <c r="S124" s="149" t="str">
        <f t="shared" ca="1" si="151"/>
        <v/>
      </c>
      <c r="T124" s="150" t="str">
        <f t="shared" si="172"/>
        <v/>
      </c>
      <c r="U124" s="149" t="str">
        <f t="shared" ca="1" si="152"/>
        <v/>
      </c>
      <c r="V124" s="150" t="str">
        <f t="shared" si="173"/>
        <v/>
      </c>
      <c r="W124" s="149" t="str">
        <f t="shared" ca="1" si="153"/>
        <v/>
      </c>
      <c r="X124" s="150" t="str">
        <f t="shared" si="174"/>
        <v/>
      </c>
      <c r="Y124" s="149" t="str">
        <f t="shared" ca="1" si="154"/>
        <v/>
      </c>
      <c r="Z124" s="150" t="str">
        <f t="shared" si="175"/>
        <v/>
      </c>
      <c r="AA124" s="149" t="str">
        <f t="shared" ca="1" si="155"/>
        <v/>
      </c>
      <c r="AB124" s="150" t="str">
        <f t="shared" si="176"/>
        <v/>
      </c>
      <c r="AC124" s="149" t="str">
        <f t="shared" ca="1" si="156"/>
        <v/>
      </c>
      <c r="AD124" s="150" t="str">
        <f t="shared" si="177"/>
        <v/>
      </c>
      <c r="AE124" s="149" t="str">
        <f t="shared" si="157"/>
        <v/>
      </c>
      <c r="AF124" s="150" t="str">
        <f t="shared" si="178"/>
        <v/>
      </c>
      <c r="AG124" s="149" t="str">
        <f t="shared" si="158"/>
        <v/>
      </c>
      <c r="AH124" s="150" t="str">
        <f t="shared" si="179"/>
        <v/>
      </c>
      <c r="AI124" s="149" t="str">
        <f t="shared" si="159"/>
        <v/>
      </c>
      <c r="AJ124" s="150" t="str">
        <f t="shared" si="180"/>
        <v/>
      </c>
      <c r="AL124" s="211" t="e">
        <f t="shared" ca="1" si="181"/>
        <v>#DIV/0!</v>
      </c>
      <c r="AM124" s="70" t="e">
        <f t="shared" ca="1" si="182"/>
        <v>#DIV/0!</v>
      </c>
      <c r="AN124" s="276" t="e">
        <f t="shared" ca="1" si="183"/>
        <v>#DIV/0!</v>
      </c>
      <c r="AO124" s="276" t="e">
        <f t="shared" ca="1" si="184"/>
        <v>#DIV/0!</v>
      </c>
    </row>
    <row r="125" spans="1:41" s="142" customFormat="1" ht="21" hidden="1" customHeight="1">
      <c r="A125" s="277"/>
      <c r="B125" s="148" t="str">
        <f t="shared" si="185"/>
        <v/>
      </c>
      <c r="C125" s="149" t="str">
        <f t="shared" si="143"/>
        <v/>
      </c>
      <c r="D125" s="150" t="str">
        <f t="shared" si="164"/>
        <v/>
      </c>
      <c r="E125" s="149" t="str">
        <f t="shared" si="144"/>
        <v/>
      </c>
      <c r="F125" s="150" t="str">
        <f t="shared" si="165"/>
        <v/>
      </c>
      <c r="G125" s="149" t="str">
        <f t="shared" ca="1" si="145"/>
        <v/>
      </c>
      <c r="H125" s="150" t="str">
        <f t="shared" si="166"/>
        <v/>
      </c>
      <c r="I125" s="149" t="str">
        <f t="shared" ca="1" si="146"/>
        <v/>
      </c>
      <c r="J125" s="150" t="str">
        <f t="shared" si="167"/>
        <v/>
      </c>
      <c r="K125" s="149" t="str">
        <f t="shared" ca="1" si="147"/>
        <v/>
      </c>
      <c r="L125" s="150" t="str">
        <f t="shared" si="168"/>
        <v/>
      </c>
      <c r="M125" s="149" t="str">
        <f t="shared" ca="1" si="148"/>
        <v/>
      </c>
      <c r="N125" s="150" t="str">
        <f t="shared" si="169"/>
        <v/>
      </c>
      <c r="O125" s="149" t="str">
        <f t="shared" ca="1" si="149"/>
        <v/>
      </c>
      <c r="P125" s="150" t="str">
        <f t="shared" si="170"/>
        <v/>
      </c>
      <c r="Q125" s="149" t="str">
        <f t="shared" ca="1" si="150"/>
        <v/>
      </c>
      <c r="R125" s="150" t="str">
        <f t="shared" si="171"/>
        <v/>
      </c>
      <c r="S125" s="149" t="str">
        <f t="shared" ca="1" si="151"/>
        <v/>
      </c>
      <c r="T125" s="150" t="str">
        <f t="shared" si="172"/>
        <v/>
      </c>
      <c r="U125" s="149" t="str">
        <f t="shared" ca="1" si="152"/>
        <v/>
      </c>
      <c r="V125" s="150" t="str">
        <f t="shared" si="173"/>
        <v/>
      </c>
      <c r="W125" s="149" t="str">
        <f t="shared" ca="1" si="153"/>
        <v/>
      </c>
      <c r="X125" s="150" t="str">
        <f t="shared" si="174"/>
        <v/>
      </c>
      <c r="Y125" s="149" t="str">
        <f t="shared" ca="1" si="154"/>
        <v/>
      </c>
      <c r="Z125" s="150" t="str">
        <f t="shared" si="175"/>
        <v/>
      </c>
      <c r="AA125" s="149" t="str">
        <f t="shared" ca="1" si="155"/>
        <v/>
      </c>
      <c r="AB125" s="150" t="str">
        <f t="shared" si="176"/>
        <v/>
      </c>
      <c r="AC125" s="149" t="str">
        <f t="shared" ca="1" si="156"/>
        <v/>
      </c>
      <c r="AD125" s="150" t="str">
        <f t="shared" si="177"/>
        <v/>
      </c>
      <c r="AE125" s="149" t="str">
        <f t="shared" si="157"/>
        <v/>
      </c>
      <c r="AF125" s="150" t="str">
        <f t="shared" si="178"/>
        <v/>
      </c>
      <c r="AG125" s="149" t="str">
        <f t="shared" si="158"/>
        <v/>
      </c>
      <c r="AH125" s="150" t="str">
        <f t="shared" si="179"/>
        <v/>
      </c>
      <c r="AI125" s="149" t="str">
        <f t="shared" si="159"/>
        <v/>
      </c>
      <c r="AJ125" s="150" t="str">
        <f t="shared" si="180"/>
        <v/>
      </c>
      <c r="AL125" s="211" t="e">
        <f t="shared" ca="1" si="181"/>
        <v>#DIV/0!</v>
      </c>
      <c r="AM125" s="70" t="e">
        <f t="shared" ca="1" si="182"/>
        <v>#DIV/0!</v>
      </c>
      <c r="AN125" s="276" t="e">
        <f t="shared" ca="1" si="183"/>
        <v>#DIV/0!</v>
      </c>
      <c r="AO125" s="276" t="e">
        <f t="shared" ca="1" si="184"/>
        <v>#DIV/0!</v>
      </c>
    </row>
    <row r="126" spans="1:41" s="142" customFormat="1" ht="21" hidden="1" customHeight="1">
      <c r="A126" s="277"/>
      <c r="B126" s="148" t="str">
        <f t="shared" si="185"/>
        <v/>
      </c>
      <c r="C126" s="149" t="str">
        <f t="shared" si="143"/>
        <v/>
      </c>
      <c r="D126" s="150" t="str">
        <f t="shared" si="164"/>
        <v/>
      </c>
      <c r="E126" s="149" t="str">
        <f t="shared" si="144"/>
        <v/>
      </c>
      <c r="F126" s="150" t="str">
        <f t="shared" si="165"/>
        <v/>
      </c>
      <c r="G126" s="149" t="str">
        <f t="shared" ca="1" si="145"/>
        <v/>
      </c>
      <c r="H126" s="150" t="str">
        <f t="shared" si="166"/>
        <v/>
      </c>
      <c r="I126" s="149" t="str">
        <f t="shared" ca="1" si="146"/>
        <v/>
      </c>
      <c r="J126" s="150" t="str">
        <f t="shared" si="167"/>
        <v/>
      </c>
      <c r="K126" s="149" t="str">
        <f t="shared" ca="1" si="147"/>
        <v/>
      </c>
      <c r="L126" s="150" t="str">
        <f t="shared" si="168"/>
        <v/>
      </c>
      <c r="M126" s="149" t="str">
        <f t="shared" ca="1" si="148"/>
        <v/>
      </c>
      <c r="N126" s="150" t="str">
        <f t="shared" si="169"/>
        <v/>
      </c>
      <c r="O126" s="149" t="str">
        <f t="shared" ca="1" si="149"/>
        <v/>
      </c>
      <c r="P126" s="150" t="str">
        <f t="shared" si="170"/>
        <v/>
      </c>
      <c r="Q126" s="149" t="str">
        <f t="shared" ca="1" si="150"/>
        <v/>
      </c>
      <c r="R126" s="150" t="str">
        <f t="shared" si="171"/>
        <v/>
      </c>
      <c r="S126" s="149" t="str">
        <f t="shared" ca="1" si="151"/>
        <v/>
      </c>
      <c r="T126" s="150" t="str">
        <f t="shared" si="172"/>
        <v/>
      </c>
      <c r="U126" s="149" t="str">
        <f t="shared" ca="1" si="152"/>
        <v/>
      </c>
      <c r="V126" s="150" t="str">
        <f t="shared" si="173"/>
        <v/>
      </c>
      <c r="W126" s="149" t="str">
        <f t="shared" ca="1" si="153"/>
        <v/>
      </c>
      <c r="X126" s="150" t="str">
        <f t="shared" si="174"/>
        <v/>
      </c>
      <c r="Y126" s="149" t="str">
        <f t="shared" ca="1" si="154"/>
        <v/>
      </c>
      <c r="Z126" s="150" t="str">
        <f t="shared" si="175"/>
        <v/>
      </c>
      <c r="AA126" s="149" t="str">
        <f t="shared" ca="1" si="155"/>
        <v/>
      </c>
      <c r="AB126" s="150" t="str">
        <f t="shared" si="176"/>
        <v/>
      </c>
      <c r="AC126" s="149" t="str">
        <f t="shared" ca="1" si="156"/>
        <v/>
      </c>
      <c r="AD126" s="150" t="str">
        <f t="shared" si="177"/>
        <v/>
      </c>
      <c r="AE126" s="149" t="str">
        <f t="shared" si="157"/>
        <v/>
      </c>
      <c r="AF126" s="150" t="str">
        <f t="shared" si="178"/>
        <v/>
      </c>
      <c r="AG126" s="149" t="str">
        <f t="shared" si="158"/>
        <v/>
      </c>
      <c r="AH126" s="150" t="str">
        <f t="shared" si="179"/>
        <v/>
      </c>
      <c r="AI126" s="149" t="str">
        <f t="shared" si="159"/>
        <v/>
      </c>
      <c r="AJ126" s="150" t="str">
        <f t="shared" si="180"/>
        <v/>
      </c>
      <c r="AL126" s="211" t="e">
        <f t="shared" ca="1" si="181"/>
        <v>#DIV/0!</v>
      </c>
      <c r="AM126" s="70" t="e">
        <f t="shared" ca="1" si="182"/>
        <v>#DIV/0!</v>
      </c>
      <c r="AN126" s="276" t="e">
        <f t="shared" ca="1" si="183"/>
        <v>#DIV/0!</v>
      </c>
      <c r="AO126" s="276" t="e">
        <f t="shared" ca="1" si="184"/>
        <v>#DIV/0!</v>
      </c>
    </row>
    <row r="127" spans="1:41" s="142" customFormat="1" ht="21" hidden="1" customHeight="1">
      <c r="A127" s="277"/>
      <c r="B127" s="148" t="str">
        <f t="shared" si="185"/>
        <v/>
      </c>
      <c r="C127" s="149" t="str">
        <f t="shared" si="143"/>
        <v/>
      </c>
      <c r="D127" s="150" t="str">
        <f t="shared" si="164"/>
        <v/>
      </c>
      <c r="E127" s="149" t="str">
        <f t="shared" si="144"/>
        <v/>
      </c>
      <c r="F127" s="150" t="str">
        <f t="shared" si="165"/>
        <v/>
      </c>
      <c r="G127" s="149" t="str">
        <f t="shared" ca="1" si="145"/>
        <v/>
      </c>
      <c r="H127" s="150" t="str">
        <f t="shared" si="166"/>
        <v/>
      </c>
      <c r="I127" s="149" t="str">
        <f t="shared" ca="1" si="146"/>
        <v/>
      </c>
      <c r="J127" s="150" t="str">
        <f t="shared" si="167"/>
        <v/>
      </c>
      <c r="K127" s="149" t="str">
        <f t="shared" ca="1" si="147"/>
        <v/>
      </c>
      <c r="L127" s="150" t="str">
        <f t="shared" si="168"/>
        <v/>
      </c>
      <c r="M127" s="149" t="str">
        <f t="shared" ca="1" si="148"/>
        <v/>
      </c>
      <c r="N127" s="150" t="str">
        <f t="shared" si="169"/>
        <v/>
      </c>
      <c r="O127" s="149" t="str">
        <f t="shared" ca="1" si="149"/>
        <v/>
      </c>
      <c r="P127" s="150" t="str">
        <f t="shared" si="170"/>
        <v/>
      </c>
      <c r="Q127" s="149" t="str">
        <f t="shared" ca="1" si="150"/>
        <v/>
      </c>
      <c r="R127" s="150" t="str">
        <f t="shared" si="171"/>
        <v/>
      </c>
      <c r="S127" s="149" t="str">
        <f t="shared" ca="1" si="151"/>
        <v/>
      </c>
      <c r="T127" s="150" t="str">
        <f t="shared" si="172"/>
        <v/>
      </c>
      <c r="U127" s="149" t="str">
        <f t="shared" ca="1" si="152"/>
        <v/>
      </c>
      <c r="V127" s="150" t="str">
        <f t="shared" si="173"/>
        <v/>
      </c>
      <c r="W127" s="149" t="str">
        <f t="shared" ca="1" si="153"/>
        <v/>
      </c>
      <c r="X127" s="150" t="str">
        <f t="shared" si="174"/>
        <v/>
      </c>
      <c r="Y127" s="149" t="str">
        <f t="shared" ca="1" si="154"/>
        <v/>
      </c>
      <c r="Z127" s="150" t="str">
        <f t="shared" si="175"/>
        <v/>
      </c>
      <c r="AA127" s="149" t="str">
        <f t="shared" ca="1" si="155"/>
        <v/>
      </c>
      <c r="AB127" s="150" t="str">
        <f t="shared" si="176"/>
        <v/>
      </c>
      <c r="AC127" s="149" t="str">
        <f t="shared" ca="1" si="156"/>
        <v/>
      </c>
      <c r="AD127" s="150" t="str">
        <f t="shared" si="177"/>
        <v/>
      </c>
      <c r="AE127" s="149" t="str">
        <f t="shared" si="157"/>
        <v/>
      </c>
      <c r="AF127" s="150" t="str">
        <f t="shared" si="178"/>
        <v/>
      </c>
      <c r="AG127" s="149" t="str">
        <f t="shared" si="158"/>
        <v/>
      </c>
      <c r="AH127" s="150" t="str">
        <f t="shared" si="179"/>
        <v/>
      </c>
      <c r="AI127" s="149" t="str">
        <f t="shared" si="159"/>
        <v/>
      </c>
      <c r="AJ127" s="150" t="str">
        <f t="shared" si="180"/>
        <v/>
      </c>
      <c r="AL127" s="211" t="e">
        <f t="shared" ca="1" si="181"/>
        <v>#DIV/0!</v>
      </c>
      <c r="AM127" s="70" t="e">
        <f t="shared" ca="1" si="182"/>
        <v>#DIV/0!</v>
      </c>
      <c r="AN127" s="276" t="e">
        <f t="shared" ca="1" si="183"/>
        <v>#DIV/0!</v>
      </c>
      <c r="AO127" s="276" t="e">
        <f t="shared" ca="1" si="184"/>
        <v>#DIV/0!</v>
      </c>
    </row>
    <row r="128" spans="1:41" s="142" customFormat="1" ht="21" hidden="1" customHeight="1">
      <c r="A128" s="277"/>
      <c r="B128" s="148" t="str">
        <f t="shared" si="185"/>
        <v/>
      </c>
      <c r="C128" s="149" t="str">
        <f t="shared" si="143"/>
        <v/>
      </c>
      <c r="D128" s="150" t="str">
        <f t="shared" si="164"/>
        <v/>
      </c>
      <c r="E128" s="149" t="str">
        <f t="shared" si="144"/>
        <v/>
      </c>
      <c r="F128" s="150" t="str">
        <f t="shared" si="165"/>
        <v/>
      </c>
      <c r="G128" s="149" t="str">
        <f t="shared" ca="1" si="145"/>
        <v/>
      </c>
      <c r="H128" s="150" t="str">
        <f t="shared" si="166"/>
        <v/>
      </c>
      <c r="I128" s="149" t="str">
        <f t="shared" ca="1" si="146"/>
        <v/>
      </c>
      <c r="J128" s="150" t="str">
        <f t="shared" si="167"/>
        <v/>
      </c>
      <c r="K128" s="149" t="str">
        <f t="shared" ca="1" si="147"/>
        <v/>
      </c>
      <c r="L128" s="150" t="str">
        <f t="shared" si="168"/>
        <v/>
      </c>
      <c r="M128" s="149" t="str">
        <f t="shared" ca="1" si="148"/>
        <v/>
      </c>
      <c r="N128" s="150" t="str">
        <f t="shared" si="169"/>
        <v/>
      </c>
      <c r="O128" s="149" t="str">
        <f t="shared" ca="1" si="149"/>
        <v/>
      </c>
      <c r="P128" s="150" t="str">
        <f t="shared" si="170"/>
        <v/>
      </c>
      <c r="Q128" s="149" t="str">
        <f t="shared" ca="1" si="150"/>
        <v/>
      </c>
      <c r="R128" s="150" t="str">
        <f t="shared" si="171"/>
        <v/>
      </c>
      <c r="S128" s="149" t="str">
        <f t="shared" ca="1" si="151"/>
        <v/>
      </c>
      <c r="T128" s="150" t="str">
        <f t="shared" si="172"/>
        <v/>
      </c>
      <c r="U128" s="149" t="str">
        <f t="shared" ca="1" si="152"/>
        <v/>
      </c>
      <c r="V128" s="150" t="str">
        <f t="shared" si="173"/>
        <v/>
      </c>
      <c r="W128" s="149" t="str">
        <f t="shared" ca="1" si="153"/>
        <v/>
      </c>
      <c r="X128" s="150" t="str">
        <f t="shared" si="174"/>
        <v/>
      </c>
      <c r="Y128" s="149" t="str">
        <f t="shared" ca="1" si="154"/>
        <v/>
      </c>
      <c r="Z128" s="150" t="str">
        <f t="shared" si="175"/>
        <v/>
      </c>
      <c r="AA128" s="149" t="str">
        <f t="shared" ca="1" si="155"/>
        <v/>
      </c>
      <c r="AB128" s="150" t="str">
        <f t="shared" si="176"/>
        <v/>
      </c>
      <c r="AC128" s="149" t="str">
        <f t="shared" ca="1" si="156"/>
        <v/>
      </c>
      <c r="AD128" s="150" t="str">
        <f t="shared" si="177"/>
        <v/>
      </c>
      <c r="AE128" s="149" t="str">
        <f t="shared" si="157"/>
        <v/>
      </c>
      <c r="AF128" s="150" t="str">
        <f t="shared" si="178"/>
        <v/>
      </c>
      <c r="AG128" s="149" t="str">
        <f t="shared" si="158"/>
        <v/>
      </c>
      <c r="AH128" s="150" t="str">
        <f t="shared" si="179"/>
        <v/>
      </c>
      <c r="AI128" s="149" t="str">
        <f t="shared" si="159"/>
        <v/>
      </c>
      <c r="AJ128" s="150" t="str">
        <f t="shared" si="180"/>
        <v/>
      </c>
      <c r="AL128" s="211" t="e">
        <f t="shared" ca="1" si="181"/>
        <v>#DIV/0!</v>
      </c>
      <c r="AM128" s="70" t="e">
        <f t="shared" ca="1" si="182"/>
        <v>#DIV/0!</v>
      </c>
      <c r="AN128" s="276" t="e">
        <f t="shared" ca="1" si="183"/>
        <v>#DIV/0!</v>
      </c>
      <c r="AO128" s="276" t="e">
        <f t="shared" ca="1" si="184"/>
        <v>#DIV/0!</v>
      </c>
    </row>
    <row r="129" spans="1:41" s="142" customFormat="1" ht="21" hidden="1" customHeight="1">
      <c r="A129" s="277"/>
      <c r="B129" s="148" t="str">
        <f t="shared" si="185"/>
        <v/>
      </c>
      <c r="C129" s="149" t="str">
        <f t="shared" si="143"/>
        <v/>
      </c>
      <c r="D129" s="150" t="str">
        <f t="shared" si="164"/>
        <v/>
      </c>
      <c r="E129" s="149" t="str">
        <f t="shared" si="144"/>
        <v/>
      </c>
      <c r="F129" s="150" t="str">
        <f t="shared" si="165"/>
        <v/>
      </c>
      <c r="G129" s="149" t="str">
        <f t="shared" ca="1" si="145"/>
        <v/>
      </c>
      <c r="H129" s="150" t="str">
        <f t="shared" si="166"/>
        <v/>
      </c>
      <c r="I129" s="149" t="str">
        <f t="shared" ca="1" si="146"/>
        <v/>
      </c>
      <c r="J129" s="150" t="str">
        <f t="shared" si="167"/>
        <v/>
      </c>
      <c r="K129" s="149" t="str">
        <f t="shared" ca="1" si="147"/>
        <v/>
      </c>
      <c r="L129" s="150" t="str">
        <f t="shared" si="168"/>
        <v/>
      </c>
      <c r="M129" s="149" t="str">
        <f t="shared" ca="1" si="148"/>
        <v/>
      </c>
      <c r="N129" s="150" t="str">
        <f t="shared" si="169"/>
        <v/>
      </c>
      <c r="O129" s="149" t="str">
        <f t="shared" ca="1" si="149"/>
        <v/>
      </c>
      <c r="P129" s="150" t="str">
        <f t="shared" si="170"/>
        <v/>
      </c>
      <c r="Q129" s="149" t="str">
        <f t="shared" ca="1" si="150"/>
        <v/>
      </c>
      <c r="R129" s="150" t="str">
        <f t="shared" si="171"/>
        <v/>
      </c>
      <c r="S129" s="149" t="str">
        <f t="shared" ca="1" si="151"/>
        <v/>
      </c>
      <c r="T129" s="150" t="str">
        <f t="shared" si="172"/>
        <v/>
      </c>
      <c r="U129" s="149" t="str">
        <f t="shared" ca="1" si="152"/>
        <v/>
      </c>
      <c r="V129" s="150" t="str">
        <f t="shared" si="173"/>
        <v/>
      </c>
      <c r="W129" s="149" t="str">
        <f t="shared" ca="1" si="153"/>
        <v/>
      </c>
      <c r="X129" s="150" t="str">
        <f t="shared" si="174"/>
        <v/>
      </c>
      <c r="Y129" s="149" t="str">
        <f t="shared" ca="1" si="154"/>
        <v/>
      </c>
      <c r="Z129" s="150" t="str">
        <f t="shared" si="175"/>
        <v/>
      </c>
      <c r="AA129" s="149" t="str">
        <f t="shared" ca="1" si="155"/>
        <v/>
      </c>
      <c r="AB129" s="150" t="str">
        <f t="shared" si="176"/>
        <v/>
      </c>
      <c r="AC129" s="149" t="str">
        <f t="shared" ca="1" si="156"/>
        <v/>
      </c>
      <c r="AD129" s="150" t="str">
        <f t="shared" si="177"/>
        <v/>
      </c>
      <c r="AE129" s="149" t="str">
        <f t="shared" si="157"/>
        <v/>
      </c>
      <c r="AF129" s="150" t="str">
        <f t="shared" si="178"/>
        <v/>
      </c>
      <c r="AG129" s="149" t="str">
        <f t="shared" si="158"/>
        <v/>
      </c>
      <c r="AH129" s="150" t="str">
        <f t="shared" si="179"/>
        <v/>
      </c>
      <c r="AI129" s="149" t="str">
        <f t="shared" si="159"/>
        <v/>
      </c>
      <c r="AJ129" s="150" t="str">
        <f t="shared" si="180"/>
        <v/>
      </c>
      <c r="AL129" s="211" t="e">
        <f t="shared" ca="1" si="181"/>
        <v>#DIV/0!</v>
      </c>
      <c r="AM129" s="70" t="e">
        <f t="shared" ca="1" si="182"/>
        <v>#DIV/0!</v>
      </c>
      <c r="AN129" s="276" t="e">
        <f t="shared" ca="1" si="183"/>
        <v>#DIV/0!</v>
      </c>
      <c r="AO129" s="276" t="e">
        <f t="shared" ca="1" si="184"/>
        <v>#DIV/0!</v>
      </c>
    </row>
    <row r="130" spans="1:41" s="142" customFormat="1" ht="21" hidden="1" customHeight="1">
      <c r="A130" s="277"/>
      <c r="B130" s="148" t="str">
        <f t="shared" si="185"/>
        <v/>
      </c>
      <c r="C130" s="149" t="str">
        <f t="shared" si="143"/>
        <v/>
      </c>
      <c r="D130" s="150" t="str">
        <f t="shared" si="164"/>
        <v/>
      </c>
      <c r="E130" s="149" t="str">
        <f t="shared" si="144"/>
        <v/>
      </c>
      <c r="F130" s="150" t="str">
        <f t="shared" si="165"/>
        <v/>
      </c>
      <c r="G130" s="149" t="str">
        <f t="shared" ca="1" si="145"/>
        <v/>
      </c>
      <c r="H130" s="150" t="str">
        <f t="shared" si="166"/>
        <v/>
      </c>
      <c r="I130" s="149" t="str">
        <f t="shared" ca="1" si="146"/>
        <v/>
      </c>
      <c r="J130" s="150" t="str">
        <f t="shared" si="167"/>
        <v/>
      </c>
      <c r="K130" s="149" t="str">
        <f t="shared" ca="1" si="147"/>
        <v/>
      </c>
      <c r="L130" s="150" t="str">
        <f t="shared" si="168"/>
        <v/>
      </c>
      <c r="M130" s="149" t="str">
        <f t="shared" ca="1" si="148"/>
        <v/>
      </c>
      <c r="N130" s="150" t="str">
        <f t="shared" si="169"/>
        <v/>
      </c>
      <c r="O130" s="149" t="str">
        <f t="shared" ca="1" si="149"/>
        <v/>
      </c>
      <c r="P130" s="150" t="str">
        <f t="shared" si="170"/>
        <v/>
      </c>
      <c r="Q130" s="149" t="str">
        <f t="shared" ca="1" si="150"/>
        <v/>
      </c>
      <c r="R130" s="150" t="str">
        <f t="shared" si="171"/>
        <v/>
      </c>
      <c r="S130" s="149" t="str">
        <f t="shared" ca="1" si="151"/>
        <v/>
      </c>
      <c r="T130" s="150" t="str">
        <f t="shared" si="172"/>
        <v/>
      </c>
      <c r="U130" s="149" t="str">
        <f t="shared" ca="1" si="152"/>
        <v/>
      </c>
      <c r="V130" s="150" t="str">
        <f t="shared" si="173"/>
        <v/>
      </c>
      <c r="W130" s="149" t="str">
        <f t="shared" ca="1" si="153"/>
        <v/>
      </c>
      <c r="X130" s="150" t="str">
        <f t="shared" si="174"/>
        <v/>
      </c>
      <c r="Y130" s="149" t="str">
        <f t="shared" ca="1" si="154"/>
        <v/>
      </c>
      <c r="Z130" s="150" t="str">
        <f t="shared" si="175"/>
        <v/>
      </c>
      <c r="AA130" s="149" t="str">
        <f t="shared" ca="1" si="155"/>
        <v/>
      </c>
      <c r="AB130" s="150" t="str">
        <f t="shared" si="176"/>
        <v/>
      </c>
      <c r="AC130" s="149" t="str">
        <f t="shared" ca="1" si="156"/>
        <v/>
      </c>
      <c r="AD130" s="150" t="str">
        <f t="shared" si="177"/>
        <v/>
      </c>
      <c r="AE130" s="149" t="str">
        <f t="shared" si="157"/>
        <v/>
      </c>
      <c r="AF130" s="150" t="str">
        <f t="shared" si="178"/>
        <v/>
      </c>
      <c r="AG130" s="149" t="str">
        <f t="shared" si="158"/>
        <v/>
      </c>
      <c r="AH130" s="150" t="str">
        <f t="shared" si="179"/>
        <v/>
      </c>
      <c r="AI130" s="149" t="str">
        <f t="shared" si="159"/>
        <v/>
      </c>
      <c r="AJ130" s="150" t="str">
        <f t="shared" si="180"/>
        <v/>
      </c>
      <c r="AL130" s="211" t="e">
        <f t="shared" ca="1" si="181"/>
        <v>#DIV/0!</v>
      </c>
      <c r="AM130" s="70" t="e">
        <f t="shared" ca="1" si="182"/>
        <v>#DIV/0!</v>
      </c>
      <c r="AN130" s="276" t="e">
        <f t="shared" ca="1" si="183"/>
        <v>#DIV/0!</v>
      </c>
      <c r="AO130" s="276" t="e">
        <f t="shared" ca="1" si="184"/>
        <v>#DIV/0!</v>
      </c>
    </row>
    <row r="131" spans="1:41" s="142" customFormat="1" ht="21" hidden="1" customHeight="1">
      <c r="A131" s="277"/>
      <c r="B131" s="148" t="str">
        <f t="shared" si="185"/>
        <v/>
      </c>
      <c r="C131" s="149" t="str">
        <f t="shared" si="143"/>
        <v/>
      </c>
      <c r="D131" s="150" t="str">
        <f t="shared" si="164"/>
        <v/>
      </c>
      <c r="E131" s="149" t="str">
        <f t="shared" si="144"/>
        <v/>
      </c>
      <c r="F131" s="150" t="str">
        <f t="shared" si="165"/>
        <v/>
      </c>
      <c r="G131" s="149" t="str">
        <f t="shared" ca="1" si="145"/>
        <v/>
      </c>
      <c r="H131" s="150" t="str">
        <f t="shared" si="166"/>
        <v/>
      </c>
      <c r="I131" s="149" t="str">
        <f t="shared" ca="1" si="146"/>
        <v/>
      </c>
      <c r="J131" s="150" t="str">
        <f t="shared" si="167"/>
        <v/>
      </c>
      <c r="K131" s="149" t="str">
        <f t="shared" ca="1" si="147"/>
        <v/>
      </c>
      <c r="L131" s="150" t="str">
        <f t="shared" si="168"/>
        <v/>
      </c>
      <c r="M131" s="149" t="str">
        <f t="shared" ca="1" si="148"/>
        <v/>
      </c>
      <c r="N131" s="150" t="str">
        <f t="shared" si="169"/>
        <v/>
      </c>
      <c r="O131" s="149" t="str">
        <f t="shared" ca="1" si="149"/>
        <v/>
      </c>
      <c r="P131" s="150" t="str">
        <f t="shared" si="170"/>
        <v/>
      </c>
      <c r="Q131" s="149" t="str">
        <f t="shared" ca="1" si="150"/>
        <v/>
      </c>
      <c r="R131" s="150" t="str">
        <f t="shared" si="171"/>
        <v/>
      </c>
      <c r="S131" s="149" t="str">
        <f t="shared" ca="1" si="151"/>
        <v/>
      </c>
      <c r="T131" s="150" t="str">
        <f t="shared" si="172"/>
        <v/>
      </c>
      <c r="U131" s="149" t="str">
        <f t="shared" ca="1" si="152"/>
        <v/>
      </c>
      <c r="V131" s="150" t="str">
        <f t="shared" si="173"/>
        <v/>
      </c>
      <c r="W131" s="149" t="str">
        <f t="shared" ca="1" si="153"/>
        <v/>
      </c>
      <c r="X131" s="150" t="str">
        <f t="shared" si="174"/>
        <v/>
      </c>
      <c r="Y131" s="149" t="str">
        <f t="shared" ca="1" si="154"/>
        <v/>
      </c>
      <c r="Z131" s="150" t="str">
        <f t="shared" si="175"/>
        <v/>
      </c>
      <c r="AA131" s="149" t="str">
        <f t="shared" ca="1" si="155"/>
        <v/>
      </c>
      <c r="AB131" s="150" t="str">
        <f t="shared" si="176"/>
        <v/>
      </c>
      <c r="AC131" s="149" t="str">
        <f t="shared" ca="1" si="156"/>
        <v/>
      </c>
      <c r="AD131" s="150" t="str">
        <f t="shared" si="177"/>
        <v/>
      </c>
      <c r="AE131" s="149" t="str">
        <f t="shared" si="157"/>
        <v/>
      </c>
      <c r="AF131" s="150" t="str">
        <f t="shared" si="178"/>
        <v/>
      </c>
      <c r="AG131" s="149" t="str">
        <f t="shared" si="158"/>
        <v/>
      </c>
      <c r="AH131" s="150" t="str">
        <f t="shared" si="179"/>
        <v/>
      </c>
      <c r="AI131" s="149" t="str">
        <f t="shared" si="159"/>
        <v/>
      </c>
      <c r="AJ131" s="150" t="str">
        <f t="shared" si="180"/>
        <v/>
      </c>
      <c r="AL131" s="211" t="e">
        <f t="shared" ca="1" si="181"/>
        <v>#DIV/0!</v>
      </c>
      <c r="AM131" s="70" t="e">
        <f t="shared" ca="1" si="182"/>
        <v>#DIV/0!</v>
      </c>
      <c r="AN131" s="276" t="e">
        <f t="shared" ca="1" si="183"/>
        <v>#DIV/0!</v>
      </c>
      <c r="AO131" s="276" t="e">
        <f t="shared" ca="1" si="184"/>
        <v>#DIV/0!</v>
      </c>
    </row>
    <row r="132" spans="1:41" s="142" customFormat="1" ht="21" hidden="1" customHeight="1">
      <c r="A132" s="277"/>
      <c r="B132" s="148" t="str">
        <f t="shared" si="185"/>
        <v/>
      </c>
      <c r="C132" s="149" t="str">
        <f t="shared" si="143"/>
        <v/>
      </c>
      <c r="D132" s="150" t="str">
        <f t="shared" si="164"/>
        <v/>
      </c>
      <c r="E132" s="149" t="str">
        <f t="shared" si="144"/>
        <v/>
      </c>
      <c r="F132" s="150" t="str">
        <f t="shared" si="165"/>
        <v/>
      </c>
      <c r="G132" s="149" t="str">
        <f t="shared" ca="1" si="145"/>
        <v/>
      </c>
      <c r="H132" s="150" t="str">
        <f t="shared" si="166"/>
        <v/>
      </c>
      <c r="I132" s="149" t="str">
        <f t="shared" ca="1" si="146"/>
        <v/>
      </c>
      <c r="J132" s="150" t="str">
        <f t="shared" si="167"/>
        <v/>
      </c>
      <c r="K132" s="149" t="str">
        <f t="shared" ca="1" si="147"/>
        <v/>
      </c>
      <c r="L132" s="150" t="str">
        <f t="shared" si="168"/>
        <v/>
      </c>
      <c r="M132" s="149" t="str">
        <f t="shared" ca="1" si="148"/>
        <v/>
      </c>
      <c r="N132" s="150" t="str">
        <f t="shared" si="169"/>
        <v/>
      </c>
      <c r="O132" s="149" t="str">
        <f t="shared" ca="1" si="149"/>
        <v/>
      </c>
      <c r="P132" s="150" t="str">
        <f t="shared" si="170"/>
        <v/>
      </c>
      <c r="Q132" s="149" t="str">
        <f t="shared" ca="1" si="150"/>
        <v/>
      </c>
      <c r="R132" s="150" t="str">
        <f t="shared" si="171"/>
        <v/>
      </c>
      <c r="S132" s="149" t="str">
        <f t="shared" ca="1" si="151"/>
        <v/>
      </c>
      <c r="T132" s="150" t="str">
        <f t="shared" si="172"/>
        <v/>
      </c>
      <c r="U132" s="149" t="str">
        <f t="shared" ca="1" si="152"/>
        <v/>
      </c>
      <c r="V132" s="150" t="str">
        <f t="shared" si="173"/>
        <v/>
      </c>
      <c r="W132" s="149" t="str">
        <f t="shared" ca="1" si="153"/>
        <v/>
      </c>
      <c r="X132" s="150" t="str">
        <f t="shared" si="174"/>
        <v/>
      </c>
      <c r="Y132" s="149" t="str">
        <f t="shared" ca="1" si="154"/>
        <v/>
      </c>
      <c r="Z132" s="150" t="str">
        <f t="shared" si="175"/>
        <v/>
      </c>
      <c r="AA132" s="149" t="str">
        <f t="shared" ca="1" si="155"/>
        <v/>
      </c>
      <c r="AB132" s="150" t="str">
        <f t="shared" si="176"/>
        <v/>
      </c>
      <c r="AC132" s="149" t="str">
        <f t="shared" ca="1" si="156"/>
        <v/>
      </c>
      <c r="AD132" s="150" t="str">
        <f t="shared" si="177"/>
        <v/>
      </c>
      <c r="AE132" s="149" t="str">
        <f t="shared" si="157"/>
        <v/>
      </c>
      <c r="AF132" s="150" t="str">
        <f t="shared" si="178"/>
        <v/>
      </c>
      <c r="AG132" s="149" t="str">
        <f t="shared" si="158"/>
        <v/>
      </c>
      <c r="AH132" s="150" t="str">
        <f t="shared" si="179"/>
        <v/>
      </c>
      <c r="AI132" s="149" t="str">
        <f t="shared" si="159"/>
        <v/>
      </c>
      <c r="AJ132" s="150" t="str">
        <f t="shared" si="180"/>
        <v/>
      </c>
      <c r="AL132" s="211" t="e">
        <f t="shared" ca="1" si="181"/>
        <v>#DIV/0!</v>
      </c>
      <c r="AM132" s="70" t="e">
        <f t="shared" ca="1" si="182"/>
        <v>#DIV/0!</v>
      </c>
      <c r="AN132" s="276" t="e">
        <f t="shared" ca="1" si="183"/>
        <v>#DIV/0!</v>
      </c>
      <c r="AO132" s="276" t="e">
        <f t="shared" ca="1" si="184"/>
        <v>#DIV/0!</v>
      </c>
    </row>
    <row r="133" spans="1:41" s="142" customFormat="1" ht="21" hidden="1" customHeight="1">
      <c r="A133" s="277"/>
      <c r="B133" s="148" t="str">
        <f t="shared" si="185"/>
        <v/>
      </c>
      <c r="C133" s="149" t="str">
        <f t="shared" si="143"/>
        <v/>
      </c>
      <c r="D133" s="150" t="str">
        <f t="shared" si="164"/>
        <v/>
      </c>
      <c r="E133" s="149" t="str">
        <f t="shared" si="144"/>
        <v/>
      </c>
      <c r="F133" s="150" t="str">
        <f t="shared" si="165"/>
        <v/>
      </c>
      <c r="G133" s="149" t="str">
        <f t="shared" ca="1" si="145"/>
        <v/>
      </c>
      <c r="H133" s="150" t="str">
        <f t="shared" si="166"/>
        <v/>
      </c>
      <c r="I133" s="149" t="str">
        <f t="shared" ca="1" si="146"/>
        <v/>
      </c>
      <c r="J133" s="150" t="str">
        <f t="shared" si="167"/>
        <v/>
      </c>
      <c r="K133" s="149" t="str">
        <f t="shared" ca="1" si="147"/>
        <v/>
      </c>
      <c r="L133" s="150" t="str">
        <f t="shared" si="168"/>
        <v/>
      </c>
      <c r="M133" s="149" t="str">
        <f t="shared" ca="1" si="148"/>
        <v/>
      </c>
      <c r="N133" s="150" t="str">
        <f t="shared" si="169"/>
        <v/>
      </c>
      <c r="O133" s="149" t="str">
        <f t="shared" ca="1" si="149"/>
        <v/>
      </c>
      <c r="P133" s="150" t="str">
        <f t="shared" si="170"/>
        <v/>
      </c>
      <c r="Q133" s="149" t="str">
        <f t="shared" ca="1" si="150"/>
        <v/>
      </c>
      <c r="R133" s="150" t="str">
        <f t="shared" si="171"/>
        <v/>
      </c>
      <c r="S133" s="149" t="str">
        <f t="shared" ca="1" si="151"/>
        <v/>
      </c>
      <c r="T133" s="150" t="str">
        <f t="shared" si="172"/>
        <v/>
      </c>
      <c r="U133" s="149" t="str">
        <f t="shared" ca="1" si="152"/>
        <v/>
      </c>
      <c r="V133" s="150" t="str">
        <f t="shared" si="173"/>
        <v/>
      </c>
      <c r="W133" s="149" t="str">
        <f t="shared" ca="1" si="153"/>
        <v/>
      </c>
      <c r="X133" s="150" t="str">
        <f t="shared" si="174"/>
        <v/>
      </c>
      <c r="Y133" s="149" t="str">
        <f t="shared" ca="1" si="154"/>
        <v/>
      </c>
      <c r="Z133" s="150" t="str">
        <f t="shared" si="175"/>
        <v/>
      </c>
      <c r="AA133" s="149" t="str">
        <f t="shared" ca="1" si="155"/>
        <v/>
      </c>
      <c r="AB133" s="150" t="str">
        <f t="shared" si="176"/>
        <v/>
      </c>
      <c r="AC133" s="149" t="str">
        <f t="shared" ca="1" si="156"/>
        <v/>
      </c>
      <c r="AD133" s="150" t="str">
        <f t="shared" si="177"/>
        <v/>
      </c>
      <c r="AE133" s="149" t="str">
        <f t="shared" si="157"/>
        <v/>
      </c>
      <c r="AF133" s="150" t="str">
        <f t="shared" si="178"/>
        <v/>
      </c>
      <c r="AG133" s="149" t="str">
        <f t="shared" si="158"/>
        <v/>
      </c>
      <c r="AH133" s="150" t="str">
        <f t="shared" si="179"/>
        <v/>
      </c>
      <c r="AI133" s="149" t="str">
        <f t="shared" si="159"/>
        <v/>
      </c>
      <c r="AJ133" s="150" t="str">
        <f t="shared" si="180"/>
        <v/>
      </c>
      <c r="AL133" s="211" t="e">
        <f t="shared" ca="1" si="181"/>
        <v>#DIV/0!</v>
      </c>
      <c r="AM133" s="70" t="e">
        <f t="shared" ca="1" si="182"/>
        <v>#DIV/0!</v>
      </c>
      <c r="AN133" s="276" t="e">
        <f t="shared" ca="1" si="183"/>
        <v>#DIV/0!</v>
      </c>
      <c r="AO133" s="276" t="e">
        <f t="shared" ca="1" si="184"/>
        <v>#DIV/0!</v>
      </c>
    </row>
    <row r="134" spans="1:41" s="142" customFormat="1" ht="21" hidden="1" customHeight="1">
      <c r="A134" s="277"/>
      <c r="B134" s="148" t="str">
        <f t="shared" si="185"/>
        <v/>
      </c>
      <c r="C134" s="149" t="str">
        <f t="shared" si="143"/>
        <v/>
      </c>
      <c r="D134" s="150" t="str">
        <f t="shared" si="164"/>
        <v/>
      </c>
      <c r="E134" s="149" t="str">
        <f t="shared" si="144"/>
        <v/>
      </c>
      <c r="F134" s="150" t="str">
        <f t="shared" si="165"/>
        <v/>
      </c>
      <c r="G134" s="149" t="str">
        <f t="shared" ca="1" si="145"/>
        <v/>
      </c>
      <c r="H134" s="150" t="str">
        <f t="shared" si="166"/>
        <v/>
      </c>
      <c r="I134" s="149" t="str">
        <f t="shared" ca="1" si="146"/>
        <v/>
      </c>
      <c r="J134" s="150" t="str">
        <f t="shared" si="167"/>
        <v/>
      </c>
      <c r="K134" s="149" t="str">
        <f t="shared" ca="1" si="147"/>
        <v/>
      </c>
      <c r="L134" s="150" t="str">
        <f t="shared" si="168"/>
        <v/>
      </c>
      <c r="M134" s="149" t="str">
        <f t="shared" ca="1" si="148"/>
        <v/>
      </c>
      <c r="N134" s="150" t="str">
        <f t="shared" si="169"/>
        <v/>
      </c>
      <c r="O134" s="149" t="str">
        <f t="shared" ca="1" si="149"/>
        <v/>
      </c>
      <c r="P134" s="150" t="str">
        <f t="shared" si="170"/>
        <v/>
      </c>
      <c r="Q134" s="149" t="str">
        <f t="shared" ca="1" si="150"/>
        <v/>
      </c>
      <c r="R134" s="150" t="str">
        <f t="shared" si="171"/>
        <v/>
      </c>
      <c r="S134" s="149" t="str">
        <f t="shared" ca="1" si="151"/>
        <v/>
      </c>
      <c r="T134" s="150" t="str">
        <f t="shared" si="172"/>
        <v/>
      </c>
      <c r="U134" s="149" t="str">
        <f t="shared" ca="1" si="152"/>
        <v/>
      </c>
      <c r="V134" s="150" t="str">
        <f t="shared" si="173"/>
        <v/>
      </c>
      <c r="W134" s="149" t="str">
        <f t="shared" ca="1" si="153"/>
        <v/>
      </c>
      <c r="X134" s="150" t="str">
        <f t="shared" si="174"/>
        <v/>
      </c>
      <c r="Y134" s="149" t="str">
        <f t="shared" ca="1" si="154"/>
        <v/>
      </c>
      <c r="Z134" s="150" t="str">
        <f t="shared" si="175"/>
        <v/>
      </c>
      <c r="AA134" s="149" t="str">
        <f t="shared" ca="1" si="155"/>
        <v/>
      </c>
      <c r="AB134" s="150" t="str">
        <f t="shared" si="176"/>
        <v/>
      </c>
      <c r="AC134" s="149" t="str">
        <f t="shared" ca="1" si="156"/>
        <v/>
      </c>
      <c r="AD134" s="150" t="str">
        <f t="shared" si="177"/>
        <v/>
      </c>
      <c r="AE134" s="149" t="str">
        <f t="shared" si="157"/>
        <v/>
      </c>
      <c r="AF134" s="150" t="str">
        <f t="shared" si="178"/>
        <v/>
      </c>
      <c r="AG134" s="149" t="str">
        <f t="shared" si="158"/>
        <v/>
      </c>
      <c r="AH134" s="150" t="str">
        <f t="shared" si="179"/>
        <v/>
      </c>
      <c r="AI134" s="149" t="str">
        <f t="shared" si="159"/>
        <v/>
      </c>
      <c r="AJ134" s="150" t="str">
        <f t="shared" si="180"/>
        <v/>
      </c>
      <c r="AL134" s="211" t="e">
        <f t="shared" ca="1" si="181"/>
        <v>#DIV/0!</v>
      </c>
      <c r="AM134" s="70" t="e">
        <f t="shared" ca="1" si="182"/>
        <v>#DIV/0!</v>
      </c>
      <c r="AN134" s="276" t="e">
        <f t="shared" ca="1" si="183"/>
        <v>#DIV/0!</v>
      </c>
      <c r="AO134" s="276" t="e">
        <f t="shared" ca="1" si="184"/>
        <v>#DIV/0!</v>
      </c>
    </row>
    <row r="135" spans="1:41" s="142" customFormat="1" ht="26.25" hidden="1" customHeight="1">
      <c r="A135" s="277"/>
      <c r="B135" s="148" t="str">
        <f t="shared" si="185"/>
        <v/>
      </c>
      <c r="C135" s="149" t="str">
        <f t="shared" si="143"/>
        <v/>
      </c>
      <c r="D135" s="150" t="str">
        <f t="shared" si="164"/>
        <v/>
      </c>
      <c r="E135" s="149" t="str">
        <f t="shared" si="144"/>
        <v/>
      </c>
      <c r="F135" s="150" t="str">
        <f t="shared" si="165"/>
        <v/>
      </c>
      <c r="G135" s="149" t="str">
        <f t="shared" ca="1" si="145"/>
        <v/>
      </c>
      <c r="H135" s="150" t="str">
        <f t="shared" si="166"/>
        <v/>
      </c>
      <c r="I135" s="149" t="str">
        <f t="shared" ca="1" si="146"/>
        <v/>
      </c>
      <c r="J135" s="150" t="str">
        <f t="shared" si="167"/>
        <v/>
      </c>
      <c r="K135" s="149" t="str">
        <f t="shared" ca="1" si="147"/>
        <v/>
      </c>
      <c r="L135" s="150" t="str">
        <f t="shared" si="168"/>
        <v/>
      </c>
      <c r="M135" s="149" t="str">
        <f t="shared" ca="1" si="148"/>
        <v/>
      </c>
      <c r="N135" s="150" t="str">
        <f t="shared" si="169"/>
        <v/>
      </c>
      <c r="O135" s="149" t="str">
        <f t="shared" ca="1" si="149"/>
        <v/>
      </c>
      <c r="P135" s="150" t="str">
        <f t="shared" si="170"/>
        <v/>
      </c>
      <c r="Q135" s="149" t="str">
        <f t="shared" ca="1" si="150"/>
        <v/>
      </c>
      <c r="R135" s="150" t="str">
        <f t="shared" si="171"/>
        <v/>
      </c>
      <c r="S135" s="149" t="str">
        <f t="shared" ca="1" si="151"/>
        <v/>
      </c>
      <c r="T135" s="150" t="str">
        <f t="shared" si="172"/>
        <v/>
      </c>
      <c r="U135" s="149" t="str">
        <f t="shared" ca="1" si="152"/>
        <v/>
      </c>
      <c r="V135" s="150" t="str">
        <f t="shared" si="173"/>
        <v/>
      </c>
      <c r="W135" s="149" t="str">
        <f t="shared" ca="1" si="153"/>
        <v/>
      </c>
      <c r="X135" s="150" t="str">
        <f t="shared" si="174"/>
        <v/>
      </c>
      <c r="Y135" s="149" t="str">
        <f t="shared" ca="1" si="154"/>
        <v/>
      </c>
      <c r="Z135" s="150" t="str">
        <f t="shared" si="175"/>
        <v/>
      </c>
      <c r="AA135" s="149" t="str">
        <f t="shared" ca="1" si="155"/>
        <v/>
      </c>
      <c r="AB135" s="150" t="str">
        <f t="shared" si="176"/>
        <v/>
      </c>
      <c r="AC135" s="149" t="str">
        <f t="shared" ca="1" si="156"/>
        <v/>
      </c>
      <c r="AD135" s="150" t="str">
        <f t="shared" si="177"/>
        <v/>
      </c>
      <c r="AE135" s="149" t="str">
        <f t="shared" si="157"/>
        <v/>
      </c>
      <c r="AF135" s="150" t="str">
        <f t="shared" si="178"/>
        <v/>
      </c>
      <c r="AG135" s="149" t="str">
        <f t="shared" si="158"/>
        <v/>
      </c>
      <c r="AH135" s="150" t="str">
        <f t="shared" si="179"/>
        <v/>
      </c>
      <c r="AI135" s="149" t="str">
        <f t="shared" si="159"/>
        <v/>
      </c>
      <c r="AJ135" s="150" t="str">
        <f t="shared" si="180"/>
        <v/>
      </c>
      <c r="AL135" s="211" t="e">
        <f t="shared" ca="1" si="181"/>
        <v>#DIV/0!</v>
      </c>
      <c r="AM135" s="70" t="e">
        <f t="shared" ca="1" si="182"/>
        <v>#DIV/0!</v>
      </c>
      <c r="AN135" s="276" t="e">
        <f t="shared" ca="1" si="183"/>
        <v>#DIV/0!</v>
      </c>
      <c r="AO135" s="276" t="e">
        <f t="shared" ca="1" si="184"/>
        <v>#DIV/0!</v>
      </c>
    </row>
    <row r="136" spans="1:41" ht="24.75" hidden="1" customHeight="1">
      <c r="A136" s="277"/>
      <c r="B136" s="148" t="str">
        <f t="shared" ref="B136:B140" si="186">IF(A136="","",IF($K$4="Media aritmética",ROUND(AVERAGE(C136,E136,G136,I136,K136,M136,O136,Q136,S136,U136,W136,Y136,AA136,AC136,AE136,AG136,AI136),2),ROUND(_xlfn.STDEV.P(C136,E136,G136,I136,K136,M136,O136,Q136,S136,U136,W136,Y136,AA136,AC136,AE136,AG136,AI136),2)))</f>
        <v/>
      </c>
      <c r="C136" s="149" t="str">
        <f t="shared" si="143"/>
        <v/>
      </c>
      <c r="D136" s="150" t="str">
        <f t="shared" ref="D136:D140" si="187">IF($A136="","",IF(C136="","",IF($K$4="Media aritmética",(C136&lt;=$B136)*($G$5/$B$5)+(C136&gt;$B136)*0,IF(AND(ROUND(AVERAGE($C136,$E136,$G136,$I136,$K136,$M136,$O136,$Q136,$S136,$U136,$W136,$Y136,$AA136,$AC136,$AE136,$AG136,$AI136),2)-$B136/2&lt;=C136,(ROUND(AVERAGE($C136,$E136,$G136,$I136,$K136,$M136,$O136,$Q136,$S136,$U136,$W136,$Y136,$AA136,$AC136,$AE136,$AG136,$AI136),2)+$B136/2&gt;=C136)),($G$5/$B$5),0))))</f>
        <v/>
      </c>
      <c r="E136" s="149" t="str">
        <f t="shared" si="144"/>
        <v/>
      </c>
      <c r="F136" s="150" t="str">
        <f t="shared" ref="F136:F140" si="188">IF($A136="","",IF(E136="","",IF($K$4="Media aritmética",(E136&lt;=$B136)*($G$5/$B$5)+(E136&gt;$B136)*0,IF(AND(ROUND(AVERAGE($C136,$E136,$G136,$I136,$K136,$M136,$O136,$Q136,$S136,$U136,$W136,$Y136,$AA136,$AC136,$AE136,$AG136,$AI136),2)-$B136/2&lt;=E136,(ROUND(AVERAGE($C136,$E136,$G136,$I136,$K136,$M136,$O136,$Q136,$S136,$U136,$W136,$Y136,$AA136,$AC136,$AE136,$AG136,$AI136),2)+$B136/2&gt;=E136)),($G$5/$B$5),0))))</f>
        <v/>
      </c>
      <c r="G136" s="149" t="str">
        <f t="shared" ca="1" si="145"/>
        <v/>
      </c>
      <c r="H136" s="150" t="str">
        <f t="shared" ref="H136:H140" si="189">IF($A136="","",IF(G136="","",IF($K$4="Media aritmética",(G136&lt;=$B136)*($G$5/$B$5)+(G136&gt;$B136)*0,IF(AND(ROUND(AVERAGE($C136,$E136,$G136,$I136,$K136,$M136,$O136,$Q136,$S136,$U136,$W136,$Y136,$AA136,$AC136,$AE136,$AG136,$AI136),2)-$B136/2&lt;=G136,(ROUND(AVERAGE($C136,$E136,$G136,$I136,$K136,$M136,$O136,$Q136,$S136,$U136,$W136,$Y136,$AA136,$AC136,$AE136,$AG136,$AI136),2)+$B136/2&gt;=G136)),($G$5/$B$5),0))))</f>
        <v/>
      </c>
      <c r="I136" s="149" t="str">
        <f t="shared" ca="1" si="146"/>
        <v/>
      </c>
      <c r="J136" s="150" t="str">
        <f t="shared" ref="J136:J140" si="190">IF($A136="","",IF(I136="","",IF($K$4="Media aritmética",(I136&lt;=$B136)*($G$5/$B$5)+(I136&gt;$B136)*0,IF(AND(ROUND(AVERAGE($C136,$E136,$G136,$I136,$K136,$M136,$O136,$Q136,$S136,$U136,$W136,$Y136,$AA136,$AC136,$AE136,$AG136,$AI136),2)-$B136/2&lt;=I136,(ROUND(AVERAGE($C136,$E136,$G136,$I136,$K136,$M136,$O136,$Q136,$S136,$U136,$W136,$Y136,$AA136,$AC136,$AE136,$AG136,$AI136),2)+$B136/2&gt;=I136)),($G$5/$B$5),0))))</f>
        <v/>
      </c>
      <c r="K136" s="149" t="str">
        <f t="shared" ca="1" si="147"/>
        <v/>
      </c>
      <c r="L136" s="150" t="str">
        <f t="shared" ref="L136:L140" si="191">IF($A136="","",IF(K136="","",IF($K$4="Media aritmética",(K136&lt;=$B136)*($G$5/$B$5)+(K136&gt;$B136)*0,IF(AND(ROUND(AVERAGE($C136,$E136,$G136,$I136,$K136,$M136,$O136,$Q136,$S136,$U136,$W136,$Y136,$AA136,$AC136,$AE136,$AG136,$AI136),2)-$B136/2&lt;=K136,(ROUND(AVERAGE($C136,$E136,$G136,$I136,$K136,$M136,$O136,$Q136,$S136,$U136,$W136,$Y136,$AA136,$AC136,$AE136,$AG136,$AI136),2)+$B136/2&gt;=K136)),($G$5/$B$5),0))))</f>
        <v/>
      </c>
      <c r="M136" s="149" t="str">
        <f t="shared" ca="1" si="148"/>
        <v/>
      </c>
      <c r="N136" s="150" t="str">
        <f t="shared" ref="N136:N140" si="192">IF($A136="","",IF(M136="","",IF($K$4="Media aritmética",(M136&lt;=$B136)*($G$5/$B$5)+(M136&gt;$B136)*0,IF(AND(ROUND(AVERAGE($C136,$E136,$G136,$I136,$K136,$M136,$O136,$Q136,$S136,$U136,$W136,$Y136,$AA136,$AC136,$AE136,$AG136,$AI136),2)-$B136/2&lt;=M136,(ROUND(AVERAGE($C136,$E136,$G136,$I136,$K136,$M136,$O136,$Q136,$S136,$U136,$W136,$Y136,$AA136,$AC136,$AE136,$AG136,$AI136),2)+$B136/2&gt;=M136)),($G$5/$B$5),0))))</f>
        <v/>
      </c>
      <c r="O136" s="149" t="str">
        <f t="shared" ca="1" si="149"/>
        <v/>
      </c>
      <c r="P136" s="150" t="str">
        <f t="shared" ref="P136:P140" si="193">IF($A136="","",IF(O136="","",IF($K$4="Media aritmética",(O136&lt;=$B136)*($G$5/$B$5)+(O136&gt;$B136)*0,IF(AND(ROUND(AVERAGE($C136,$E136,$G136,$I136,$K136,$M136,$O136,$Q136,$S136,$U136,$W136,$Y136,$AA136,$AC136,$AE136,$AG136,$AI136),2)-$B136/2&lt;=O136,(ROUND(AVERAGE($C136,$E136,$G136,$I136,$K136,$M136,$O136,$Q136,$S136,$U136,$W136,$Y136,$AA136,$AC136,$AE136,$AG136,$AI136),2)+$B136/2&gt;=O136)),($G$5/$B$5),0))))</f>
        <v/>
      </c>
      <c r="Q136" s="149" t="str">
        <f t="shared" ca="1" si="150"/>
        <v/>
      </c>
      <c r="R136" s="150" t="str">
        <f t="shared" ref="R136:R140" si="194">IF($A136="","",IF(Q136="","",IF($K$4="Media aritmética",(Q136&lt;=$B136)*($G$5/$B$5)+(Q136&gt;$B136)*0,IF(AND(ROUND(AVERAGE($C136,$E136,$G136,$I136,$K136,$M136,$O136,$Q136,$S136,$U136,$W136,$Y136,$AA136,$AC136,$AE136,$AG136,$AI136),2)-$B136/2&lt;=Q136,(ROUND(AVERAGE($C136,$E136,$G136,$I136,$K136,$M136,$O136,$Q136,$S136,$U136,$W136,$Y136,$AA136,$AC136,$AE136,$AG136,$AI136),2)+$B136/2&gt;=Q136)),($G$5/$B$5),0))))</f>
        <v/>
      </c>
      <c r="S136" s="149" t="str">
        <f t="shared" ca="1" si="151"/>
        <v/>
      </c>
      <c r="T136" s="150" t="str">
        <f t="shared" ref="T136:T140" si="195">IF($A136="","",IF(S136="","",IF($K$4="Media aritmética",(S136&lt;=$B136)*($G$5/$B$5)+(S136&gt;$B136)*0,IF(AND(ROUND(AVERAGE($C136,$E136,$G136,$I136,$K136,$M136,$O136,$Q136,$S136,$U136,$W136,$Y136,$AA136,$AC136,$AE136,$AG136,$AI136),2)-$B136/2&lt;=S136,(ROUND(AVERAGE($C136,$E136,$G136,$I136,$K136,$M136,$O136,$Q136,$S136,$U136,$W136,$Y136,$AA136,$AC136,$AE136,$AG136,$AI136),2)+$B136/2&gt;=S136)),($G$5/$B$5),0))))</f>
        <v/>
      </c>
      <c r="U136" s="149" t="str">
        <f t="shared" ca="1" si="152"/>
        <v/>
      </c>
      <c r="V136" s="150" t="str">
        <f t="shared" ref="V136:V140" si="196">IF($A136="","",IF(U136="","",IF($K$4="Media aritmética",(U136&lt;=$B136)*($G$5/$B$5)+(U136&gt;$B136)*0,IF(AND(ROUND(AVERAGE($C136,$E136,$G136,$I136,$K136,$M136,$O136,$Q136,$S136,$U136,$W136,$Y136,$AA136,$AC136,$AE136,$AG136,$AI136),2)-$B136/2&lt;=U136,(ROUND(AVERAGE($C136,$E136,$G136,$I136,$K136,$M136,$O136,$Q136,$S136,$U136,$W136,$Y136,$AA136,$AC136,$AE136,$AG136,$AI136),2)+$B136/2&gt;=U136)),($G$5/$B$5),0))))</f>
        <v/>
      </c>
      <c r="W136" s="149" t="str">
        <f t="shared" ca="1" si="153"/>
        <v/>
      </c>
      <c r="X136" s="150" t="str">
        <f t="shared" ref="X136:X140" si="197">IF($A136="","",IF(W136="","",IF($K$4="Media aritmética",(W136&lt;=$B136)*($G$5/$B$5)+(W136&gt;$B136)*0,IF(AND(ROUND(AVERAGE($C136,$E136,$G136,$I136,$K136,$M136,$O136,$Q136,$S136,$U136,$W136,$Y136,$AA136,$AC136,$AE136,$AG136,$AI136),2)-$B136/2&lt;=W136,(ROUND(AVERAGE($C136,$E136,$G136,$I136,$K136,$M136,$O136,$Q136,$S136,$U136,$W136,$Y136,$AA136,$AC136,$AE136,$AG136,$AI136),2)+$B136/2&gt;=W136)),($G$5/$B$5),0))))</f>
        <v/>
      </c>
      <c r="Y136" s="149" t="str">
        <f t="shared" ca="1" si="154"/>
        <v/>
      </c>
      <c r="Z136" s="150" t="str">
        <f t="shared" ref="Z136:Z140" si="198">IF($A136="","",IF(Y136="","",IF($K$4="Media aritmética",(Y136&lt;=$B136)*($G$5/$B$5)+(Y136&gt;$B136)*0,IF(AND(ROUND(AVERAGE($C136,$E136,$G136,$I136,$K136,$M136,$O136,$Q136,$S136,$U136,$W136,$Y136,$AA136,$AC136,$AE136,$AG136,$AI136),2)-$B136/2&lt;=Y136,(ROUND(AVERAGE($C136,$E136,$G136,$I136,$K136,$M136,$O136,$Q136,$S136,$U136,$W136,$Y136,$AA136,$AC136,$AE136,$AG136,$AI136),2)+$B136/2&gt;=Y136)),($G$5/$B$5),0))))</f>
        <v/>
      </c>
      <c r="AA136" s="149" t="str">
        <f t="shared" ca="1" si="155"/>
        <v/>
      </c>
      <c r="AB136" s="150" t="str">
        <f t="shared" ref="AB136:AB140" si="199">IF($A136="","",IF(AA136="","",IF($K$4="Media aritmética",(AA136&lt;=$B136)*($G$5/$B$5)+(AA136&gt;$B136)*0,IF(AND(ROUND(AVERAGE($C136,$E136,$G136,$I136,$K136,$M136,$O136,$Q136,$S136,$U136,$W136,$Y136,$AA136,$AC136,$AE136,$AG136,$AI136),2)-$B136/2&lt;=AA136,(ROUND(AVERAGE($C136,$E136,$G136,$I136,$K136,$M136,$O136,$Q136,$S136,$U136,$W136,$Y136,$AA136,$AC136,$AE136,$AG136,$AI136),2)+$B136/2&gt;=AA136)),($G$5/$B$5),0))))</f>
        <v/>
      </c>
      <c r="AC136" s="149" t="str">
        <f t="shared" ca="1" si="156"/>
        <v/>
      </c>
      <c r="AD136" s="150" t="str">
        <f t="shared" ref="AD136:AD140" si="200">IF($A136="","",IF(AC136="","",IF($K$4="Media aritmética",(AC136&lt;=$B136)*($G$5/$B$5)+(AC136&gt;$B136)*0,IF(AND(ROUND(AVERAGE($C136,$E136,$G136,$I136,$K136,$M136,$O136,$Q136,$S136,$U136,$W136,$Y136,$AA136,$AC136,$AE136,$AG136,$AI136),2)-$B136/2&lt;=AC136,(ROUND(AVERAGE($C136,$E136,$G136,$I136,$K136,$M136,$O136,$Q136,$S136,$U136,$W136,$Y136,$AA136,$AC136,$AE136,$AG136,$AI136),2)+$B136/2&gt;=AC136)),($G$5/$B$5),0))))</f>
        <v/>
      </c>
      <c r="AL136" s="211" t="e">
        <f t="shared" ca="1" si="181"/>
        <v>#DIV/0!</v>
      </c>
      <c r="AM136" s="70" t="e">
        <f t="shared" ca="1" si="182"/>
        <v>#DIV/0!</v>
      </c>
      <c r="AN136" s="276" t="e">
        <f t="shared" ca="1" si="183"/>
        <v>#DIV/0!</v>
      </c>
      <c r="AO136" s="276" t="e">
        <f t="shared" ca="1" si="184"/>
        <v>#DIV/0!</v>
      </c>
    </row>
    <row r="137" spans="1:41" ht="21" hidden="1" customHeight="1">
      <c r="A137" s="277"/>
      <c r="B137" s="148" t="str">
        <f t="shared" si="186"/>
        <v/>
      </c>
      <c r="C137" s="149" t="str">
        <f t="shared" si="143"/>
        <v/>
      </c>
      <c r="D137" s="150" t="str">
        <f t="shared" si="187"/>
        <v/>
      </c>
      <c r="E137" s="149" t="str">
        <f t="shared" si="144"/>
        <v/>
      </c>
      <c r="F137" s="150" t="str">
        <f t="shared" si="188"/>
        <v/>
      </c>
      <c r="G137" s="149" t="str">
        <f t="shared" ca="1" si="145"/>
        <v/>
      </c>
      <c r="H137" s="150" t="str">
        <f t="shared" si="189"/>
        <v/>
      </c>
      <c r="I137" s="149" t="str">
        <f t="shared" ca="1" si="146"/>
        <v/>
      </c>
      <c r="J137" s="150" t="str">
        <f t="shared" si="190"/>
        <v/>
      </c>
      <c r="K137" s="149" t="str">
        <f t="shared" ca="1" si="147"/>
        <v/>
      </c>
      <c r="L137" s="150" t="str">
        <f t="shared" si="191"/>
        <v/>
      </c>
      <c r="M137" s="149" t="str">
        <f t="shared" ca="1" si="148"/>
        <v/>
      </c>
      <c r="N137" s="150" t="str">
        <f t="shared" si="192"/>
        <v/>
      </c>
      <c r="O137" s="149" t="str">
        <f t="shared" ref="O137:O140" ca="1" si="201">IF($O$8="Habilitado",IF($A137="","",ROUND(VLOOKUP($A137,OFERENTE_7,15,FALSE),2)),"")</f>
        <v/>
      </c>
      <c r="P137" s="150" t="str">
        <f t="shared" si="193"/>
        <v/>
      </c>
      <c r="Q137" s="149" t="str">
        <f t="shared" ca="1" si="150"/>
        <v/>
      </c>
      <c r="R137" s="150" t="str">
        <f t="shared" si="194"/>
        <v/>
      </c>
      <c r="S137" s="149" t="str">
        <f t="shared" ca="1" si="151"/>
        <v/>
      </c>
      <c r="T137" s="150" t="str">
        <f t="shared" si="195"/>
        <v/>
      </c>
      <c r="U137" s="149" t="str">
        <f t="shared" ca="1" si="152"/>
        <v/>
      </c>
      <c r="V137" s="150" t="str">
        <f t="shared" si="196"/>
        <v/>
      </c>
      <c r="W137" s="149" t="str">
        <f t="shared" ca="1" si="153"/>
        <v/>
      </c>
      <c r="X137" s="150" t="str">
        <f t="shared" si="197"/>
        <v/>
      </c>
      <c r="Y137" s="149" t="str">
        <f t="shared" ca="1" si="154"/>
        <v/>
      </c>
      <c r="Z137" s="150" t="str">
        <f t="shared" si="198"/>
        <v/>
      </c>
      <c r="AA137" s="149" t="str">
        <f t="shared" ca="1" si="155"/>
        <v/>
      </c>
      <c r="AB137" s="150" t="str">
        <f t="shared" si="199"/>
        <v/>
      </c>
      <c r="AC137" s="149" t="str">
        <f t="shared" ca="1" si="156"/>
        <v/>
      </c>
      <c r="AD137" s="150" t="str">
        <f t="shared" si="200"/>
        <v/>
      </c>
      <c r="AL137" s="211" t="e">
        <f t="shared" ca="1" si="181"/>
        <v>#DIV/0!</v>
      </c>
      <c r="AM137" s="70" t="e">
        <f t="shared" ca="1" si="182"/>
        <v>#DIV/0!</v>
      </c>
      <c r="AN137" s="276" t="e">
        <f t="shared" ca="1" si="183"/>
        <v>#DIV/0!</v>
      </c>
      <c r="AO137" s="276" t="e">
        <f t="shared" ca="1" si="184"/>
        <v>#DIV/0!</v>
      </c>
    </row>
    <row r="138" spans="1:41" ht="24.75" hidden="1" customHeight="1">
      <c r="A138" s="277"/>
      <c r="B138" s="148" t="str">
        <f t="shared" si="186"/>
        <v/>
      </c>
      <c r="C138" s="149" t="str">
        <f t="shared" si="143"/>
        <v/>
      </c>
      <c r="D138" s="150" t="str">
        <f t="shared" si="187"/>
        <v/>
      </c>
      <c r="E138" s="149" t="str">
        <f t="shared" si="144"/>
        <v/>
      </c>
      <c r="F138" s="150" t="str">
        <f t="shared" si="188"/>
        <v/>
      </c>
      <c r="G138" s="149" t="str">
        <f t="shared" ca="1" si="145"/>
        <v/>
      </c>
      <c r="H138" s="150" t="str">
        <f t="shared" si="189"/>
        <v/>
      </c>
      <c r="I138" s="149" t="str">
        <f t="shared" ca="1" si="146"/>
        <v/>
      </c>
      <c r="J138" s="150" t="str">
        <f t="shared" si="190"/>
        <v/>
      </c>
      <c r="K138" s="149" t="str">
        <f t="shared" ca="1" si="147"/>
        <v/>
      </c>
      <c r="L138" s="150" t="str">
        <f t="shared" si="191"/>
        <v/>
      </c>
      <c r="M138" s="149" t="str">
        <f t="shared" ca="1" si="148"/>
        <v/>
      </c>
      <c r="N138" s="150" t="str">
        <f t="shared" si="192"/>
        <v/>
      </c>
      <c r="O138" s="149" t="str">
        <f t="shared" ca="1" si="201"/>
        <v/>
      </c>
      <c r="P138" s="150" t="str">
        <f t="shared" si="193"/>
        <v/>
      </c>
      <c r="Q138" s="149" t="str">
        <f t="shared" ca="1" si="150"/>
        <v/>
      </c>
      <c r="R138" s="150" t="str">
        <f t="shared" si="194"/>
        <v/>
      </c>
      <c r="S138" s="149" t="str">
        <f t="shared" ca="1" si="151"/>
        <v/>
      </c>
      <c r="T138" s="150" t="str">
        <f t="shared" si="195"/>
        <v/>
      </c>
      <c r="U138" s="149" t="str">
        <f t="shared" ca="1" si="152"/>
        <v/>
      </c>
      <c r="V138" s="150" t="str">
        <f t="shared" si="196"/>
        <v/>
      </c>
      <c r="W138" s="149" t="str">
        <f t="shared" ca="1" si="153"/>
        <v/>
      </c>
      <c r="X138" s="150" t="str">
        <f t="shared" si="197"/>
        <v/>
      </c>
      <c r="Y138" s="149" t="str">
        <f t="shared" ca="1" si="154"/>
        <v/>
      </c>
      <c r="Z138" s="150" t="str">
        <f t="shared" si="198"/>
        <v/>
      </c>
      <c r="AA138" s="149" t="str">
        <f t="shared" ca="1" si="155"/>
        <v/>
      </c>
      <c r="AB138" s="150" t="str">
        <f t="shared" si="199"/>
        <v/>
      </c>
      <c r="AC138" s="149" t="str">
        <f t="shared" ca="1" si="156"/>
        <v/>
      </c>
      <c r="AD138" s="150" t="str">
        <f t="shared" si="200"/>
        <v/>
      </c>
      <c r="AL138" s="211" t="e">
        <f t="shared" ca="1" si="181"/>
        <v>#DIV/0!</v>
      </c>
      <c r="AM138" s="70" t="e">
        <f t="shared" ca="1" si="182"/>
        <v>#DIV/0!</v>
      </c>
      <c r="AN138" s="276" t="e">
        <f t="shared" ca="1" si="183"/>
        <v>#DIV/0!</v>
      </c>
      <c r="AO138" s="276" t="e">
        <f t="shared" ca="1" si="184"/>
        <v>#DIV/0!</v>
      </c>
    </row>
    <row r="139" spans="1:41" ht="22.5" hidden="1" customHeight="1">
      <c r="A139" s="277"/>
      <c r="B139" s="148" t="str">
        <f t="shared" si="186"/>
        <v/>
      </c>
      <c r="C139" s="149" t="str">
        <f t="shared" si="143"/>
        <v/>
      </c>
      <c r="D139" s="150" t="str">
        <f t="shared" si="187"/>
        <v/>
      </c>
      <c r="E139" s="149" t="str">
        <f t="shared" si="144"/>
        <v/>
      </c>
      <c r="F139" s="150" t="str">
        <f t="shared" si="188"/>
        <v/>
      </c>
      <c r="G139" s="149" t="str">
        <f t="shared" ca="1" si="145"/>
        <v/>
      </c>
      <c r="H139" s="150" t="str">
        <f t="shared" si="189"/>
        <v/>
      </c>
      <c r="I139" s="149" t="str">
        <f t="shared" ca="1" si="146"/>
        <v/>
      </c>
      <c r="J139" s="150" t="str">
        <f t="shared" si="190"/>
        <v/>
      </c>
      <c r="K139" s="149" t="str">
        <f t="shared" ca="1" si="147"/>
        <v/>
      </c>
      <c r="L139" s="150" t="str">
        <f t="shared" si="191"/>
        <v/>
      </c>
      <c r="M139" s="149" t="str">
        <f t="shared" ca="1" si="148"/>
        <v/>
      </c>
      <c r="N139" s="150" t="str">
        <f t="shared" si="192"/>
        <v/>
      </c>
      <c r="O139" s="149" t="str">
        <f t="shared" ca="1" si="201"/>
        <v/>
      </c>
      <c r="P139" s="150" t="str">
        <f t="shared" si="193"/>
        <v/>
      </c>
      <c r="Q139" s="149" t="str">
        <f t="shared" ca="1" si="150"/>
        <v/>
      </c>
      <c r="R139" s="150" t="str">
        <f t="shared" si="194"/>
        <v/>
      </c>
      <c r="S139" s="149" t="str">
        <f t="shared" ca="1" si="151"/>
        <v/>
      </c>
      <c r="T139" s="150" t="str">
        <f t="shared" si="195"/>
        <v/>
      </c>
      <c r="U139" s="149" t="str">
        <f t="shared" ca="1" si="152"/>
        <v/>
      </c>
      <c r="V139" s="150" t="str">
        <f t="shared" si="196"/>
        <v/>
      </c>
      <c r="W139" s="149" t="str">
        <f t="shared" ca="1" si="153"/>
        <v/>
      </c>
      <c r="X139" s="150" t="str">
        <f t="shared" si="197"/>
        <v/>
      </c>
      <c r="Y139" s="149" t="str">
        <f t="shared" ca="1" si="154"/>
        <v/>
      </c>
      <c r="Z139" s="150" t="str">
        <f t="shared" si="198"/>
        <v/>
      </c>
      <c r="AA139" s="149" t="str">
        <f t="shared" ca="1" si="155"/>
        <v/>
      </c>
      <c r="AB139" s="150" t="str">
        <f t="shared" si="199"/>
        <v/>
      </c>
      <c r="AC139" s="149" t="str">
        <f t="shared" ca="1" si="156"/>
        <v/>
      </c>
      <c r="AD139" s="150" t="str">
        <f t="shared" si="200"/>
        <v/>
      </c>
      <c r="AL139" s="211" t="e">
        <f t="shared" ca="1" si="181"/>
        <v>#DIV/0!</v>
      </c>
      <c r="AM139" s="70" t="e">
        <f t="shared" ca="1" si="182"/>
        <v>#DIV/0!</v>
      </c>
      <c r="AN139" s="276" t="e">
        <f t="shared" ca="1" si="183"/>
        <v>#DIV/0!</v>
      </c>
      <c r="AO139" s="276" t="e">
        <f t="shared" ca="1" si="184"/>
        <v>#DIV/0!</v>
      </c>
    </row>
    <row r="140" spans="1:41" ht="22.5" hidden="1" customHeight="1">
      <c r="A140" s="277"/>
      <c r="B140" s="148" t="str">
        <f t="shared" si="186"/>
        <v/>
      </c>
      <c r="C140" s="149" t="str">
        <f t="shared" si="143"/>
        <v/>
      </c>
      <c r="D140" s="150" t="str">
        <f t="shared" si="187"/>
        <v/>
      </c>
      <c r="E140" s="149" t="str">
        <f t="shared" si="144"/>
        <v/>
      </c>
      <c r="F140" s="150" t="str">
        <f t="shared" si="188"/>
        <v/>
      </c>
      <c r="G140" s="149" t="str">
        <f t="shared" ca="1" si="145"/>
        <v/>
      </c>
      <c r="H140" s="150" t="str">
        <f t="shared" si="189"/>
        <v/>
      </c>
      <c r="I140" s="149" t="str">
        <f t="shared" ca="1" si="146"/>
        <v/>
      </c>
      <c r="J140" s="150" t="str">
        <f t="shared" si="190"/>
        <v/>
      </c>
      <c r="K140" s="149" t="str">
        <f t="shared" ca="1" si="147"/>
        <v/>
      </c>
      <c r="L140" s="150" t="str">
        <f t="shared" si="191"/>
        <v/>
      </c>
      <c r="M140" s="149" t="str">
        <f t="shared" ca="1" si="148"/>
        <v/>
      </c>
      <c r="N140" s="150" t="str">
        <f t="shared" si="192"/>
        <v/>
      </c>
      <c r="O140" s="149" t="str">
        <f t="shared" ca="1" si="201"/>
        <v/>
      </c>
      <c r="P140" s="150" t="str">
        <f t="shared" si="193"/>
        <v/>
      </c>
      <c r="Q140" s="149" t="str">
        <f t="shared" ca="1" si="150"/>
        <v/>
      </c>
      <c r="R140" s="150" t="str">
        <f t="shared" si="194"/>
        <v/>
      </c>
      <c r="S140" s="149" t="str">
        <f t="shared" ca="1" si="151"/>
        <v/>
      </c>
      <c r="T140" s="150" t="str">
        <f t="shared" si="195"/>
        <v/>
      </c>
      <c r="U140" s="149" t="str">
        <f t="shared" ca="1" si="152"/>
        <v/>
      </c>
      <c r="V140" s="150" t="str">
        <f t="shared" si="196"/>
        <v/>
      </c>
      <c r="W140" s="149" t="str">
        <f t="shared" ca="1" si="153"/>
        <v/>
      </c>
      <c r="X140" s="150" t="str">
        <f t="shared" si="197"/>
        <v/>
      </c>
      <c r="Y140" s="149" t="str">
        <f t="shared" ca="1" si="154"/>
        <v/>
      </c>
      <c r="Z140" s="150" t="str">
        <f t="shared" si="198"/>
        <v/>
      </c>
      <c r="AA140" s="149" t="str">
        <f t="shared" ca="1" si="155"/>
        <v/>
      </c>
      <c r="AB140" s="150" t="str">
        <f t="shared" si="199"/>
        <v/>
      </c>
      <c r="AC140" s="149" t="str">
        <f t="shared" ca="1" si="156"/>
        <v/>
      </c>
      <c r="AD140" s="150" t="str">
        <f t="shared" si="200"/>
        <v/>
      </c>
      <c r="AL140" s="211" t="e">
        <f t="shared" ca="1" si="181"/>
        <v>#DIV/0!</v>
      </c>
      <c r="AM140" s="70" t="e">
        <f t="shared" ca="1" si="182"/>
        <v>#DIV/0!</v>
      </c>
      <c r="AN140" s="276" t="e">
        <f t="shared" ca="1" si="183"/>
        <v>#DIV/0!</v>
      </c>
      <c r="AO140" s="276" t="e">
        <f t="shared" ca="1" si="184"/>
        <v>#DIV/0!</v>
      </c>
    </row>
  </sheetData>
  <mergeCells count="99">
    <mergeCell ref="AE11:AF11"/>
    <mergeCell ref="AG11:AH11"/>
    <mergeCell ref="AI11:AJ11"/>
    <mergeCell ref="A103:C103"/>
    <mergeCell ref="S11:T11"/>
    <mergeCell ref="U11:V11"/>
    <mergeCell ref="W11:X11"/>
    <mergeCell ref="Y11:Z11"/>
    <mergeCell ref="AA11:AB11"/>
    <mergeCell ref="AC11:AD11"/>
    <mergeCell ref="A11:B11"/>
    <mergeCell ref="C11:D11"/>
    <mergeCell ref="E11:F11"/>
    <mergeCell ref="G11:H11"/>
    <mergeCell ref="I11:J11"/>
    <mergeCell ref="K11:L11"/>
    <mergeCell ref="M11:N11"/>
    <mergeCell ref="O11:P11"/>
    <mergeCell ref="Q11:R11"/>
    <mergeCell ref="AA10:AB10"/>
    <mergeCell ref="AC10:AD10"/>
    <mergeCell ref="AE10:AF10"/>
    <mergeCell ref="AG10:AH10"/>
    <mergeCell ref="AI10:AJ10"/>
    <mergeCell ref="O10:P10"/>
    <mergeCell ref="Q10:R10"/>
    <mergeCell ref="S10:T10"/>
    <mergeCell ref="U10:V10"/>
    <mergeCell ref="W10:X10"/>
    <mergeCell ref="Y10:Z10"/>
    <mergeCell ref="K10:L10"/>
    <mergeCell ref="M10:N10"/>
    <mergeCell ref="W9:X9"/>
    <mergeCell ref="Y9:Z9"/>
    <mergeCell ref="AA9:AB9"/>
    <mergeCell ref="K9:L9"/>
    <mergeCell ref="M9:N9"/>
    <mergeCell ref="Q9:R9"/>
    <mergeCell ref="S9:T9"/>
    <mergeCell ref="U9:V9"/>
    <mergeCell ref="A10:B10"/>
    <mergeCell ref="C10:D10"/>
    <mergeCell ref="E10:F10"/>
    <mergeCell ref="G10:H10"/>
    <mergeCell ref="I10:J10"/>
    <mergeCell ref="AE8:AF8"/>
    <mergeCell ref="AI9:AJ9"/>
    <mergeCell ref="AC9:AD9"/>
    <mergeCell ref="AE9:AF9"/>
    <mergeCell ref="AG9:AH9"/>
    <mergeCell ref="AI8:AJ8"/>
    <mergeCell ref="AC8:AD8"/>
    <mergeCell ref="AG8:AH8"/>
    <mergeCell ref="W8:X8"/>
    <mergeCell ref="Y8:Z8"/>
    <mergeCell ref="AA8:AB8"/>
    <mergeCell ref="A9:B9"/>
    <mergeCell ref="C9:D9"/>
    <mergeCell ref="E9:F9"/>
    <mergeCell ref="G9:H9"/>
    <mergeCell ref="I9:J9"/>
    <mergeCell ref="C8:D8"/>
    <mergeCell ref="E8:F8"/>
    <mergeCell ref="G8:H8"/>
    <mergeCell ref="O9:P9"/>
    <mergeCell ref="K8:L8"/>
    <mergeCell ref="M8:N8"/>
    <mergeCell ref="O8:P8"/>
    <mergeCell ref="Q8:R8"/>
    <mergeCell ref="A7:A8"/>
    <mergeCell ref="C7:D7"/>
    <mergeCell ref="E7:F7"/>
    <mergeCell ref="G7:H7"/>
    <mergeCell ref="AI7:AJ7"/>
    <mergeCell ref="M7:N7"/>
    <mergeCell ref="O7:P7"/>
    <mergeCell ref="Q7:R7"/>
    <mergeCell ref="S7:T7"/>
    <mergeCell ref="U7:V7"/>
    <mergeCell ref="W7:X7"/>
    <mergeCell ref="Y7:Z7"/>
    <mergeCell ref="AA7:AB7"/>
    <mergeCell ref="AC7:AD7"/>
    <mergeCell ref="AE7:AF7"/>
    <mergeCell ref="AG7:AH7"/>
    <mergeCell ref="A1:Z1"/>
    <mergeCell ref="A3:B3"/>
    <mergeCell ref="E3:H3"/>
    <mergeCell ref="K3:M3"/>
    <mergeCell ref="E4:F4"/>
    <mergeCell ref="G4:H4"/>
    <mergeCell ref="K4:M5"/>
    <mergeCell ref="E5:F5"/>
    <mergeCell ref="G5:H5"/>
    <mergeCell ref="I7:J7"/>
    <mergeCell ref="I8:J8"/>
    <mergeCell ref="S8:T8"/>
    <mergeCell ref="U8:V8"/>
    <mergeCell ref="K7:L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I19"/>
  <sheetViews>
    <sheetView topLeftCell="A4" zoomScale="70" zoomScaleNormal="70" workbookViewId="0">
      <selection activeCell="I7" sqref="I7"/>
    </sheetView>
  </sheetViews>
  <sheetFormatPr baseColWidth="10" defaultColWidth="11.5" defaultRowHeight="15"/>
  <cols>
    <col min="1" max="1" width="11.5" style="70"/>
    <col min="2" max="2" width="77.5" style="70" customWidth="1"/>
    <col min="3" max="3" width="25.5" style="70" customWidth="1"/>
    <col min="4" max="4" width="23.5" style="138" customWidth="1"/>
    <col min="5" max="5" width="20.6640625" style="138" customWidth="1"/>
    <col min="6" max="6" width="24" style="139" customWidth="1"/>
    <col min="7" max="7" width="26.33203125" style="139" customWidth="1"/>
    <col min="8" max="8" width="20.6640625" style="70" customWidth="1"/>
    <col min="9" max="9" width="76.33203125" style="70" customWidth="1"/>
    <col min="10" max="32" width="20.6640625" style="70" customWidth="1"/>
    <col min="33" max="16384" width="11.5" style="70"/>
  </cols>
  <sheetData>
    <row r="3" spans="1:9" ht="28">
      <c r="A3" s="128" t="s">
        <v>109</v>
      </c>
      <c r="B3" s="129"/>
      <c r="C3" s="129"/>
      <c r="D3" s="129"/>
      <c r="E3" s="129"/>
      <c r="F3" s="129"/>
      <c r="G3" s="129"/>
      <c r="H3" s="129"/>
      <c r="I3" s="130"/>
    </row>
    <row r="4" spans="1:9" ht="84">
      <c r="A4" s="131" t="s">
        <v>2</v>
      </c>
      <c r="B4" s="132" t="s">
        <v>3</v>
      </c>
      <c r="C4" s="131" t="s">
        <v>112</v>
      </c>
      <c r="D4" s="131" t="s">
        <v>115</v>
      </c>
      <c r="E4" s="131" t="s">
        <v>110</v>
      </c>
      <c r="F4" s="131" t="s">
        <v>111</v>
      </c>
      <c r="G4" s="131" t="s">
        <v>135</v>
      </c>
      <c r="H4" s="133" t="s">
        <v>113</v>
      </c>
      <c r="I4" s="131" t="s">
        <v>114</v>
      </c>
    </row>
    <row r="5" spans="1:9" ht="189">
      <c r="A5" s="134">
        <v>1</v>
      </c>
      <c r="B5" s="135" t="str">
        <f t="shared" ref="B5:B11" si="0">VLOOKUP(A5,LISTA_OFERENTES,2,FALSE)</f>
        <v>KER INGENIERIA S.A.S.</v>
      </c>
      <c r="C5" s="284" t="s">
        <v>319</v>
      </c>
      <c r="D5" s="284"/>
      <c r="E5" s="284"/>
      <c r="F5" s="284" t="str">
        <f t="shared" ref="F5" si="1">VLOOKUP(A5,R_COMERCIALES,3,FALSE)</f>
        <v xml:space="preserve"> </v>
      </c>
      <c r="G5" s="284"/>
      <c r="H5" s="137"/>
      <c r="I5" s="282" t="s">
        <v>308</v>
      </c>
    </row>
    <row r="6" spans="1:9" ht="168">
      <c r="A6" s="134">
        <v>2</v>
      </c>
      <c r="B6" s="135" t="str">
        <f t="shared" si="0"/>
        <v>UNIÓN TEMPORAL SUPERVISOR 2021</v>
      </c>
      <c r="C6" s="284" t="s">
        <v>319</v>
      </c>
      <c r="D6" s="284"/>
      <c r="E6" s="284"/>
      <c r="F6" s="284" t="str">
        <f t="shared" ref="F6:F11" si="2">VLOOKUP(A6,R_COMERCIALES,3,FALSE)</f>
        <v xml:space="preserve"> </v>
      </c>
      <c r="G6" s="284"/>
      <c r="H6" s="137"/>
      <c r="I6" s="190" t="s">
        <v>309</v>
      </c>
    </row>
    <row r="7" spans="1:9" ht="131.25" customHeight="1">
      <c r="A7" s="134">
        <v>3</v>
      </c>
      <c r="B7" s="135" t="str">
        <f t="shared" si="0"/>
        <v>PreVeo S.A.S.</v>
      </c>
      <c r="C7" s="284" t="s">
        <v>318</v>
      </c>
      <c r="D7" s="284" t="str">
        <f t="shared" ref="D7:D18" ca="1" si="3">VLOOKUP(A7,EXPERIENCIA,4,FALSE)</f>
        <v>H</v>
      </c>
      <c r="E7" s="284" t="str">
        <f t="shared" ref="E7:E18" si="4">VLOOKUP(A7,C_FINANCIERA,3,FALSE)</f>
        <v>H</v>
      </c>
      <c r="F7" s="284" t="s">
        <v>318</v>
      </c>
      <c r="G7" s="284" t="s">
        <v>319</v>
      </c>
      <c r="H7" s="137" t="str">
        <f t="shared" ref="H7:H18" ca="1" si="5">IF(AND(C7="H",D7="H",E7="H",F7="H",G7="H"),"H","NH")</f>
        <v>NH</v>
      </c>
      <c r="I7" s="190" t="s">
        <v>334</v>
      </c>
    </row>
    <row r="8" spans="1:9" ht="141" customHeight="1">
      <c r="A8" s="134">
        <v>4</v>
      </c>
      <c r="B8" s="135" t="str">
        <f t="shared" si="0"/>
        <v>INTERVE S.A.S.</v>
      </c>
      <c r="C8" s="284" t="s">
        <v>318</v>
      </c>
      <c r="D8" s="284" t="str">
        <f t="shared" ca="1" si="3"/>
        <v>H</v>
      </c>
      <c r="E8" s="284" t="str">
        <f t="shared" si="4"/>
        <v>H</v>
      </c>
      <c r="F8" s="284" t="s">
        <v>318</v>
      </c>
      <c r="G8" s="284" t="s">
        <v>319</v>
      </c>
      <c r="H8" s="137" t="str">
        <f t="shared" ca="1" si="5"/>
        <v>NH</v>
      </c>
      <c r="I8" s="282" t="s">
        <v>335</v>
      </c>
    </row>
    <row r="9" spans="1:9" ht="23" hidden="1">
      <c r="A9" s="134">
        <v>5</v>
      </c>
      <c r="B9" s="135">
        <f t="shared" si="0"/>
        <v>0</v>
      </c>
      <c r="C9" s="136"/>
      <c r="D9" s="136" t="str">
        <f t="shared" ca="1" si="3"/>
        <v>NH</v>
      </c>
      <c r="E9" s="136" t="str">
        <f t="shared" si="4"/>
        <v>NH</v>
      </c>
      <c r="F9" s="136" t="str">
        <f t="shared" si="2"/>
        <v xml:space="preserve"> </v>
      </c>
      <c r="G9" s="136" t="e">
        <f t="shared" ref="G9:G18" si="6">VLOOKUP(A9,EST_UNI,3,FALSE)</f>
        <v>#N/A</v>
      </c>
      <c r="H9" s="137" t="e">
        <f t="shared" ca="1" si="5"/>
        <v>#N/A</v>
      </c>
      <c r="I9" s="190"/>
    </row>
    <row r="10" spans="1:9" ht="23" hidden="1">
      <c r="A10" s="134">
        <v>6</v>
      </c>
      <c r="B10" s="135">
        <f t="shared" si="0"/>
        <v>0</v>
      </c>
      <c r="C10" s="136"/>
      <c r="D10" s="136" t="str">
        <f t="shared" ca="1" si="3"/>
        <v>NH</v>
      </c>
      <c r="E10" s="136" t="str">
        <f t="shared" si="4"/>
        <v>NH</v>
      </c>
      <c r="F10" s="136" t="str">
        <f t="shared" si="2"/>
        <v xml:space="preserve"> </v>
      </c>
      <c r="G10" s="136" t="e">
        <f t="shared" si="6"/>
        <v>#N/A</v>
      </c>
      <c r="H10" s="137" t="e">
        <f t="shared" ca="1" si="5"/>
        <v>#N/A</v>
      </c>
      <c r="I10" s="190"/>
    </row>
    <row r="11" spans="1:9" ht="23" hidden="1">
      <c r="A11" s="134">
        <v>7</v>
      </c>
      <c r="B11" s="135">
        <f t="shared" si="0"/>
        <v>0</v>
      </c>
      <c r="C11" s="284"/>
      <c r="D11" s="284" t="str">
        <f t="shared" ca="1" si="3"/>
        <v>NH</v>
      </c>
      <c r="E11" s="284" t="str">
        <f t="shared" si="4"/>
        <v>NH</v>
      </c>
      <c r="F11" s="284" t="str">
        <f t="shared" si="2"/>
        <v xml:space="preserve"> </v>
      </c>
      <c r="G11" s="284" t="e">
        <f t="shared" si="6"/>
        <v>#N/A</v>
      </c>
      <c r="H11" s="137" t="e">
        <f t="shared" ca="1" si="5"/>
        <v>#N/A</v>
      </c>
      <c r="I11" s="283"/>
    </row>
    <row r="12" spans="1:9" ht="23" hidden="1">
      <c r="A12" s="134">
        <v>8</v>
      </c>
      <c r="B12" s="135">
        <f t="shared" ref="B12:B14" si="7">VLOOKUP(A12,LISTA_OFERENTES,2,FALSE)</f>
        <v>0</v>
      </c>
      <c r="C12" s="136"/>
      <c r="D12" s="136" t="str">
        <f t="shared" ca="1" si="3"/>
        <v>NH</v>
      </c>
      <c r="E12" s="136" t="str">
        <f t="shared" si="4"/>
        <v>NH</v>
      </c>
      <c r="F12" s="136" t="str">
        <f t="shared" ref="F12:F14" si="8">VLOOKUP(A12,R_COMERCIALES,3,FALSE)</f>
        <v xml:space="preserve"> </v>
      </c>
      <c r="G12" s="136" t="e">
        <f t="shared" si="6"/>
        <v>#N/A</v>
      </c>
      <c r="H12" s="137" t="e">
        <f t="shared" ca="1" si="5"/>
        <v>#N/A</v>
      </c>
      <c r="I12" s="190"/>
    </row>
    <row r="13" spans="1:9" ht="23" hidden="1">
      <c r="A13" s="134">
        <v>9</v>
      </c>
      <c r="B13" s="135">
        <f t="shared" si="7"/>
        <v>0</v>
      </c>
      <c r="C13" s="136"/>
      <c r="D13" s="136" t="str">
        <f t="shared" ca="1" si="3"/>
        <v>NH</v>
      </c>
      <c r="E13" s="136" t="str">
        <f t="shared" si="4"/>
        <v>NH</v>
      </c>
      <c r="F13" s="136" t="str">
        <f t="shared" si="8"/>
        <v xml:space="preserve"> </v>
      </c>
      <c r="G13" s="136" t="e">
        <f t="shared" si="6"/>
        <v>#N/A</v>
      </c>
      <c r="H13" s="137" t="e">
        <f t="shared" ca="1" si="5"/>
        <v>#N/A</v>
      </c>
      <c r="I13" s="190"/>
    </row>
    <row r="14" spans="1:9" ht="23" hidden="1">
      <c r="A14" s="134">
        <v>10</v>
      </c>
      <c r="B14" s="135">
        <f t="shared" si="7"/>
        <v>0</v>
      </c>
      <c r="C14" s="136"/>
      <c r="D14" s="136" t="str">
        <f t="shared" ca="1" si="3"/>
        <v>NH</v>
      </c>
      <c r="E14" s="136" t="str">
        <f t="shared" si="4"/>
        <v>NH</v>
      </c>
      <c r="F14" s="136" t="str">
        <f t="shared" si="8"/>
        <v xml:space="preserve"> </v>
      </c>
      <c r="G14" s="136" t="e">
        <f t="shared" si="6"/>
        <v>#N/A</v>
      </c>
      <c r="H14" s="137" t="e">
        <f t="shared" ca="1" si="5"/>
        <v>#N/A</v>
      </c>
      <c r="I14" s="190"/>
    </row>
    <row r="15" spans="1:9" ht="23" hidden="1">
      <c r="A15" s="134">
        <v>11</v>
      </c>
      <c r="B15" s="135">
        <f t="shared" ref="B15:B18" si="9">VLOOKUP(A15,LISTA_OFERENTES,2,FALSE)</f>
        <v>0</v>
      </c>
      <c r="C15" s="136"/>
      <c r="D15" s="136" t="str">
        <f t="shared" ca="1" si="3"/>
        <v>NH</v>
      </c>
      <c r="E15" s="136" t="str">
        <f t="shared" si="4"/>
        <v>NH</v>
      </c>
      <c r="F15" s="136" t="str">
        <f t="shared" ref="F15:F18" si="10">VLOOKUP(A15,R_COMERCIALES,3,FALSE)</f>
        <v xml:space="preserve"> </v>
      </c>
      <c r="G15" s="136" t="e">
        <f t="shared" si="6"/>
        <v>#N/A</v>
      </c>
      <c r="H15" s="137" t="e">
        <f t="shared" ca="1" si="5"/>
        <v>#N/A</v>
      </c>
      <c r="I15" s="190"/>
    </row>
    <row r="16" spans="1:9" ht="23" hidden="1">
      <c r="A16" s="134">
        <v>12</v>
      </c>
      <c r="B16" s="135">
        <f t="shared" si="9"/>
        <v>0</v>
      </c>
      <c r="C16" s="136"/>
      <c r="D16" s="136" t="str">
        <f t="shared" ca="1" si="3"/>
        <v>NH</v>
      </c>
      <c r="E16" s="136" t="str">
        <f t="shared" si="4"/>
        <v>NH</v>
      </c>
      <c r="F16" s="136" t="str">
        <f t="shared" si="10"/>
        <v xml:space="preserve"> </v>
      </c>
      <c r="G16" s="136" t="e">
        <f t="shared" si="6"/>
        <v>#N/A</v>
      </c>
      <c r="H16" s="137" t="e">
        <f t="shared" ca="1" si="5"/>
        <v>#N/A</v>
      </c>
      <c r="I16" s="190"/>
    </row>
    <row r="17" spans="1:9" ht="23" hidden="1">
      <c r="A17" s="134">
        <v>13</v>
      </c>
      <c r="B17" s="135">
        <f t="shared" si="9"/>
        <v>0</v>
      </c>
      <c r="C17" s="284"/>
      <c r="D17" s="284" t="str">
        <f t="shared" ca="1" si="3"/>
        <v>NH</v>
      </c>
      <c r="E17" s="284" t="str">
        <f t="shared" si="4"/>
        <v>NH</v>
      </c>
      <c r="F17" s="284" t="str">
        <f t="shared" si="10"/>
        <v xml:space="preserve"> </v>
      </c>
      <c r="G17" s="284" t="e">
        <f t="shared" si="6"/>
        <v>#N/A</v>
      </c>
      <c r="H17" s="137" t="e">
        <f t="shared" ca="1" si="5"/>
        <v>#N/A</v>
      </c>
      <c r="I17" s="282"/>
    </row>
    <row r="18" spans="1:9" ht="23" hidden="1">
      <c r="A18" s="134">
        <v>14</v>
      </c>
      <c r="B18" s="135">
        <f t="shared" si="9"/>
        <v>0</v>
      </c>
      <c r="C18" s="136"/>
      <c r="D18" s="136" t="str">
        <f t="shared" ca="1" si="3"/>
        <v>NH</v>
      </c>
      <c r="E18" s="136" t="str">
        <f t="shared" si="4"/>
        <v>NH</v>
      </c>
      <c r="F18" s="136" t="str">
        <f t="shared" si="10"/>
        <v xml:space="preserve"> </v>
      </c>
      <c r="G18" s="136" t="e">
        <f t="shared" si="6"/>
        <v>#N/A</v>
      </c>
      <c r="H18" s="137" t="e">
        <f t="shared" ca="1" si="5"/>
        <v>#N/A</v>
      </c>
      <c r="I18" s="190"/>
    </row>
    <row r="19" spans="1:9" ht="20">
      <c r="D19" s="136"/>
    </row>
  </sheetData>
  <sheetProtection algorithmName="SHA-512" hashValue="awWb/bQw31e6dL00xV8kboUBlLsMeftIaKC9xwpAxoeFPG/+BF6cl71tmNRDr+hhdf9XkDgpPpUaFqyDrf4z7g==" saltValue="fccOsr9rBWiwRCppsL6uQg==" spinCount="100000" sheet="1" objects="1" scenarios="1"/>
  <conditionalFormatting sqref="H5:H18">
    <cfRule type="cellIs" dxfId="14" priority="25" operator="equal">
      <formula>"NH"</formula>
    </cfRule>
    <cfRule type="cellIs" dxfId="13" priority="26" operator="equal">
      <formula>"H"</formula>
    </cfRule>
  </conditionalFormatting>
  <conditionalFormatting sqref="E6:E18">
    <cfRule type="cellIs" dxfId="12" priority="24" operator="equal">
      <formula>"NH"</formula>
    </cfRule>
  </conditionalFormatting>
  <conditionalFormatting sqref="G6:G18">
    <cfRule type="cellIs" dxfId="11" priority="22" operator="equal">
      <formula>"NH"</formula>
    </cfRule>
  </conditionalFormatting>
  <conditionalFormatting sqref="F6:F14">
    <cfRule type="cellIs" dxfId="10" priority="19" operator="equal">
      <formula>"NH"</formula>
    </cfRule>
  </conditionalFormatting>
  <conditionalFormatting sqref="F15:F18">
    <cfRule type="cellIs" dxfId="9" priority="13" operator="equal">
      <formula>"NH"</formula>
    </cfRule>
  </conditionalFormatting>
  <conditionalFormatting sqref="C5:C18">
    <cfRule type="cellIs" dxfId="8" priority="7" operator="equal">
      <formula>"NH"</formula>
    </cfRule>
  </conditionalFormatting>
  <conditionalFormatting sqref="D6:D19">
    <cfRule type="cellIs" dxfId="7" priority="6" operator="equal">
      <formula>"NH"</formula>
    </cfRule>
  </conditionalFormatting>
  <conditionalFormatting sqref="E5">
    <cfRule type="cellIs" dxfId="6" priority="4" operator="equal">
      <formula>"NH"</formula>
    </cfRule>
  </conditionalFormatting>
  <conditionalFormatting sqref="G5">
    <cfRule type="cellIs" dxfId="5" priority="3" operator="equal">
      <formula>"NH"</formula>
    </cfRule>
  </conditionalFormatting>
  <conditionalFormatting sqref="F5">
    <cfRule type="cellIs" dxfId="4" priority="2" operator="equal">
      <formula>"NH"</formula>
    </cfRule>
  </conditionalFormatting>
  <conditionalFormatting sqref="D5">
    <cfRule type="cellIs" dxfId="3" priority="1" operator="equal">
      <formula>"NH"</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V41"/>
  <sheetViews>
    <sheetView showGridLines="0" tabSelected="1" topLeftCell="G13" zoomScaleNormal="100" workbookViewId="0">
      <selection activeCell="H15" sqref="H15"/>
    </sheetView>
  </sheetViews>
  <sheetFormatPr baseColWidth="10" defaultColWidth="11.5" defaultRowHeight="16"/>
  <cols>
    <col min="1" max="1" width="4.5" style="81" customWidth="1"/>
    <col min="2" max="2" width="6.1640625" style="81" customWidth="1"/>
    <col min="3" max="3" width="17" style="81" customWidth="1"/>
    <col min="4" max="4" width="16" style="81" customWidth="1"/>
    <col min="5" max="5" width="5.5" style="81" customWidth="1"/>
    <col min="6" max="6" width="10" style="81" customWidth="1"/>
    <col min="7" max="7" width="17" style="81" customWidth="1"/>
    <col min="8" max="8" width="23.5" style="81" customWidth="1"/>
    <col min="9" max="9" width="11.33203125" style="81" bestFit="1" customWidth="1"/>
    <col min="10" max="10" width="13.1640625" style="81" bestFit="1" customWidth="1"/>
    <col min="11" max="11" width="20.5" style="81" customWidth="1"/>
    <col min="12" max="13" width="10" style="81" customWidth="1"/>
    <col min="14" max="14" width="10.1640625" style="81" customWidth="1"/>
    <col min="15" max="15" width="13.83203125" style="81" customWidth="1"/>
    <col min="16" max="16" width="18.83203125" style="81" customWidth="1"/>
    <col min="17" max="17" width="18.5" style="81" customWidth="1"/>
    <col min="18" max="18" width="35" style="81" customWidth="1"/>
    <col min="19" max="19" width="13.6640625" style="80" customWidth="1"/>
    <col min="20" max="20" width="8.33203125" style="80" customWidth="1"/>
    <col min="21" max="22" width="13.6640625" style="81" hidden="1" customWidth="1"/>
    <col min="23" max="16384" width="11.5" style="81"/>
  </cols>
  <sheetData>
    <row r="2" spans="2:22" ht="25.5" customHeight="1">
      <c r="B2" s="873" t="str">
        <f>+'1_ENTREGA'!A1</f>
        <v>UNIVERSIDAD DE ANTIOQUIA</v>
      </c>
      <c r="C2" s="874"/>
      <c r="D2" s="874"/>
      <c r="E2" s="874"/>
      <c r="F2" s="874"/>
      <c r="G2" s="874"/>
      <c r="H2" s="874"/>
      <c r="I2" s="874"/>
      <c r="J2" s="874"/>
      <c r="K2" s="874"/>
      <c r="L2" s="874"/>
      <c r="M2" s="874"/>
      <c r="N2" s="874"/>
      <c r="O2" s="874"/>
      <c r="P2" s="874"/>
      <c r="Q2" s="874"/>
      <c r="R2" s="875"/>
    </row>
    <row r="3" spans="2:22" ht="48" customHeight="1">
      <c r="B3" s="876" t="str">
        <f>+'1_ENTREGA'!A2</f>
        <v>Invitación Pública N°  VA-036-2021</v>
      </c>
      <c r="C3" s="877"/>
      <c r="D3" s="877"/>
      <c r="E3" s="877"/>
      <c r="F3" s="877"/>
      <c r="G3" s="877"/>
      <c r="H3" s="877"/>
      <c r="I3" s="877"/>
      <c r="J3" s="877"/>
      <c r="K3" s="877"/>
      <c r="L3" s="877"/>
      <c r="M3" s="877"/>
      <c r="N3" s="877"/>
      <c r="O3" s="877"/>
      <c r="P3" s="877"/>
      <c r="Q3" s="877"/>
      <c r="R3" s="878"/>
    </row>
    <row r="4" spans="2:22" ht="69" customHeight="1">
      <c r="B4" s="876"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v>
      </c>
      <c r="C4" s="877"/>
      <c r="D4" s="877"/>
      <c r="E4" s="877"/>
      <c r="F4" s="877"/>
      <c r="G4" s="877"/>
      <c r="H4" s="877"/>
      <c r="I4" s="877"/>
      <c r="J4" s="877"/>
      <c r="K4" s="877"/>
      <c r="L4" s="877"/>
      <c r="M4" s="877"/>
      <c r="N4" s="877"/>
      <c r="O4" s="877"/>
      <c r="P4" s="877"/>
      <c r="Q4" s="877"/>
      <c r="R4" s="878"/>
    </row>
    <row r="5" spans="2:22" ht="26.25" customHeight="1">
      <c r="B5" s="879" t="s">
        <v>68</v>
      </c>
      <c r="C5" s="880"/>
      <c r="D5" s="880"/>
      <c r="E5" s="880"/>
      <c r="F5" s="880"/>
      <c r="G5" s="880"/>
      <c r="H5" s="880"/>
      <c r="I5" s="880"/>
      <c r="J5" s="880"/>
      <c r="K5" s="880"/>
      <c r="L5" s="880"/>
      <c r="M5" s="880"/>
      <c r="N5" s="880"/>
      <c r="O5" s="880"/>
      <c r="P5" s="880"/>
      <c r="Q5" s="880"/>
      <c r="R5" s="881"/>
    </row>
    <row r="6" spans="2:22" ht="17" thickBot="1">
      <c r="B6" s="82"/>
      <c r="C6" s="82"/>
      <c r="D6" s="82"/>
      <c r="E6" s="82"/>
      <c r="F6" s="82"/>
      <c r="G6" s="82"/>
      <c r="H6" s="82"/>
      <c r="I6" s="82"/>
      <c r="J6" s="82"/>
      <c r="K6" s="82"/>
      <c r="L6" s="82"/>
      <c r="M6" s="82"/>
      <c r="N6" s="82"/>
      <c r="O6" s="82"/>
      <c r="P6" s="82"/>
      <c r="Q6" s="82"/>
    </row>
    <row r="7" spans="2:22" ht="18" customHeight="1" thickBot="1">
      <c r="B7" s="882" t="s">
        <v>69</v>
      </c>
      <c r="C7" s="882"/>
      <c r="D7" s="192"/>
      <c r="E7" s="883" t="s">
        <v>70</v>
      </c>
      <c r="F7" s="883"/>
      <c r="G7" s="883"/>
      <c r="H7" s="884" t="s">
        <v>71</v>
      </c>
      <c r="I7" s="884"/>
      <c r="J7" s="884"/>
      <c r="K7" s="884"/>
      <c r="L7" s="884"/>
      <c r="M7" s="466"/>
      <c r="N7" s="82"/>
      <c r="O7" s="82"/>
      <c r="P7" s="83" t="s">
        <v>72</v>
      </c>
      <c r="Q7" s="84">
        <f>'6.2.2.1. EXPERIENCIA GRAL'!N6</f>
        <v>672323975</v>
      </c>
      <c r="R7" s="153"/>
      <c r="S7" s="154"/>
    </row>
    <row r="8" spans="2:22" ht="20.25" customHeight="1" thickBot="1">
      <c r="B8" s="868" t="s">
        <v>73</v>
      </c>
      <c r="C8" s="868"/>
      <c r="D8" s="193"/>
      <c r="E8" s="194">
        <v>1</v>
      </c>
      <c r="F8" s="869" t="s">
        <v>74</v>
      </c>
      <c r="G8" s="869"/>
      <c r="H8" s="468">
        <f>IF(($D$7-TRUNC($D$7))&lt;=0.5,1,2)</f>
        <v>1</v>
      </c>
      <c r="I8" s="870" t="str">
        <f>IF(H8=3,VLOOKUP(H8,$E$8:$F$9,2,FALSE),IF(H8=2,VLOOKUP(H8,$E$8:$F$9,2,FALSE),IF(H8=1,VLOOKUP(H8,$E$8:$F$9,2,FALSE),"NINGUNO")))</f>
        <v>Media aritmética</v>
      </c>
      <c r="J8" s="870"/>
      <c r="K8" s="871" t="str">
        <f ca="1">IFERROR(IF($I$8="Media aritmética",ROUND(SUM(G14:G27)/Q8,2),ROUND(_xlfn.STDEV.P(G14:G27),2)),"")</f>
        <v/>
      </c>
      <c r="L8" s="871"/>
      <c r="M8" s="467"/>
      <c r="N8" s="152" t="str">
        <f ca="1">IFERROR(IF($I$8="Media aritmética",ROUND(SUM(H14:H30)/Q8,4),ROUND(_xlfn.STDEV.P(H14:H30),4)),"")</f>
        <v/>
      </c>
      <c r="O8" s="82"/>
      <c r="P8" s="85" t="s">
        <v>75</v>
      </c>
      <c r="Q8" s="86">
        <f ca="1">IFERROR(COUNTIF(F14:F30,"H"),0)</f>
        <v>0</v>
      </c>
      <c r="R8" s="153"/>
    </row>
    <row r="9" spans="2:22" ht="54" customHeight="1" thickBot="1">
      <c r="B9" s="872" t="s">
        <v>76</v>
      </c>
      <c r="C9" s="872"/>
      <c r="D9" s="195">
        <v>254364937</v>
      </c>
      <c r="E9" s="194">
        <v>2</v>
      </c>
      <c r="F9" s="869" t="s">
        <v>77</v>
      </c>
      <c r="G9" s="869"/>
      <c r="H9" s="82"/>
      <c r="I9" s="82"/>
      <c r="J9" s="82"/>
      <c r="K9" s="82"/>
      <c r="L9" s="82"/>
      <c r="M9" s="82"/>
      <c r="N9" s="82"/>
      <c r="O9" s="87"/>
      <c r="P9" s="82"/>
      <c r="Q9" s="82"/>
    </row>
    <row r="10" spans="2:22" ht="40.5" customHeight="1" thickBot="1">
      <c r="B10" s="872" t="s">
        <v>209</v>
      </c>
      <c r="C10" s="872"/>
      <c r="D10" s="408">
        <v>2.19</v>
      </c>
      <c r="E10" s="82"/>
      <c r="F10" s="82"/>
      <c r="G10" s="82"/>
      <c r="H10" s="82"/>
      <c r="I10" s="82"/>
      <c r="J10" s="82"/>
      <c r="K10" s="82"/>
      <c r="L10" s="82"/>
      <c r="M10" s="82"/>
      <c r="N10" s="82"/>
      <c r="O10" s="82"/>
      <c r="P10" s="82"/>
      <c r="Q10" s="82"/>
    </row>
    <row r="11" spans="2:22" ht="28.5" customHeight="1">
      <c r="B11" s="82"/>
      <c r="C11" s="82"/>
      <c r="D11" s="88"/>
      <c r="E11" s="82"/>
      <c r="F11" s="82"/>
      <c r="G11" s="82"/>
      <c r="I11" s="892" t="s">
        <v>78</v>
      </c>
      <c r="J11" s="893"/>
      <c r="K11" s="893"/>
      <c r="L11" s="894"/>
      <c r="M11" s="289"/>
      <c r="N11" s="89" t="s">
        <v>58</v>
      </c>
      <c r="O11" s="82"/>
    </row>
    <row r="12" spans="2:22" ht="18" customHeight="1">
      <c r="B12" s="90"/>
      <c r="C12" s="87"/>
      <c r="D12" s="90"/>
      <c r="E12" s="87"/>
      <c r="F12" s="91" t="s">
        <v>79</v>
      </c>
      <c r="G12" s="87"/>
      <c r="I12" s="196">
        <v>100</v>
      </c>
      <c r="J12" s="196">
        <v>120</v>
      </c>
      <c r="K12" s="196">
        <v>80</v>
      </c>
      <c r="L12" s="196">
        <v>100</v>
      </c>
      <c r="M12" s="196">
        <v>100</v>
      </c>
      <c r="N12" s="89">
        <f>+SUM(I12:M12)</f>
        <v>500</v>
      </c>
      <c r="O12" s="82"/>
    </row>
    <row r="13" spans="2:22" ht="47.25" customHeight="1">
      <c r="B13" s="92" t="s">
        <v>80</v>
      </c>
      <c r="C13" s="892" t="s">
        <v>81</v>
      </c>
      <c r="D13" s="893"/>
      <c r="E13" s="894"/>
      <c r="F13" s="93" t="s">
        <v>82</v>
      </c>
      <c r="G13" s="92" t="s">
        <v>83</v>
      </c>
      <c r="H13" s="92" t="s">
        <v>207</v>
      </c>
      <c r="I13" s="94" t="s">
        <v>84</v>
      </c>
      <c r="J13" s="94" t="s">
        <v>85</v>
      </c>
      <c r="K13" s="94" t="s">
        <v>86</v>
      </c>
      <c r="L13" s="94" t="s">
        <v>87</v>
      </c>
      <c r="M13" s="94" t="s">
        <v>208</v>
      </c>
      <c r="N13" s="95" t="s">
        <v>88</v>
      </c>
      <c r="O13" s="95" t="s">
        <v>89</v>
      </c>
      <c r="P13" s="892" t="s">
        <v>90</v>
      </c>
      <c r="Q13" s="893"/>
      <c r="R13" s="894"/>
      <c r="U13" s="885" t="s">
        <v>91</v>
      </c>
      <c r="V13" s="885"/>
    </row>
    <row r="14" spans="2:22" s="103" customFormat="1" ht="100" customHeight="1">
      <c r="B14" s="96">
        <f>+IF('[1]1_ENTREGA'!A8="","",'[1]1_ENTREGA'!A8)</f>
        <v>1</v>
      </c>
      <c r="C14" s="886" t="str">
        <f>IF(B14="","",VLOOKUP(B14,LISTA_OFERENTES,2,FALSE))</f>
        <v>KER INGENIERIA S.A.S.</v>
      </c>
      <c r="D14" s="887"/>
      <c r="E14" s="888"/>
      <c r="F14" s="97" t="str">
        <f t="shared" ref="F14:F30" si="0">IFERROR(IF(VLOOKUP(B14,ESTATUS,8,FALSE)=0, " ",VLOOKUP(B14,ESTATUS,8,FALSE))," ")</f>
        <v xml:space="preserve"> </v>
      </c>
      <c r="G14" s="98"/>
      <c r="H14" s="99"/>
      <c r="I14" s="100"/>
      <c r="J14" s="100"/>
      <c r="K14" s="100"/>
      <c r="L14" s="100"/>
      <c r="M14" s="100"/>
      <c r="N14" s="101"/>
      <c r="O14" s="102" t="str">
        <f t="shared" ref="O14:O30" si="1">IFERROR(IF(OR(F14=" ",F14="NH")," ",VLOOKUP(N14,ORDEN,2,FALSE))," ")</f>
        <v xml:space="preserve"> </v>
      </c>
      <c r="P14" s="889" t="str">
        <f>+RESUMEN!I5</f>
        <v>Se rechaza propuesta comercial según lo establecido en el numeral 16 Rechazo y eliminación de propuestas comerciales, inciso, 16.3 Se presente de forma extemporánea, en un lugar o medio diferente al indicado o luego de la fecha y hora fijadas para el cierre de la invitación.
16.18 El OFERENTE no presente la Garantía de Seriedad de la propuesta o no cumpla con lo estipulado para dicha garantía.</v>
      </c>
      <c r="Q14" s="890"/>
      <c r="R14" s="891"/>
      <c r="U14" s="104">
        <f t="shared" ref="U14:U30" ca="1" si="2">IFERROR(LARGE($N$14:$N$30,V14)," ")</f>
        <v>100</v>
      </c>
      <c r="V14" s="105">
        <v>1</v>
      </c>
    </row>
    <row r="15" spans="2:22" s="103" customFormat="1" ht="100" customHeight="1">
      <c r="B15" s="96">
        <f>+IF('[1]1_ENTREGA'!A9="","",'[1]1_ENTREGA'!A9)</f>
        <v>2</v>
      </c>
      <c r="C15" s="886" t="str">
        <f t="shared" ref="C15:C29" si="3">IF(B15="","",VLOOKUP(B15,LISTA_OFERENTES,2,FALSE))</f>
        <v>UNIÓN TEMPORAL SUPERVISOR 2021</v>
      </c>
      <c r="D15" s="887"/>
      <c r="E15" s="888"/>
      <c r="F15" s="97" t="str">
        <f t="shared" si="0"/>
        <v xml:space="preserve"> </v>
      </c>
      <c r="G15" s="98"/>
      <c r="H15" s="99"/>
      <c r="I15" s="100"/>
      <c r="J15" s="100"/>
      <c r="K15" s="100"/>
      <c r="L15" s="100"/>
      <c r="M15" s="100"/>
      <c r="N15" s="101"/>
      <c r="O15" s="102" t="str">
        <f t="shared" si="1"/>
        <v xml:space="preserve"> </v>
      </c>
      <c r="P15" s="889" t="str">
        <f>+RESUMEN!I6</f>
        <v>Se rechaza la propuesta conforme al numeral 6.1 de los términos de referencia: " En el presente proceso podrán participar: personas jurídicas en forma individual ". y el numeral 16 Rechazo y eliminación de propuestas comerciales, inciso, 16.3 Se presente de forma extemporánea, en un lugar o medio diferente al indicado o luego de la fecha y hora fijadas para el cierre de la invitación.</v>
      </c>
      <c r="Q15" s="890"/>
      <c r="R15" s="891"/>
      <c r="U15" s="104">
        <f t="shared" ca="1" si="2"/>
        <v>100</v>
      </c>
      <c r="V15" s="105">
        <v>2</v>
      </c>
    </row>
    <row r="16" spans="2:22" s="103" customFormat="1" ht="100" customHeight="1">
      <c r="B16" s="96">
        <f>+IF('[1]1_ENTREGA'!A10="","",'[1]1_ENTREGA'!A10)</f>
        <v>3</v>
      </c>
      <c r="C16" s="886" t="str">
        <f t="shared" si="3"/>
        <v>PreVeo S.A.S.</v>
      </c>
      <c r="D16" s="887"/>
      <c r="E16" s="888"/>
      <c r="F16" s="97" t="str">
        <f t="shared" ca="1" si="0"/>
        <v>NH</v>
      </c>
      <c r="G16" s="98" t="str">
        <f t="shared" ref="G16:G30" ca="1" si="4">IF(OR(F16="NH",F16=""),"",IF(VLOOKUP(B16,V_UNITARIOS,3,FALSE)&gt;$D$9,"REVISAR",ROUND(VLOOKUP(B16,V_UNITARIOS,3,FALSE),0)))</f>
        <v/>
      </c>
      <c r="H16" s="99" t="str">
        <f t="shared" ref="H16:H30" ca="1" si="5">IF(OR(F16="NH",F16=""),"",IF(VLOOKUP(B16,AU,2,FALSE)&gt;$D$10,"REVISAR",VLOOKUP(B16,AU,2,FALSE)))</f>
        <v/>
      </c>
      <c r="I16" s="100" t="str">
        <f t="shared" ref="I16:I31" ca="1" si="6">IF(G16="","",IF($I$8="Media aritmética",(G16&lt;=$K$8)*100+(G16&gt;$K$8)*0,IF(AND((AVERAGE($G$14:$G$27)-$K$8/2&lt;=G16),(G16&lt;=(AVERAGE($G$14:$G$27)+$K$8/2))),100,0)))</f>
        <v/>
      </c>
      <c r="J16" s="100" t="str">
        <f t="shared" ref="J16:J30" ca="1" si="7">+IF(F16="H",HLOOKUP(B16,PT_2,3,FALSE),"")</f>
        <v/>
      </c>
      <c r="K16" s="100" t="str">
        <f t="shared" ref="K16:K30" ca="1" si="8">+IF(F16="H",HLOOKUP(B16,PT_2,4,FALSE),"")</f>
        <v/>
      </c>
      <c r="L16" s="100" t="str">
        <f t="shared" ref="L16:L30" ca="1" si="9">IF(F16="H",($L$12*(MIN($H$14:$H$27)/H16))," ")</f>
        <v xml:space="preserve"> </v>
      </c>
      <c r="M16" s="100"/>
      <c r="N16" s="101" t="str">
        <f t="shared" ref="N16:N30" ca="1" si="10">IF(OR(F16="",F16="NH"),"",SUM(I16:M16))</f>
        <v/>
      </c>
      <c r="O16" s="102" t="str">
        <f t="shared" ca="1" si="1"/>
        <v xml:space="preserve"> </v>
      </c>
      <c r="P16" s="889" t="str">
        <f>+RESUMEN!I7</f>
        <v>Si bien los requisitos del numeral 6.2.3 son subsanables, no se les requiere a los proponentes por existir causal de rechazo de la oferta, toda vez que el factor multiplicador de la propuesta presentada, establecido en el numeral 14.2.1 de los Términos de Referencia, dicho valor no podrá superar el 2,19</v>
      </c>
      <c r="Q16" s="890"/>
      <c r="R16" s="891"/>
      <c r="U16" s="104">
        <f t="shared" ca="1" si="2"/>
        <v>100</v>
      </c>
      <c r="V16" s="105">
        <v>3</v>
      </c>
    </row>
    <row r="17" spans="2:22" s="103" customFormat="1" ht="100" customHeight="1">
      <c r="B17" s="96">
        <f>+IF('[1]1_ENTREGA'!A11="","",'[1]1_ENTREGA'!A11)</f>
        <v>4</v>
      </c>
      <c r="C17" s="886" t="str">
        <f t="shared" si="3"/>
        <v>INTERVE S.A.S.</v>
      </c>
      <c r="D17" s="887"/>
      <c r="E17" s="888"/>
      <c r="F17" s="97" t="str">
        <f t="shared" ca="1" si="0"/>
        <v>NH</v>
      </c>
      <c r="G17" s="98" t="str">
        <f t="shared" ca="1" si="4"/>
        <v/>
      </c>
      <c r="H17" s="99" t="str">
        <f t="shared" ca="1" si="5"/>
        <v/>
      </c>
      <c r="I17" s="100" t="str">
        <f t="shared" ca="1" si="6"/>
        <v/>
      </c>
      <c r="J17" s="100" t="str">
        <f t="shared" ca="1" si="7"/>
        <v/>
      </c>
      <c r="K17" s="100" t="str">
        <f t="shared" ca="1" si="8"/>
        <v/>
      </c>
      <c r="L17" s="100" t="str">
        <f t="shared" ca="1" si="9"/>
        <v xml:space="preserve"> </v>
      </c>
      <c r="M17" s="100"/>
      <c r="N17" s="101" t="str">
        <f t="shared" ca="1" si="10"/>
        <v/>
      </c>
      <c r="O17" s="102" t="str">
        <f t="shared" ca="1" si="1"/>
        <v xml:space="preserve"> </v>
      </c>
      <c r="P17" s="889" t="str">
        <f>+RESUMEN!I8</f>
        <v>Si bien los requisitos del numeral 6.2.3 son subsanables, no se les requiere a los proponentes, por existir causal de rechazo de la oferta, toda vez que el factor multiplicador de la propuesta presentada, establecido en el numeral 14.2.1 de los Términos de Referencia, dicho valor no podrá superar el 2,19</v>
      </c>
      <c r="Q17" s="890"/>
      <c r="R17" s="891"/>
      <c r="U17" s="104">
        <f t="shared" ca="1" si="2"/>
        <v>100</v>
      </c>
      <c r="V17" s="105">
        <v>4</v>
      </c>
    </row>
    <row r="18" spans="2:22" s="103" customFormat="1" ht="17" hidden="1">
      <c r="B18" s="96">
        <f>+IF('[1]1_ENTREGA'!A12="","",'[1]1_ENTREGA'!A12)</f>
        <v>5</v>
      </c>
      <c r="C18" s="886">
        <f t="shared" si="3"/>
        <v>0</v>
      </c>
      <c r="D18" s="887"/>
      <c r="E18" s="888"/>
      <c r="F18" s="97" t="str">
        <f t="shared" ca="1" si="0"/>
        <v xml:space="preserve"> </v>
      </c>
      <c r="G18" s="98">
        <f t="shared" ca="1" si="4"/>
        <v>0</v>
      </c>
      <c r="H18" s="99">
        <f t="shared" ca="1" si="5"/>
        <v>0</v>
      </c>
      <c r="I18" s="100">
        <f t="shared" ca="1" si="6"/>
        <v>100</v>
      </c>
      <c r="J18" s="100" t="str">
        <f t="shared" ca="1" si="7"/>
        <v/>
      </c>
      <c r="K18" s="100" t="str">
        <f t="shared" ca="1" si="8"/>
        <v/>
      </c>
      <c r="L18" s="100" t="str">
        <f t="shared" ca="1" si="9"/>
        <v xml:space="preserve"> </v>
      </c>
      <c r="M18" s="100"/>
      <c r="N18" s="101">
        <f t="shared" ca="1" si="10"/>
        <v>100</v>
      </c>
      <c r="O18" s="102" t="str">
        <f t="shared" ca="1" si="1"/>
        <v xml:space="preserve"> </v>
      </c>
      <c r="P18" s="889">
        <f>+RESUMEN!I9</f>
        <v>0</v>
      </c>
      <c r="Q18" s="890"/>
      <c r="R18" s="891"/>
      <c r="U18" s="104">
        <f t="shared" ca="1" si="2"/>
        <v>100</v>
      </c>
      <c r="V18" s="105">
        <v>5</v>
      </c>
    </row>
    <row r="19" spans="2:22" s="103" customFormat="1" ht="17" hidden="1">
      <c r="B19" s="96">
        <f>+IF('[1]1_ENTREGA'!A13="","",'[1]1_ENTREGA'!A13)</f>
        <v>6</v>
      </c>
      <c r="C19" s="886">
        <f t="shared" si="3"/>
        <v>0</v>
      </c>
      <c r="D19" s="887"/>
      <c r="E19" s="888"/>
      <c r="F19" s="97" t="str">
        <f t="shared" ca="1" si="0"/>
        <v xml:space="preserve"> </v>
      </c>
      <c r="G19" s="98">
        <f t="shared" ca="1" si="4"/>
        <v>0</v>
      </c>
      <c r="H19" s="99">
        <f t="shared" ca="1" si="5"/>
        <v>0</v>
      </c>
      <c r="I19" s="100">
        <f t="shared" ca="1" si="6"/>
        <v>100</v>
      </c>
      <c r="J19" s="100" t="str">
        <f t="shared" ca="1" si="7"/>
        <v/>
      </c>
      <c r="K19" s="100" t="str">
        <f t="shared" ca="1" si="8"/>
        <v/>
      </c>
      <c r="L19" s="100" t="str">
        <f t="shared" ca="1" si="9"/>
        <v xml:space="preserve"> </v>
      </c>
      <c r="M19" s="100"/>
      <c r="N19" s="101">
        <f t="shared" ca="1" si="10"/>
        <v>100</v>
      </c>
      <c r="O19" s="102" t="str">
        <f t="shared" ca="1" si="1"/>
        <v xml:space="preserve"> </v>
      </c>
      <c r="P19" s="889">
        <f>+RESUMEN!I10</f>
        <v>0</v>
      </c>
      <c r="Q19" s="890"/>
      <c r="R19" s="891"/>
      <c r="U19" s="104">
        <f t="shared" ca="1" si="2"/>
        <v>100</v>
      </c>
      <c r="V19" s="105">
        <v>6</v>
      </c>
    </row>
    <row r="20" spans="2:22" s="103" customFormat="1" ht="109.5" hidden="1" customHeight="1">
      <c r="B20" s="96">
        <f>+IF('[1]1_ENTREGA'!A14="","",'[1]1_ENTREGA'!A14)</f>
        <v>7</v>
      </c>
      <c r="C20" s="886">
        <f t="shared" si="3"/>
        <v>0</v>
      </c>
      <c r="D20" s="887"/>
      <c r="E20" s="888"/>
      <c r="F20" s="97" t="str">
        <f t="shared" ca="1" si="0"/>
        <v xml:space="preserve"> </v>
      </c>
      <c r="G20" s="98">
        <f t="shared" ca="1" si="4"/>
        <v>0</v>
      </c>
      <c r="H20" s="99">
        <f t="shared" ca="1" si="5"/>
        <v>0</v>
      </c>
      <c r="I20" s="100">
        <f t="shared" ca="1" si="6"/>
        <v>100</v>
      </c>
      <c r="J20" s="100" t="str">
        <f t="shared" ca="1" si="7"/>
        <v/>
      </c>
      <c r="K20" s="100" t="str">
        <f t="shared" ca="1" si="8"/>
        <v/>
      </c>
      <c r="L20" s="100" t="str">
        <f t="shared" ca="1" si="9"/>
        <v xml:space="preserve"> </v>
      </c>
      <c r="M20" s="100"/>
      <c r="N20" s="101">
        <f t="shared" ca="1" si="10"/>
        <v>100</v>
      </c>
      <c r="O20" s="102" t="str">
        <f t="shared" ca="1" si="1"/>
        <v xml:space="preserve"> </v>
      </c>
      <c r="P20" s="895">
        <f>+RESUMEN!I11</f>
        <v>0</v>
      </c>
      <c r="Q20" s="896"/>
      <c r="R20" s="897"/>
      <c r="U20" s="104">
        <f t="shared" ca="1" si="2"/>
        <v>100</v>
      </c>
      <c r="V20" s="105">
        <v>7</v>
      </c>
    </row>
    <row r="21" spans="2:22" s="103" customFormat="1" ht="17" hidden="1">
      <c r="B21" s="96">
        <f>+IF('[1]1_ENTREGA'!A15="","",'[1]1_ENTREGA'!A15)</f>
        <v>8</v>
      </c>
      <c r="C21" s="886">
        <f t="shared" si="3"/>
        <v>0</v>
      </c>
      <c r="D21" s="887"/>
      <c r="E21" s="888"/>
      <c r="F21" s="97" t="str">
        <f t="shared" ca="1" si="0"/>
        <v xml:space="preserve"> </v>
      </c>
      <c r="G21" s="98">
        <f t="shared" ca="1" si="4"/>
        <v>0</v>
      </c>
      <c r="H21" s="99">
        <f t="shared" ca="1" si="5"/>
        <v>0</v>
      </c>
      <c r="I21" s="100">
        <f t="shared" ca="1" si="6"/>
        <v>100</v>
      </c>
      <c r="J21" s="100" t="str">
        <f t="shared" ca="1" si="7"/>
        <v/>
      </c>
      <c r="K21" s="100" t="str">
        <f t="shared" ca="1" si="8"/>
        <v/>
      </c>
      <c r="L21" s="100" t="str">
        <f t="shared" ca="1" si="9"/>
        <v xml:space="preserve"> </v>
      </c>
      <c r="M21" s="100"/>
      <c r="N21" s="101">
        <f t="shared" ca="1" si="10"/>
        <v>100</v>
      </c>
      <c r="O21" s="102" t="str">
        <f t="shared" ca="1" si="1"/>
        <v xml:space="preserve"> </v>
      </c>
      <c r="P21" s="889">
        <f>+RESUMEN!I12</f>
        <v>0</v>
      </c>
      <c r="Q21" s="890"/>
      <c r="R21" s="891"/>
      <c r="U21" s="104">
        <f t="shared" ca="1" si="2"/>
        <v>100</v>
      </c>
      <c r="V21" s="105">
        <v>8</v>
      </c>
    </row>
    <row r="22" spans="2:22" s="103" customFormat="1" ht="15" hidden="1" customHeight="1">
      <c r="B22" s="96">
        <f>+IF('[1]1_ENTREGA'!A16="","",'[1]1_ENTREGA'!A16)</f>
        <v>9</v>
      </c>
      <c r="C22" s="886">
        <f t="shared" si="3"/>
        <v>0</v>
      </c>
      <c r="D22" s="887"/>
      <c r="E22" s="888"/>
      <c r="F22" s="97" t="str">
        <f t="shared" ca="1" si="0"/>
        <v xml:space="preserve"> </v>
      </c>
      <c r="G22" s="98">
        <f t="shared" ca="1" si="4"/>
        <v>0</v>
      </c>
      <c r="H22" s="99">
        <f t="shared" ca="1" si="5"/>
        <v>0</v>
      </c>
      <c r="I22" s="100">
        <f t="shared" ca="1" si="6"/>
        <v>100</v>
      </c>
      <c r="J22" s="100" t="str">
        <f t="shared" ca="1" si="7"/>
        <v/>
      </c>
      <c r="K22" s="100" t="str">
        <f t="shared" ca="1" si="8"/>
        <v/>
      </c>
      <c r="L22" s="100" t="str">
        <f t="shared" ca="1" si="9"/>
        <v xml:space="preserve"> </v>
      </c>
      <c r="M22" s="100"/>
      <c r="N22" s="101">
        <f t="shared" ca="1" si="10"/>
        <v>100</v>
      </c>
      <c r="O22" s="102" t="str">
        <f t="shared" ca="1" si="1"/>
        <v xml:space="preserve"> </v>
      </c>
      <c r="P22" s="889">
        <f>+RESUMEN!I13</f>
        <v>0</v>
      </c>
      <c r="Q22" s="890"/>
      <c r="R22" s="891"/>
      <c r="U22" s="104">
        <f t="shared" ca="1" si="2"/>
        <v>100</v>
      </c>
      <c r="V22" s="105">
        <v>9</v>
      </c>
    </row>
    <row r="23" spans="2:22" s="103" customFormat="1" ht="17" hidden="1">
      <c r="B23" s="96">
        <f>+IF('[1]1_ENTREGA'!A17="","",'[1]1_ENTREGA'!A17)</f>
        <v>10</v>
      </c>
      <c r="C23" s="886">
        <f t="shared" si="3"/>
        <v>0</v>
      </c>
      <c r="D23" s="887"/>
      <c r="E23" s="888"/>
      <c r="F23" s="97" t="str">
        <f t="shared" ca="1" si="0"/>
        <v xml:space="preserve"> </v>
      </c>
      <c r="G23" s="98">
        <f t="shared" ca="1" si="4"/>
        <v>0</v>
      </c>
      <c r="H23" s="99">
        <f t="shared" ca="1" si="5"/>
        <v>0</v>
      </c>
      <c r="I23" s="100">
        <f t="shared" ca="1" si="6"/>
        <v>100</v>
      </c>
      <c r="J23" s="100" t="str">
        <f t="shared" ca="1" si="7"/>
        <v/>
      </c>
      <c r="K23" s="100" t="str">
        <f t="shared" ca="1" si="8"/>
        <v/>
      </c>
      <c r="L23" s="100" t="str">
        <f t="shared" ca="1" si="9"/>
        <v xml:space="preserve"> </v>
      </c>
      <c r="M23" s="100"/>
      <c r="N23" s="101">
        <f t="shared" ca="1" si="10"/>
        <v>100</v>
      </c>
      <c r="O23" s="102" t="str">
        <f t="shared" ca="1" si="1"/>
        <v xml:space="preserve"> </v>
      </c>
      <c r="P23" s="889">
        <f>+RESUMEN!I14</f>
        <v>0</v>
      </c>
      <c r="Q23" s="890"/>
      <c r="R23" s="891"/>
      <c r="U23" s="104">
        <f t="shared" ca="1" si="2"/>
        <v>100</v>
      </c>
      <c r="V23" s="105">
        <v>10</v>
      </c>
    </row>
    <row r="24" spans="2:22" s="103" customFormat="1" ht="17" hidden="1">
      <c r="B24" s="96">
        <f>+IF('[1]1_ENTREGA'!A18="","",'[1]1_ENTREGA'!A18)</f>
        <v>11</v>
      </c>
      <c r="C24" s="886">
        <f t="shared" si="3"/>
        <v>0</v>
      </c>
      <c r="D24" s="887"/>
      <c r="E24" s="888"/>
      <c r="F24" s="97" t="str">
        <f t="shared" ca="1" si="0"/>
        <v xml:space="preserve"> </v>
      </c>
      <c r="G24" s="98">
        <f t="shared" ca="1" si="4"/>
        <v>0</v>
      </c>
      <c r="H24" s="99">
        <f t="shared" ca="1" si="5"/>
        <v>0</v>
      </c>
      <c r="I24" s="100">
        <f t="shared" ca="1" si="6"/>
        <v>100</v>
      </c>
      <c r="J24" s="100" t="str">
        <f t="shared" ca="1" si="7"/>
        <v/>
      </c>
      <c r="K24" s="100" t="str">
        <f t="shared" ca="1" si="8"/>
        <v/>
      </c>
      <c r="L24" s="100" t="str">
        <f t="shared" ca="1" si="9"/>
        <v xml:space="preserve"> </v>
      </c>
      <c r="M24" s="100"/>
      <c r="N24" s="101">
        <f t="shared" ca="1" si="10"/>
        <v>100</v>
      </c>
      <c r="O24" s="102" t="str">
        <f t="shared" ca="1" si="1"/>
        <v xml:space="preserve"> </v>
      </c>
      <c r="P24" s="889">
        <f>+RESUMEN!I15</f>
        <v>0</v>
      </c>
      <c r="Q24" s="890"/>
      <c r="R24" s="891"/>
      <c r="U24" s="104">
        <f t="shared" ca="1" si="2"/>
        <v>100</v>
      </c>
      <c r="V24" s="105">
        <v>11</v>
      </c>
    </row>
    <row r="25" spans="2:22" s="103" customFormat="1" ht="17" hidden="1">
      <c r="B25" s="96">
        <f>+IF('[1]1_ENTREGA'!A19="","",'[1]1_ENTREGA'!A19)</f>
        <v>12</v>
      </c>
      <c r="C25" s="886">
        <f t="shared" si="3"/>
        <v>0</v>
      </c>
      <c r="D25" s="887"/>
      <c r="E25" s="888"/>
      <c r="F25" s="97" t="str">
        <f t="shared" ca="1" si="0"/>
        <v xml:space="preserve"> </v>
      </c>
      <c r="G25" s="98">
        <f t="shared" ca="1" si="4"/>
        <v>0</v>
      </c>
      <c r="H25" s="99">
        <f t="shared" ca="1" si="5"/>
        <v>0</v>
      </c>
      <c r="I25" s="100">
        <f t="shared" ca="1" si="6"/>
        <v>100</v>
      </c>
      <c r="J25" s="100" t="str">
        <f t="shared" ca="1" si="7"/>
        <v/>
      </c>
      <c r="K25" s="100" t="str">
        <f t="shared" ca="1" si="8"/>
        <v/>
      </c>
      <c r="L25" s="100" t="str">
        <f t="shared" ca="1" si="9"/>
        <v xml:space="preserve"> </v>
      </c>
      <c r="M25" s="100"/>
      <c r="N25" s="101">
        <f t="shared" ca="1" si="10"/>
        <v>100</v>
      </c>
      <c r="O25" s="102" t="str">
        <f t="shared" ca="1" si="1"/>
        <v xml:space="preserve"> </v>
      </c>
      <c r="P25" s="889">
        <f>+RESUMEN!I16</f>
        <v>0</v>
      </c>
      <c r="Q25" s="890"/>
      <c r="R25" s="891"/>
      <c r="U25" s="104">
        <f t="shared" ca="1" si="2"/>
        <v>100</v>
      </c>
      <c r="V25" s="105">
        <v>12</v>
      </c>
    </row>
    <row r="26" spans="2:22" s="103" customFormat="1" ht="147" hidden="1" customHeight="1">
      <c r="B26" s="96">
        <f>+IF('[1]1_ENTREGA'!A20="","",'[1]1_ENTREGA'!A20)</f>
        <v>13</v>
      </c>
      <c r="C26" s="886">
        <f t="shared" si="3"/>
        <v>0</v>
      </c>
      <c r="D26" s="887"/>
      <c r="E26" s="888"/>
      <c r="F26" s="97" t="str">
        <f t="shared" ca="1" si="0"/>
        <v xml:space="preserve"> </v>
      </c>
      <c r="G26" s="98">
        <f t="shared" ca="1" si="4"/>
        <v>0</v>
      </c>
      <c r="H26" s="99">
        <f t="shared" ca="1" si="5"/>
        <v>0</v>
      </c>
      <c r="I26" s="100">
        <f t="shared" ca="1" si="6"/>
        <v>100</v>
      </c>
      <c r="J26" s="100" t="str">
        <f t="shared" ca="1" si="7"/>
        <v/>
      </c>
      <c r="K26" s="100" t="str">
        <f t="shared" ca="1" si="8"/>
        <v/>
      </c>
      <c r="L26" s="100" t="str">
        <f t="shared" ca="1" si="9"/>
        <v xml:space="preserve"> </v>
      </c>
      <c r="M26" s="100"/>
      <c r="N26" s="101">
        <f t="shared" ca="1" si="10"/>
        <v>100</v>
      </c>
      <c r="O26" s="102" t="str">
        <f t="shared" ca="1" si="1"/>
        <v xml:space="preserve"> </v>
      </c>
      <c r="P26" s="889">
        <f>+RESUMEN!I17</f>
        <v>0</v>
      </c>
      <c r="Q26" s="890"/>
      <c r="R26" s="891"/>
      <c r="U26" s="104">
        <f t="shared" ca="1" si="2"/>
        <v>100</v>
      </c>
      <c r="V26" s="105">
        <v>13</v>
      </c>
    </row>
    <row r="27" spans="2:22" s="103" customFormat="1" ht="17" hidden="1">
      <c r="B27" s="96">
        <f>+IF('[1]1_ENTREGA'!A21="","",'[1]1_ENTREGA'!A21)</f>
        <v>14</v>
      </c>
      <c r="C27" s="886">
        <f t="shared" si="3"/>
        <v>0</v>
      </c>
      <c r="D27" s="887"/>
      <c r="E27" s="888"/>
      <c r="F27" s="97" t="str">
        <f t="shared" ca="1" si="0"/>
        <v xml:space="preserve"> </v>
      </c>
      <c r="G27" s="98">
        <f t="shared" ca="1" si="4"/>
        <v>0</v>
      </c>
      <c r="H27" s="99">
        <f t="shared" ca="1" si="5"/>
        <v>0</v>
      </c>
      <c r="I27" s="100">
        <f t="shared" ca="1" si="6"/>
        <v>100</v>
      </c>
      <c r="J27" s="100" t="str">
        <f t="shared" ca="1" si="7"/>
        <v/>
      </c>
      <c r="K27" s="100" t="str">
        <f t="shared" ca="1" si="8"/>
        <v/>
      </c>
      <c r="L27" s="100" t="str">
        <f t="shared" ca="1" si="9"/>
        <v xml:space="preserve"> </v>
      </c>
      <c r="M27" s="100"/>
      <c r="N27" s="101">
        <f t="shared" ca="1" si="10"/>
        <v>100</v>
      </c>
      <c r="O27" s="102" t="str">
        <f t="shared" ca="1" si="1"/>
        <v xml:space="preserve"> </v>
      </c>
      <c r="P27" s="889">
        <f>+RESUMEN!I18</f>
        <v>0</v>
      </c>
      <c r="Q27" s="890"/>
      <c r="R27" s="891"/>
      <c r="U27" s="104" t="str">
        <f t="shared" ca="1" si="2"/>
        <v xml:space="preserve"> </v>
      </c>
      <c r="V27" s="105">
        <v>14</v>
      </c>
    </row>
    <row r="28" spans="2:22" s="103" customFormat="1" ht="17" hidden="1">
      <c r="B28" s="96">
        <f>+IF('[1]1_ENTREGA'!A22="","",'[1]1_ENTREGA'!A22)</f>
        <v>15</v>
      </c>
      <c r="C28" s="886">
        <f t="shared" si="3"/>
        <v>0</v>
      </c>
      <c r="D28" s="887"/>
      <c r="E28" s="888"/>
      <c r="F28" s="97" t="str">
        <f t="shared" si="0"/>
        <v xml:space="preserve"> </v>
      </c>
      <c r="G28" s="98">
        <f t="shared" ca="1" si="4"/>
        <v>0</v>
      </c>
      <c r="H28" s="99" t="e">
        <f t="shared" si="5"/>
        <v>#N/A</v>
      </c>
      <c r="I28" s="100">
        <f t="shared" ca="1" si="6"/>
        <v>100</v>
      </c>
      <c r="J28" s="100" t="str">
        <f t="shared" si="7"/>
        <v/>
      </c>
      <c r="K28" s="100" t="str">
        <f t="shared" si="8"/>
        <v/>
      </c>
      <c r="L28" s="100" t="str">
        <f t="shared" si="9"/>
        <v xml:space="preserve"> </v>
      </c>
      <c r="M28" s="100"/>
      <c r="N28" s="101">
        <f t="shared" ca="1" si="10"/>
        <v>100</v>
      </c>
      <c r="O28" s="102" t="str">
        <f t="shared" si="1"/>
        <v xml:space="preserve"> </v>
      </c>
      <c r="P28" s="898"/>
      <c r="Q28" s="899"/>
      <c r="R28" s="900"/>
      <c r="U28" s="104" t="str">
        <f t="shared" ca="1" si="2"/>
        <v xml:space="preserve"> </v>
      </c>
      <c r="V28" s="105">
        <v>15</v>
      </c>
    </row>
    <row r="29" spans="2:22" s="103" customFormat="1" ht="17" hidden="1">
      <c r="B29" s="96">
        <f>+IF('[1]1_ENTREGA'!A23="","",'[1]1_ENTREGA'!A23)</f>
        <v>16</v>
      </c>
      <c r="C29" s="886">
        <f t="shared" si="3"/>
        <v>0</v>
      </c>
      <c r="D29" s="887"/>
      <c r="E29" s="888"/>
      <c r="F29" s="97" t="str">
        <f t="shared" si="0"/>
        <v xml:space="preserve"> </v>
      </c>
      <c r="G29" s="98">
        <f t="shared" ca="1" si="4"/>
        <v>0</v>
      </c>
      <c r="H29" s="99" t="e">
        <f t="shared" si="5"/>
        <v>#N/A</v>
      </c>
      <c r="I29" s="100">
        <f t="shared" ca="1" si="6"/>
        <v>100</v>
      </c>
      <c r="J29" s="100" t="str">
        <f t="shared" si="7"/>
        <v/>
      </c>
      <c r="K29" s="100" t="str">
        <f t="shared" si="8"/>
        <v/>
      </c>
      <c r="L29" s="100" t="str">
        <f t="shared" si="9"/>
        <v xml:space="preserve"> </v>
      </c>
      <c r="M29" s="100"/>
      <c r="N29" s="101">
        <f t="shared" ca="1" si="10"/>
        <v>100</v>
      </c>
      <c r="O29" s="102" t="str">
        <f t="shared" si="1"/>
        <v xml:space="preserve"> </v>
      </c>
      <c r="P29" s="898"/>
      <c r="Q29" s="899"/>
      <c r="R29" s="900"/>
      <c r="U29" s="104" t="str">
        <f t="shared" ca="1" si="2"/>
        <v xml:space="preserve"> </v>
      </c>
      <c r="V29" s="105">
        <v>16</v>
      </c>
    </row>
    <row r="30" spans="2:22" s="103" customFormat="1" ht="17" hidden="1">
      <c r="B30" s="96">
        <f>+IF('[1]1_ENTREGA'!A24="","",'[1]1_ENTREGA'!A24)</f>
        <v>17</v>
      </c>
      <c r="C30" s="886">
        <f t="shared" ref="C30" si="11">IF(B30="","",VLOOKUP(B30,LISTA_OFERENTES,2,FALSE))</f>
        <v>0</v>
      </c>
      <c r="D30" s="887"/>
      <c r="E30" s="888"/>
      <c r="F30" s="97" t="str">
        <f t="shared" si="0"/>
        <v xml:space="preserve"> </v>
      </c>
      <c r="G30" s="98">
        <f t="shared" ca="1" si="4"/>
        <v>0</v>
      </c>
      <c r="H30" s="99" t="e">
        <f t="shared" si="5"/>
        <v>#N/A</v>
      </c>
      <c r="I30" s="100">
        <f t="shared" ca="1" si="6"/>
        <v>100</v>
      </c>
      <c r="J30" s="100" t="str">
        <f t="shared" si="7"/>
        <v/>
      </c>
      <c r="K30" s="100" t="str">
        <f t="shared" si="8"/>
        <v/>
      </c>
      <c r="L30" s="100" t="str">
        <f t="shared" si="9"/>
        <v xml:space="preserve"> </v>
      </c>
      <c r="M30" s="100"/>
      <c r="N30" s="101">
        <f t="shared" ca="1" si="10"/>
        <v>100</v>
      </c>
      <c r="O30" s="102" t="str">
        <f t="shared" si="1"/>
        <v xml:space="preserve"> </v>
      </c>
      <c r="P30" s="197"/>
      <c r="Q30" s="198"/>
      <c r="R30" s="199"/>
      <c r="U30" s="104" t="str">
        <f t="shared" ca="1" si="2"/>
        <v xml:space="preserve"> </v>
      </c>
      <c r="V30" s="105">
        <v>17</v>
      </c>
    </row>
    <row r="31" spans="2:22">
      <c r="G31" s="210"/>
      <c r="I31" s="81" t="str">
        <f t="shared" si="6"/>
        <v/>
      </c>
    </row>
    <row r="32" spans="2:22">
      <c r="F32" s="81" t="s">
        <v>92</v>
      </c>
    </row>
    <row r="33" spans="7:13" ht="12" customHeight="1"/>
    <row r="34" spans="7:13" hidden="1">
      <c r="G34" s="81" t="s">
        <v>158</v>
      </c>
      <c r="H34" s="205">
        <f ca="1">AVERAGE(G14:G27)</f>
        <v>0</v>
      </c>
    </row>
    <row r="35" spans="7:13" hidden="1">
      <c r="G35" s="81" t="s">
        <v>159</v>
      </c>
      <c r="H35" s="205">
        <f ca="1">_xlfn.STDEV.P(G14:G27)</f>
        <v>0</v>
      </c>
      <c r="K35" s="285"/>
      <c r="L35" s="106"/>
      <c r="M35" s="106"/>
    </row>
    <row r="36" spans="7:13" hidden="1">
      <c r="G36" s="81" t="s">
        <v>148</v>
      </c>
      <c r="H36" s="205">
        <f ca="1">+H34+(H35/2)</f>
        <v>0</v>
      </c>
      <c r="I36" s="205"/>
      <c r="J36" s="205"/>
      <c r="K36" s="205"/>
    </row>
    <row r="37" spans="7:13" hidden="1">
      <c r="G37" s="81" t="s">
        <v>149</v>
      </c>
      <c r="H37" s="205">
        <f ca="1">H34-(H35/2)</f>
        <v>0</v>
      </c>
      <c r="K37" s="205"/>
    </row>
    <row r="39" spans="7:13">
      <c r="G39" s="206"/>
    </row>
    <row r="40" spans="7:13">
      <c r="G40" s="206"/>
    </row>
    <row r="41" spans="7:13">
      <c r="G41" s="207"/>
    </row>
  </sheetData>
  <sheetProtection algorithmName="SHA-512" hashValue="9HFZuFnvmSeaarJPUF2iy0hcTWhu9AF5PqrPyWojXqUI0G1qvaY6FGBUJndHJNCwayUPk8vFfiLTJPXShsYhuQ==" saltValue="+JOu6JRgRQIpWKsyCrQRTw==" spinCount="100000" sheet="1" objects="1" scenarios="1"/>
  <mergeCells count="51">
    <mergeCell ref="C30:E30"/>
    <mergeCell ref="C27:E27"/>
    <mergeCell ref="P27:R27"/>
    <mergeCell ref="C28:E28"/>
    <mergeCell ref="P28:R28"/>
    <mergeCell ref="C29:E29"/>
    <mergeCell ref="P29:R29"/>
    <mergeCell ref="C24:E24"/>
    <mergeCell ref="P24:R24"/>
    <mergeCell ref="C25:E25"/>
    <mergeCell ref="P25:R25"/>
    <mergeCell ref="C26:E26"/>
    <mergeCell ref="P26:R26"/>
    <mergeCell ref="C21:E21"/>
    <mergeCell ref="P21:R21"/>
    <mergeCell ref="C22:E22"/>
    <mergeCell ref="P22:R22"/>
    <mergeCell ref="C23:E23"/>
    <mergeCell ref="P23:R23"/>
    <mergeCell ref="C18:E18"/>
    <mergeCell ref="P18:R18"/>
    <mergeCell ref="C19:E19"/>
    <mergeCell ref="P19:R19"/>
    <mergeCell ref="C20:E20"/>
    <mergeCell ref="P20:R20"/>
    <mergeCell ref="B10:C10"/>
    <mergeCell ref="I11:L11"/>
    <mergeCell ref="C13:E13"/>
    <mergeCell ref="P13:R13"/>
    <mergeCell ref="C17:E17"/>
    <mergeCell ref="P17:R17"/>
    <mergeCell ref="U13:V13"/>
    <mergeCell ref="C15:E15"/>
    <mergeCell ref="P15:R15"/>
    <mergeCell ref="C16:E16"/>
    <mergeCell ref="P16:R16"/>
    <mergeCell ref="C14:E14"/>
    <mergeCell ref="P14:R14"/>
    <mergeCell ref="B2:R2"/>
    <mergeCell ref="B3:R3"/>
    <mergeCell ref="B4:R4"/>
    <mergeCell ref="B5:R5"/>
    <mergeCell ref="B7:C7"/>
    <mergeCell ref="E7:G7"/>
    <mergeCell ref="H7:L7"/>
    <mergeCell ref="B8:C8"/>
    <mergeCell ref="F8:G8"/>
    <mergeCell ref="I8:J8"/>
    <mergeCell ref="K8:L8"/>
    <mergeCell ref="B9:C9"/>
    <mergeCell ref="F9:G9"/>
  </mergeCells>
  <conditionalFormatting sqref="O14:O30">
    <cfRule type="cellIs" dxfId="2" priority="3" operator="equal">
      <formula>1</formula>
    </cfRule>
  </conditionalFormatting>
  <conditionalFormatting sqref="F14:F30">
    <cfRule type="cellIs" dxfId="1" priority="1" operator="equal">
      <formula>"NH"</formula>
    </cfRule>
    <cfRule type="cellIs" dxfId="0" priority="2" operator="equal">
      <formula>"H"</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4" zoomScale="85" zoomScaleNormal="85" workbookViewId="0">
      <selection activeCell="I9" sqref="I9"/>
    </sheetView>
  </sheetViews>
  <sheetFormatPr baseColWidth="10" defaultColWidth="11.5" defaultRowHeight="14"/>
  <cols>
    <col min="1" max="1" width="3.5" style="8" bestFit="1" customWidth="1"/>
    <col min="2" max="2" width="36.1640625" style="8" customWidth="1"/>
    <col min="3" max="3" width="45.5" style="8" customWidth="1"/>
    <col min="4" max="4" width="23" style="8" customWidth="1"/>
    <col min="5" max="5" width="22.6640625" style="8" customWidth="1"/>
    <col min="6" max="6" width="24" style="8" customWidth="1"/>
    <col min="7" max="7" width="20.5" style="8" customWidth="1"/>
    <col min="8" max="8" width="28.5" style="8" customWidth="1"/>
    <col min="9" max="9" width="40.1640625" style="8" customWidth="1"/>
    <col min="10" max="16384" width="11.5" style="8"/>
  </cols>
  <sheetData>
    <row r="1" spans="1:10" ht="34.5" customHeight="1">
      <c r="A1" s="518"/>
      <c r="B1" s="520" t="s">
        <v>0</v>
      </c>
      <c r="C1" s="520"/>
      <c r="D1" s="520"/>
      <c r="E1" s="520"/>
      <c r="F1" s="520"/>
      <c r="G1" s="520"/>
      <c r="H1" s="520"/>
      <c r="I1" s="521"/>
    </row>
    <row r="2" spans="1:10" ht="32.25" customHeight="1">
      <c r="A2" s="519"/>
      <c r="B2" s="522" t="str">
        <f>+'1_ENTREGA'!A2</f>
        <v>Invitación Pública N°  VA-036-2021</v>
      </c>
      <c r="C2" s="522"/>
      <c r="D2" s="522"/>
      <c r="E2" s="522"/>
      <c r="F2" s="522"/>
      <c r="G2" s="522"/>
      <c r="H2" s="522"/>
      <c r="I2" s="523"/>
    </row>
    <row r="3" spans="1:10" ht="70.5" customHeight="1">
      <c r="A3" s="519"/>
      <c r="B3" s="524"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v>
      </c>
      <c r="C3" s="524"/>
      <c r="D3" s="524"/>
      <c r="E3" s="524"/>
      <c r="F3" s="524"/>
      <c r="G3" s="524"/>
      <c r="H3" s="524"/>
      <c r="I3" s="525"/>
    </row>
    <row r="4" spans="1:10" ht="18" customHeight="1">
      <c r="A4" s="526" t="s">
        <v>5</v>
      </c>
      <c r="B4" s="527"/>
      <c r="C4" s="527"/>
      <c r="D4" s="527"/>
      <c r="E4" s="527"/>
      <c r="F4" s="527"/>
      <c r="G4" s="527"/>
      <c r="H4" s="527"/>
      <c r="I4" s="528"/>
    </row>
    <row r="5" spans="1:10" ht="33" customHeight="1">
      <c r="A5" s="529" t="s">
        <v>167</v>
      </c>
      <c r="B5" s="530"/>
      <c r="C5" s="531"/>
      <c r="D5" s="161"/>
      <c r="E5" s="9"/>
      <c r="F5" s="9"/>
      <c r="G5" s="9"/>
      <c r="H5" s="9"/>
      <c r="I5" s="10"/>
    </row>
    <row r="6" spans="1:10" ht="33" customHeight="1" thickBot="1">
      <c r="A6" s="532" t="s">
        <v>168</v>
      </c>
      <c r="B6" s="533"/>
      <c r="C6" s="534"/>
      <c r="D6" s="212"/>
      <c r="E6" s="213"/>
      <c r="F6" s="213"/>
      <c r="G6" s="213"/>
      <c r="H6" s="213"/>
      <c r="I6" s="214"/>
    </row>
    <row r="7" spans="1:10" ht="30">
      <c r="A7" s="219" t="s">
        <v>6</v>
      </c>
      <c r="B7" s="224" t="s">
        <v>7</v>
      </c>
      <c r="C7" s="225" t="s">
        <v>8</v>
      </c>
      <c r="D7" s="223" t="s">
        <v>9</v>
      </c>
      <c r="E7" s="223" t="s">
        <v>131</v>
      </c>
      <c r="F7" s="223" t="s">
        <v>170</v>
      </c>
      <c r="G7" s="223" t="s">
        <v>171</v>
      </c>
      <c r="H7" s="223" t="s">
        <v>172</v>
      </c>
      <c r="I7" s="226" t="s">
        <v>10</v>
      </c>
    </row>
    <row r="8" spans="1:10" ht="133.5" customHeight="1">
      <c r="A8" s="220">
        <f>IF('[1]1_ENTREGA'!A8="","",'[1]1_ENTREGA'!A8)</f>
        <v>1</v>
      </c>
      <c r="B8" s="301">
        <v>44473.644884259258</v>
      </c>
      <c r="C8" s="203" t="str">
        <f t="shared" ref="C8:C21" si="0">IF(A8="","",VLOOKUP(A8,LISTA_OFERENTES,2,FALSE))</f>
        <v>KER INGENIERIA S.A.S.</v>
      </c>
      <c r="D8" s="222">
        <v>900427442</v>
      </c>
      <c r="E8" s="300">
        <v>100002</v>
      </c>
      <c r="F8" s="298">
        <v>164838000</v>
      </c>
      <c r="G8" s="297" t="s">
        <v>176</v>
      </c>
      <c r="H8" s="298">
        <v>531229328</v>
      </c>
      <c r="I8" s="203" t="s">
        <v>322</v>
      </c>
    </row>
    <row r="9" spans="1:10" ht="134.25" customHeight="1">
      <c r="A9" s="220">
        <f>IF('[1]1_ENTREGA'!A9="","",'[1]1_ENTREGA'!A9)</f>
        <v>2</v>
      </c>
      <c r="B9" s="301">
        <v>44480.404814814814</v>
      </c>
      <c r="C9" s="203" t="str">
        <f>IF(A9="","",VLOOKUP(A9,LISTA_OFERENTES,2,FALSE))</f>
        <v>UNIÓN TEMPORAL SUPERVISOR 2021</v>
      </c>
      <c r="D9" s="222">
        <v>52553958</v>
      </c>
      <c r="E9" s="300" t="s">
        <v>177</v>
      </c>
      <c r="F9" s="298">
        <v>254318325</v>
      </c>
      <c r="G9" s="297" t="s">
        <v>173</v>
      </c>
      <c r="H9" s="299">
        <v>670870987.08000004</v>
      </c>
      <c r="I9" s="203" t="s">
        <v>267</v>
      </c>
    </row>
    <row r="10" spans="1:10" ht="28.5" customHeight="1">
      <c r="A10" s="220">
        <f>IF('[1]1_ENTREGA'!A10="","",'[1]1_ENTREGA'!A10)</f>
        <v>3</v>
      </c>
      <c r="B10" s="301">
        <v>44480.52447916667</v>
      </c>
      <c r="C10" s="203" t="str">
        <f t="shared" si="0"/>
        <v>PreVeo S.A.S.</v>
      </c>
      <c r="D10" s="222">
        <v>9003464841</v>
      </c>
      <c r="E10" s="300" t="s">
        <v>178</v>
      </c>
      <c r="F10" s="298">
        <v>216526278</v>
      </c>
      <c r="G10" s="297" t="s">
        <v>174</v>
      </c>
      <c r="H10" s="298">
        <v>667717654</v>
      </c>
      <c r="I10" s="203"/>
    </row>
    <row r="11" spans="1:10" ht="21.75" customHeight="1">
      <c r="A11" s="220">
        <f>IF('[1]1_ENTREGA'!A11="","",'[1]1_ENTREGA'!A11)</f>
        <v>4</v>
      </c>
      <c r="B11" s="301">
        <v>44480.585763888892</v>
      </c>
      <c r="C11" s="203" t="str">
        <f t="shared" si="0"/>
        <v>INTERVE S.A.S.</v>
      </c>
      <c r="D11" s="222">
        <v>8909206568</v>
      </c>
      <c r="E11" s="300">
        <v>100152466</v>
      </c>
      <c r="F11" s="298">
        <v>228608250</v>
      </c>
      <c r="G11" s="297" t="s">
        <v>175</v>
      </c>
      <c r="H11" s="298">
        <v>660997162</v>
      </c>
      <c r="I11" s="203"/>
      <c r="J11" s="160"/>
    </row>
    <row r="12" spans="1:10" ht="28.5" hidden="1" customHeight="1" thickBot="1">
      <c r="A12" s="220">
        <f>IF('[1]1_ENTREGA'!A12="","",'[1]1_ENTREGA'!A12)</f>
        <v>5</v>
      </c>
      <c r="B12" s="290"/>
      <c r="C12" s="291">
        <f t="shared" si="0"/>
        <v>0</v>
      </c>
      <c r="D12" s="292"/>
      <c r="E12" s="232"/>
      <c r="F12" s="293"/>
      <c r="G12" s="294"/>
      <c r="H12" s="295"/>
      <c r="I12" s="296"/>
      <c r="J12" s="160"/>
    </row>
    <row r="13" spans="1:10" ht="28.5" hidden="1" customHeight="1" thickBot="1">
      <c r="A13" s="220">
        <f>IF('[1]1_ENTREGA'!A13="","",'[1]1_ENTREGA'!A13)</f>
        <v>6</v>
      </c>
      <c r="B13" s="227"/>
      <c r="C13" s="203">
        <f t="shared" si="0"/>
        <v>0</v>
      </c>
      <c r="D13" s="222"/>
      <c r="E13" s="232"/>
      <c r="F13" s="215"/>
      <c r="G13" s="231"/>
      <c r="H13" s="216"/>
      <c r="I13" s="217"/>
    </row>
    <row r="14" spans="1:10" ht="28.5" hidden="1" customHeight="1" thickBot="1">
      <c r="A14" s="220">
        <f>IF('[1]1_ENTREGA'!A14="","",'[1]1_ENTREGA'!A14)</f>
        <v>7</v>
      </c>
      <c r="B14" s="227"/>
      <c r="C14" s="203">
        <f t="shared" si="0"/>
        <v>0</v>
      </c>
      <c r="D14" s="222"/>
      <c r="E14" s="232"/>
      <c r="F14" s="215"/>
      <c r="G14" s="231"/>
      <c r="H14" s="216"/>
      <c r="I14" s="217"/>
    </row>
    <row r="15" spans="1:10" ht="28.5" hidden="1" customHeight="1" thickBot="1">
      <c r="A15" s="220">
        <f>IF('[1]1_ENTREGA'!A15="","",'[1]1_ENTREGA'!A15)</f>
        <v>8</v>
      </c>
      <c r="B15" s="227"/>
      <c r="C15" s="203">
        <f t="shared" si="0"/>
        <v>0</v>
      </c>
      <c r="D15" s="222"/>
      <c r="E15" s="232"/>
      <c r="F15" s="215"/>
      <c r="G15" s="231"/>
      <c r="H15" s="216"/>
      <c r="I15" s="217"/>
    </row>
    <row r="16" spans="1:10" ht="28.5" hidden="1" customHeight="1" thickBot="1">
      <c r="A16" s="220">
        <f>IF('[1]1_ENTREGA'!A16="","",'[1]1_ENTREGA'!A16)</f>
        <v>9</v>
      </c>
      <c r="B16" s="227"/>
      <c r="C16" s="203">
        <f t="shared" si="0"/>
        <v>0</v>
      </c>
      <c r="D16" s="222"/>
      <c r="E16" s="232"/>
      <c r="F16" s="215"/>
      <c r="G16" s="231"/>
      <c r="H16" s="216"/>
      <c r="I16" s="217"/>
    </row>
    <row r="17" spans="1:9" ht="28.5" hidden="1" customHeight="1" thickBot="1">
      <c r="A17" s="220">
        <f>IF('[1]1_ENTREGA'!A17="","",'[1]1_ENTREGA'!A17)</f>
        <v>10</v>
      </c>
      <c r="B17" s="227"/>
      <c r="C17" s="203">
        <f t="shared" si="0"/>
        <v>0</v>
      </c>
      <c r="D17" s="222"/>
      <c r="E17" s="232"/>
      <c r="F17" s="215"/>
      <c r="G17" s="231"/>
      <c r="H17" s="216"/>
      <c r="I17" s="217"/>
    </row>
    <row r="18" spans="1:9" ht="28.5" hidden="1" customHeight="1" thickBot="1">
      <c r="A18" s="220">
        <f>IF('[1]1_ENTREGA'!A18="","",'[1]1_ENTREGA'!A18)</f>
        <v>11</v>
      </c>
      <c r="B18" s="227"/>
      <c r="C18" s="203">
        <f t="shared" si="0"/>
        <v>0</v>
      </c>
      <c r="D18" s="222"/>
      <c r="E18" s="233"/>
      <c r="F18" s="215"/>
      <c r="G18" s="231"/>
      <c r="H18" s="216"/>
      <c r="I18" s="217"/>
    </row>
    <row r="19" spans="1:9" ht="28.5" hidden="1" customHeight="1" thickBot="1">
      <c r="A19" s="220">
        <f>IF('[1]1_ENTREGA'!A19="","",'[1]1_ENTREGA'!A19)</f>
        <v>12</v>
      </c>
      <c r="B19" s="227"/>
      <c r="C19" s="203">
        <f t="shared" si="0"/>
        <v>0</v>
      </c>
      <c r="D19" s="222"/>
      <c r="E19" s="232"/>
      <c r="F19" s="215"/>
      <c r="G19" s="231"/>
      <c r="H19" s="216"/>
      <c r="I19" s="217"/>
    </row>
    <row r="20" spans="1:9" ht="28.5" hidden="1" customHeight="1" thickBot="1">
      <c r="A20" s="220">
        <f>IF('[1]1_ENTREGA'!A20="","",'[1]1_ENTREGA'!A20)</f>
        <v>13</v>
      </c>
      <c r="B20" s="227"/>
      <c r="C20" s="203">
        <f t="shared" si="0"/>
        <v>0</v>
      </c>
      <c r="D20" s="222"/>
      <c r="E20" s="232"/>
      <c r="F20" s="215"/>
      <c r="G20" s="231"/>
      <c r="H20" s="216"/>
      <c r="I20" s="217"/>
    </row>
    <row r="21" spans="1:9" ht="28.5" hidden="1" customHeight="1" thickBot="1">
      <c r="A21" s="221">
        <f>IF('[1]1_ENTREGA'!A21="","",'[1]1_ENTREGA'!A21)</f>
        <v>14</v>
      </c>
      <c r="B21" s="228"/>
      <c r="C21" s="229">
        <f t="shared" si="0"/>
        <v>0</v>
      </c>
      <c r="D21" s="230"/>
      <c r="E21" s="232"/>
      <c r="F21" s="215"/>
      <c r="G21" s="231"/>
      <c r="H21" s="216"/>
      <c r="I21" s="218"/>
    </row>
    <row r="22" spans="1:9" ht="15" thickBot="1">
      <c r="A22" s="11"/>
      <c r="B22" s="11"/>
      <c r="C22" s="11"/>
      <c r="D22" s="11"/>
      <c r="E22" s="11"/>
      <c r="F22" s="11"/>
      <c r="G22" s="11"/>
      <c r="H22" s="11"/>
      <c r="I22" s="11"/>
    </row>
    <row r="23" spans="1:9" ht="56.25" customHeight="1" thickBot="1">
      <c r="A23" s="514" t="s">
        <v>169</v>
      </c>
      <c r="B23" s="515"/>
      <c r="C23" s="515"/>
      <c r="D23" s="516"/>
      <c r="E23" s="516"/>
      <c r="F23" s="516"/>
      <c r="G23" s="516"/>
      <c r="H23" s="516"/>
      <c r="I23" s="517"/>
    </row>
    <row r="25" spans="1:9">
      <c r="B25" s="202"/>
    </row>
    <row r="26" spans="1:9">
      <c r="B26" s="202"/>
    </row>
    <row r="27" spans="1:9">
      <c r="B27" s="202"/>
    </row>
    <row r="28" spans="1:9">
      <c r="B28" s="202"/>
    </row>
    <row r="29" spans="1:9">
      <c r="B29" s="202"/>
    </row>
    <row r="30" spans="1:9">
      <c r="B30" s="202"/>
    </row>
    <row r="31" spans="1:9">
      <c r="B31" s="202"/>
    </row>
  </sheetData>
  <sheetProtection algorithmName="SHA-512" hashValue="0zN5r6HVTf87lwY833frrhQXDZWjrWk8ouB8JQEXqae67EQ8wd9bAmTGn1NM5K1X4dVEl7F+5CHF3YNOtIjewA==" saltValue="ld7Dj5V2QRc+TqSkSaSfng==" spinCount="100000" sheet="1" objects="1" scenarios="1"/>
  <mergeCells count="8">
    <mergeCell ref="A23:I23"/>
    <mergeCell ref="A1:A3"/>
    <mergeCell ref="B1:I1"/>
    <mergeCell ref="B2:I2"/>
    <mergeCell ref="B3:I3"/>
    <mergeCell ref="A4:I4"/>
    <mergeCell ref="A5:C5"/>
    <mergeCell ref="A6:C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8"/>
  <sheetViews>
    <sheetView zoomScale="70" zoomScaleNormal="70" workbookViewId="0">
      <pane xSplit="2" ySplit="5" topLeftCell="C9" activePane="bottomRight" state="frozen"/>
      <selection pane="topRight" activeCell="C1" sqref="C1"/>
      <selection pane="bottomLeft" activeCell="A6" sqref="A6"/>
      <selection pane="bottomRight" activeCell="D16" sqref="D16"/>
    </sheetView>
  </sheetViews>
  <sheetFormatPr baseColWidth="10" defaultColWidth="11.5" defaultRowHeight="16"/>
  <cols>
    <col min="1" max="1" width="25.83203125" style="487" bestFit="1" customWidth="1"/>
    <col min="2" max="2" width="87.83203125" style="487" customWidth="1"/>
    <col min="3" max="6" width="66.5" style="487" customWidth="1"/>
    <col min="7" max="16" width="66.5" style="487" hidden="1" customWidth="1"/>
    <col min="17" max="16384" width="11.5" style="470"/>
  </cols>
  <sheetData>
    <row r="1" spans="1:16" ht="41.25" customHeight="1">
      <c r="A1" s="469"/>
      <c r="B1" s="162" t="s">
        <v>11</v>
      </c>
      <c r="C1" s="162"/>
      <c r="D1" s="162"/>
      <c r="E1" s="162"/>
      <c r="F1" s="162"/>
      <c r="G1" s="162"/>
      <c r="H1" s="162"/>
      <c r="I1" s="162"/>
      <c r="J1" s="162"/>
      <c r="K1" s="162"/>
      <c r="L1" s="162"/>
      <c r="M1" s="162"/>
      <c r="N1" s="162"/>
      <c r="O1" s="162"/>
      <c r="P1" s="162"/>
    </row>
    <row r="2" spans="1:16">
      <c r="A2" s="163"/>
      <c r="B2" s="164"/>
      <c r="C2" s="164"/>
      <c r="D2" s="164"/>
      <c r="E2" s="164"/>
      <c r="F2" s="164"/>
      <c r="G2" s="164"/>
      <c r="H2" s="164"/>
      <c r="I2" s="164"/>
      <c r="J2" s="164"/>
      <c r="K2" s="164"/>
      <c r="L2" s="164"/>
      <c r="M2" s="164"/>
      <c r="N2" s="164"/>
      <c r="O2" s="164"/>
      <c r="P2" s="164"/>
    </row>
    <row r="3" spans="1:16" ht="17">
      <c r="A3" s="471"/>
      <c r="B3" s="165" t="s">
        <v>2</v>
      </c>
      <c r="C3" s="166">
        <v>1</v>
      </c>
      <c r="D3" s="166">
        <v>2</v>
      </c>
      <c r="E3" s="166">
        <v>3</v>
      </c>
      <c r="F3" s="166">
        <v>4</v>
      </c>
      <c r="G3" s="166">
        <v>5</v>
      </c>
      <c r="H3" s="166">
        <v>6</v>
      </c>
      <c r="I3" s="166">
        <v>7</v>
      </c>
      <c r="J3" s="166">
        <v>8</v>
      </c>
      <c r="K3" s="166">
        <v>9</v>
      </c>
      <c r="L3" s="166">
        <v>10</v>
      </c>
      <c r="M3" s="166">
        <v>11</v>
      </c>
      <c r="N3" s="166">
        <v>12</v>
      </c>
      <c r="O3" s="166">
        <v>13</v>
      </c>
      <c r="P3" s="166">
        <v>14</v>
      </c>
    </row>
    <row r="4" spans="1:16" ht="17">
      <c r="A4" s="471"/>
      <c r="B4" s="165" t="s">
        <v>8</v>
      </c>
      <c r="C4" s="166" t="str">
        <f t="shared" ref="C4:I4" si="0">+VLOOKUP(C3,LISTA_OFERENTES,2,FALSE)</f>
        <v>KER INGENIERIA S.A.S.</v>
      </c>
      <c r="D4" s="166" t="str">
        <f t="shared" si="0"/>
        <v>UNIÓN TEMPORAL SUPERVISOR 2021</v>
      </c>
      <c r="E4" s="166" t="str">
        <f t="shared" si="0"/>
        <v>PreVeo S.A.S.</v>
      </c>
      <c r="F4" s="166" t="str">
        <f t="shared" si="0"/>
        <v>INTERVE S.A.S.</v>
      </c>
      <c r="G4" s="166">
        <f t="shared" si="0"/>
        <v>0</v>
      </c>
      <c r="H4" s="166">
        <f t="shared" si="0"/>
        <v>0</v>
      </c>
      <c r="I4" s="166">
        <f t="shared" si="0"/>
        <v>0</v>
      </c>
      <c r="J4" s="166">
        <f t="shared" ref="J4:L4" si="1">+VLOOKUP(J3,LISTA_OFERENTES,2,FALSE)</f>
        <v>0</v>
      </c>
      <c r="K4" s="166">
        <f t="shared" si="1"/>
        <v>0</v>
      </c>
      <c r="L4" s="166">
        <f t="shared" si="1"/>
        <v>0</v>
      </c>
      <c r="M4" s="166">
        <f t="shared" ref="M4:P4" si="2">+VLOOKUP(M3,LISTA_OFERENTES,2,FALSE)</f>
        <v>0</v>
      </c>
      <c r="N4" s="166">
        <f t="shared" si="2"/>
        <v>0</v>
      </c>
      <c r="O4" s="166">
        <f t="shared" si="2"/>
        <v>0</v>
      </c>
      <c r="P4" s="166">
        <f t="shared" si="2"/>
        <v>0</v>
      </c>
    </row>
    <row r="5" spans="1:16" ht="20.25" customHeight="1">
      <c r="A5" s="471"/>
      <c r="B5" s="165" t="s">
        <v>12</v>
      </c>
      <c r="C5" s="166">
        <f>VLOOKUP(C3,'2_APERTURA DE SOBRES'!$A$7:$H$151,4,)</f>
        <v>900427442</v>
      </c>
      <c r="D5" s="166">
        <f>VLOOKUP(D3,'2_APERTURA DE SOBRES'!$A$7:$H$151,4,)</f>
        <v>52553958</v>
      </c>
      <c r="E5" s="166">
        <f>VLOOKUP(E3,'2_APERTURA DE SOBRES'!$A$7:$H$151,4,)</f>
        <v>9003464841</v>
      </c>
      <c r="F5" s="166">
        <f>VLOOKUP(F3,'2_APERTURA DE SOBRES'!$A$7:$H$151,4,)</f>
        <v>8909206568</v>
      </c>
      <c r="G5" s="166">
        <f>VLOOKUP(G3,'2_APERTURA DE SOBRES'!$A$7:$H$151,4,)</f>
        <v>0</v>
      </c>
      <c r="H5" s="166">
        <f>VLOOKUP(H3,'2_APERTURA DE SOBRES'!$A$7:$H$151,4,)</f>
        <v>0</v>
      </c>
      <c r="I5" s="166">
        <f>VLOOKUP(I3,'2_APERTURA DE SOBRES'!$A$7:$H$151,4,)</f>
        <v>0</v>
      </c>
      <c r="J5" s="166">
        <f>VLOOKUP(J3,'2_APERTURA DE SOBRES'!$A$7:$H$151,4,)</f>
        <v>0</v>
      </c>
      <c r="K5" s="166">
        <f>VLOOKUP(K3,'2_APERTURA DE SOBRES'!$A$7:$H$151,4,)</f>
        <v>0</v>
      </c>
      <c r="L5" s="166">
        <f>VLOOKUP(L3,'2_APERTURA DE SOBRES'!$A$7:$H$151,4,)</f>
        <v>0</v>
      </c>
      <c r="M5" s="166">
        <f>VLOOKUP(M3,'2_APERTURA DE SOBRES'!$A$7:$H$151,4,)</f>
        <v>0</v>
      </c>
      <c r="N5" s="166">
        <f>VLOOKUP(N3,'2_APERTURA DE SOBRES'!$A$7:$H$151,4,)</f>
        <v>0</v>
      </c>
      <c r="O5" s="166">
        <f>VLOOKUP(O3,'2_APERTURA DE SOBRES'!$A$7:$H$151,4,)</f>
        <v>0</v>
      </c>
      <c r="P5" s="166">
        <f>VLOOKUP(P3,'2_APERTURA DE SOBRES'!$A$7:$H$151,4,)</f>
        <v>0</v>
      </c>
    </row>
    <row r="6" spans="1:16" ht="36.75" customHeight="1">
      <c r="A6" s="472"/>
      <c r="B6" s="167" t="s">
        <v>179</v>
      </c>
      <c r="C6" s="168"/>
      <c r="D6" s="168"/>
      <c r="E6" s="168"/>
      <c r="F6" s="168"/>
      <c r="G6" s="168"/>
      <c r="H6" s="168"/>
      <c r="I6" s="168"/>
      <c r="J6" s="168"/>
      <c r="K6" s="168"/>
      <c r="L6" s="168"/>
      <c r="M6" s="168"/>
      <c r="N6" s="168"/>
      <c r="O6" s="168"/>
      <c r="P6" s="168"/>
    </row>
    <row r="7" spans="1:16" ht="33" customHeight="1">
      <c r="A7" s="169" t="s">
        <v>13</v>
      </c>
      <c r="B7" s="170" t="s">
        <v>182</v>
      </c>
      <c r="C7" s="473"/>
      <c r="D7" s="473"/>
      <c r="E7" s="473"/>
      <c r="F7" s="473"/>
      <c r="G7" s="473"/>
      <c r="H7" s="473"/>
      <c r="I7" s="473"/>
      <c r="J7" s="473"/>
      <c r="K7" s="473"/>
      <c r="L7" s="473"/>
      <c r="M7" s="473"/>
      <c r="N7" s="473"/>
      <c r="O7" s="473"/>
      <c r="P7" s="473"/>
    </row>
    <row r="8" spans="1:16" ht="306">
      <c r="A8" s="474">
        <v>1</v>
      </c>
      <c r="B8" s="171" t="s">
        <v>180</v>
      </c>
      <c r="C8" s="475" t="s">
        <v>323</v>
      </c>
      <c r="D8" s="538" t="s">
        <v>324</v>
      </c>
      <c r="E8" s="475" t="s">
        <v>310</v>
      </c>
      <c r="F8" s="475" t="s">
        <v>310</v>
      </c>
      <c r="G8" s="173"/>
      <c r="H8" s="173"/>
      <c r="I8" s="173"/>
      <c r="J8" s="173"/>
      <c r="K8" s="173"/>
      <c r="L8" s="173"/>
      <c r="M8" s="173"/>
      <c r="N8" s="173"/>
      <c r="O8" s="173"/>
      <c r="P8" s="173"/>
    </row>
    <row r="9" spans="1:16" ht="158.25" customHeight="1">
      <c r="A9" s="474">
        <v>2</v>
      </c>
      <c r="B9" s="171" t="s">
        <v>181</v>
      </c>
      <c r="C9" s="475" t="s">
        <v>325</v>
      </c>
      <c r="D9" s="539"/>
      <c r="E9" s="475" t="s">
        <v>326</v>
      </c>
      <c r="F9" s="475" t="s">
        <v>327</v>
      </c>
      <c r="G9" s="173"/>
      <c r="H9" s="173"/>
      <c r="I9" s="173"/>
      <c r="J9" s="173"/>
      <c r="K9" s="173"/>
      <c r="L9" s="173"/>
      <c r="M9" s="173"/>
      <c r="N9" s="173"/>
      <c r="O9" s="173"/>
      <c r="P9" s="173"/>
    </row>
    <row r="10" spans="1:16" ht="118.5" customHeight="1">
      <c r="A10" s="474">
        <v>3</v>
      </c>
      <c r="B10" s="171" t="s">
        <v>139</v>
      </c>
      <c r="C10" s="476" t="s">
        <v>328</v>
      </c>
      <c r="D10" s="539"/>
      <c r="E10" s="475" t="s">
        <v>329</v>
      </c>
      <c r="F10" s="475" t="s">
        <v>330</v>
      </c>
      <c r="G10" s="173"/>
      <c r="H10" s="173"/>
      <c r="I10" s="173"/>
      <c r="J10" s="173"/>
      <c r="K10" s="173"/>
      <c r="L10" s="173"/>
      <c r="M10" s="173"/>
      <c r="N10" s="173"/>
      <c r="O10" s="173"/>
      <c r="P10" s="173"/>
    </row>
    <row r="11" spans="1:16" ht="53.25" customHeight="1">
      <c r="A11" s="474">
        <v>4</v>
      </c>
      <c r="B11" s="171" t="s">
        <v>140</v>
      </c>
      <c r="C11" s="475" t="s">
        <v>331</v>
      </c>
      <c r="D11" s="539"/>
      <c r="E11" s="475" t="s">
        <v>310</v>
      </c>
      <c r="F11" s="475" t="s">
        <v>310</v>
      </c>
      <c r="G11" s="173"/>
      <c r="H11" s="173"/>
      <c r="I11" s="173"/>
      <c r="J11" s="173"/>
      <c r="K11" s="173"/>
      <c r="L11" s="173"/>
      <c r="M11" s="173"/>
      <c r="N11" s="173"/>
      <c r="O11" s="173"/>
      <c r="P11" s="173"/>
    </row>
    <row r="12" spans="1:16" ht="36.75" customHeight="1">
      <c r="A12" s="474">
        <v>5</v>
      </c>
      <c r="B12" s="171" t="s">
        <v>137</v>
      </c>
      <c r="C12" s="475" t="s">
        <v>331</v>
      </c>
      <c r="D12" s="539"/>
      <c r="E12" s="475" t="s">
        <v>310</v>
      </c>
      <c r="F12" s="475" t="s">
        <v>310</v>
      </c>
      <c r="G12" s="173"/>
      <c r="H12" s="173"/>
      <c r="I12" s="173"/>
      <c r="J12" s="173"/>
      <c r="K12" s="173"/>
      <c r="L12" s="173"/>
      <c r="M12" s="173"/>
      <c r="N12" s="173"/>
      <c r="O12" s="173"/>
      <c r="P12" s="173"/>
    </row>
    <row r="13" spans="1:16" ht="35.25" customHeight="1">
      <c r="A13" s="474">
        <v>6</v>
      </c>
      <c r="B13" s="171" t="s">
        <v>138</v>
      </c>
      <c r="C13" s="475" t="s">
        <v>332</v>
      </c>
      <c r="D13" s="539"/>
      <c r="E13" s="475" t="s">
        <v>310</v>
      </c>
      <c r="F13" s="475" t="s">
        <v>310</v>
      </c>
      <c r="G13" s="173"/>
      <c r="H13" s="173"/>
      <c r="I13" s="173"/>
      <c r="J13" s="173"/>
      <c r="K13" s="173"/>
      <c r="L13" s="173"/>
      <c r="M13" s="173"/>
      <c r="N13" s="173"/>
      <c r="O13" s="173"/>
      <c r="P13" s="173"/>
    </row>
    <row r="14" spans="1:16" ht="94.5" customHeight="1">
      <c r="A14" s="474">
        <v>7</v>
      </c>
      <c r="B14" s="171" t="s">
        <v>183</v>
      </c>
      <c r="C14" s="475" t="s">
        <v>310</v>
      </c>
      <c r="D14" s="539"/>
      <c r="E14" s="475" t="s">
        <v>310</v>
      </c>
      <c r="F14" s="475" t="s">
        <v>310</v>
      </c>
      <c r="G14" s="173"/>
      <c r="H14" s="173"/>
      <c r="I14" s="173"/>
      <c r="J14" s="173"/>
      <c r="K14" s="173"/>
      <c r="L14" s="173"/>
      <c r="M14" s="173"/>
      <c r="N14" s="173"/>
      <c r="O14" s="173"/>
      <c r="P14" s="173"/>
    </row>
    <row r="15" spans="1:16" ht="34">
      <c r="A15" s="474">
        <v>10</v>
      </c>
      <c r="B15" s="171" t="s">
        <v>184</v>
      </c>
      <c r="C15" s="475" t="s">
        <v>333</v>
      </c>
      <c r="D15" s="540"/>
      <c r="E15" s="475" t="s">
        <v>310</v>
      </c>
      <c r="F15" s="475" t="s">
        <v>310</v>
      </c>
      <c r="G15" s="173"/>
      <c r="H15" s="173"/>
      <c r="I15" s="173"/>
      <c r="J15" s="173"/>
      <c r="K15" s="173"/>
      <c r="L15" s="173"/>
      <c r="M15" s="173"/>
      <c r="N15" s="173"/>
      <c r="O15" s="173"/>
      <c r="P15" s="173"/>
    </row>
    <row r="16" spans="1:16" ht="17">
      <c r="A16" s="474"/>
      <c r="B16" s="171"/>
      <c r="C16" s="475"/>
      <c r="D16" s="475"/>
      <c r="E16" s="476" t="s">
        <v>311</v>
      </c>
      <c r="F16" s="463" t="s">
        <v>311</v>
      </c>
      <c r="G16" s="172"/>
      <c r="H16" s="477"/>
      <c r="I16" s="173"/>
      <c r="J16" s="477"/>
      <c r="K16" s="173"/>
      <c r="L16" s="477"/>
      <c r="M16" s="477"/>
      <c r="N16" s="173"/>
      <c r="O16" s="173"/>
      <c r="P16" s="173"/>
    </row>
    <row r="17" spans="1:16" ht="17">
      <c r="A17" s="474"/>
      <c r="B17" s="171"/>
      <c r="C17" s="475"/>
      <c r="D17" s="475"/>
      <c r="E17" s="476" t="s">
        <v>178</v>
      </c>
      <c r="F17" s="463" t="s">
        <v>312</v>
      </c>
      <c r="G17" s="172"/>
      <c r="H17" s="477"/>
      <c r="I17" s="173"/>
      <c r="J17" s="477"/>
      <c r="K17" s="173"/>
      <c r="L17" s="477"/>
      <c r="M17" s="477"/>
      <c r="N17" s="173"/>
      <c r="O17" s="173"/>
      <c r="P17" s="173"/>
    </row>
    <row r="18" spans="1:16">
      <c r="A18" s="474"/>
      <c r="B18" s="171"/>
      <c r="C18" s="475"/>
      <c r="D18" s="475"/>
      <c r="E18" s="478">
        <v>67232397.5</v>
      </c>
      <c r="F18" s="478">
        <v>67232397.5</v>
      </c>
      <c r="G18" s="280"/>
      <c r="H18" s="280"/>
      <c r="I18" s="173"/>
      <c r="J18" s="479"/>
      <c r="K18" s="173"/>
      <c r="L18" s="479"/>
      <c r="M18" s="479"/>
      <c r="N18" s="173"/>
      <c r="O18" s="173"/>
      <c r="P18" s="173"/>
    </row>
    <row r="19" spans="1:16" ht="17">
      <c r="A19" s="474"/>
      <c r="B19" s="171"/>
      <c r="C19" s="475"/>
      <c r="D19" s="475"/>
      <c r="E19" s="476" t="s">
        <v>313</v>
      </c>
      <c r="F19" s="463" t="s">
        <v>314</v>
      </c>
      <c r="G19" s="172"/>
      <c r="H19" s="477"/>
      <c r="I19" s="173"/>
      <c r="J19" s="477"/>
      <c r="K19" s="173"/>
      <c r="L19" s="477"/>
      <c r="M19" s="477"/>
      <c r="N19" s="173"/>
      <c r="O19" s="173"/>
      <c r="P19" s="173"/>
    </row>
    <row r="20" spans="1:16" ht="17">
      <c r="A20" s="480"/>
      <c r="B20" s="174"/>
      <c r="C20" s="475" t="s">
        <v>290</v>
      </c>
      <c r="D20" s="475" t="s">
        <v>290</v>
      </c>
      <c r="E20" s="475" t="s">
        <v>147</v>
      </c>
      <c r="F20" s="475" t="s">
        <v>147</v>
      </c>
      <c r="G20" s="173"/>
      <c r="H20" s="173"/>
      <c r="I20" s="173"/>
      <c r="J20" s="173"/>
      <c r="K20" s="173"/>
      <c r="L20" s="173"/>
      <c r="M20" s="173"/>
      <c r="N20" s="173"/>
      <c r="O20" s="173"/>
      <c r="P20" s="173"/>
    </row>
    <row r="21" spans="1:16" s="483" customFormat="1">
      <c r="A21" s="173"/>
      <c r="B21" s="175"/>
      <c r="C21" s="481"/>
      <c r="D21" s="482"/>
      <c r="E21" s="482"/>
      <c r="F21" s="482"/>
      <c r="G21" s="481"/>
      <c r="H21" s="482"/>
      <c r="I21" s="482"/>
      <c r="J21" s="482"/>
      <c r="K21" s="482"/>
      <c r="L21" s="482"/>
      <c r="M21" s="482"/>
      <c r="N21" s="482"/>
      <c r="O21" s="482"/>
      <c r="P21" s="482"/>
    </row>
    <row r="22" spans="1:16" ht="24.75" hidden="1" customHeight="1">
      <c r="A22" s="176" t="s">
        <v>13</v>
      </c>
      <c r="B22" s="177" t="s">
        <v>15</v>
      </c>
      <c r="C22" s="484"/>
      <c r="D22" s="484"/>
      <c r="E22" s="484"/>
      <c r="F22" s="484"/>
      <c r="G22" s="484"/>
      <c r="H22" s="484"/>
      <c r="I22" s="484"/>
      <c r="J22" s="484"/>
      <c r="K22" s="484"/>
      <c r="L22" s="484"/>
      <c r="M22" s="484"/>
      <c r="N22" s="484"/>
      <c r="O22" s="484"/>
      <c r="P22" s="484"/>
    </row>
    <row r="23" spans="1:16" ht="298.5" hidden="1" customHeight="1">
      <c r="A23" s="485">
        <v>1</v>
      </c>
      <c r="B23" s="204" t="s">
        <v>143</v>
      </c>
      <c r="C23" s="173"/>
      <c r="D23" s="173"/>
      <c r="E23" s="173"/>
      <c r="F23" s="173"/>
      <c r="G23" s="173"/>
      <c r="H23" s="173"/>
      <c r="I23" s="173"/>
      <c r="J23" s="173"/>
      <c r="K23" s="173"/>
      <c r="L23" s="173"/>
      <c r="M23" s="173"/>
      <c r="N23" s="173"/>
      <c r="O23" s="173"/>
      <c r="P23" s="173"/>
    </row>
    <row r="24" spans="1:16" ht="154.5" hidden="1" customHeight="1">
      <c r="A24" s="485">
        <v>2</v>
      </c>
      <c r="B24" s="204" t="s">
        <v>144</v>
      </c>
      <c r="C24" s="173"/>
      <c r="D24" s="173"/>
      <c r="E24" s="173"/>
      <c r="F24" s="173"/>
      <c r="G24" s="173"/>
      <c r="H24" s="173"/>
      <c r="I24" s="173"/>
      <c r="J24" s="173"/>
      <c r="K24" s="173"/>
      <c r="L24" s="173"/>
      <c r="M24" s="173"/>
      <c r="N24" s="173"/>
      <c r="O24" s="173"/>
      <c r="P24" s="173"/>
    </row>
    <row r="25" spans="1:16" ht="81.75" hidden="1" customHeight="1">
      <c r="A25" s="485">
        <v>3</v>
      </c>
      <c r="B25" s="179" t="s">
        <v>139</v>
      </c>
      <c r="C25" s="173"/>
      <c r="D25" s="173"/>
      <c r="E25" s="173"/>
      <c r="F25" s="173"/>
      <c r="G25" s="173"/>
      <c r="H25" s="173"/>
      <c r="I25" s="173"/>
      <c r="J25" s="173"/>
      <c r="K25" s="173"/>
      <c r="L25" s="173"/>
      <c r="M25" s="173"/>
      <c r="N25" s="173"/>
      <c r="O25" s="173"/>
      <c r="P25" s="173"/>
    </row>
    <row r="26" spans="1:16" ht="58.5" hidden="1" customHeight="1">
      <c r="A26" s="485">
        <v>4</v>
      </c>
      <c r="B26" s="179" t="s">
        <v>140</v>
      </c>
      <c r="C26" s="173"/>
      <c r="D26" s="173"/>
      <c r="E26" s="173"/>
      <c r="F26" s="173"/>
      <c r="G26" s="173"/>
      <c r="H26" s="173"/>
      <c r="I26" s="173"/>
      <c r="J26" s="173"/>
      <c r="K26" s="173"/>
      <c r="L26" s="173"/>
      <c r="M26" s="173"/>
      <c r="N26" s="173"/>
      <c r="O26" s="173"/>
      <c r="P26" s="173"/>
    </row>
    <row r="27" spans="1:16" ht="250.5" hidden="1" customHeight="1">
      <c r="A27" s="485">
        <v>5</v>
      </c>
      <c r="B27" s="179" t="s">
        <v>137</v>
      </c>
      <c r="C27" s="173"/>
      <c r="D27" s="173"/>
      <c r="E27" s="173"/>
      <c r="F27" s="173"/>
      <c r="G27" s="173"/>
      <c r="H27" s="173"/>
      <c r="I27" s="286"/>
      <c r="J27" s="173"/>
      <c r="K27" s="173"/>
      <c r="L27" s="173"/>
      <c r="M27" s="173"/>
      <c r="N27" s="173"/>
      <c r="O27" s="173"/>
      <c r="P27" s="173"/>
    </row>
    <row r="28" spans="1:16" ht="17" hidden="1">
      <c r="A28" s="485">
        <v>6</v>
      </c>
      <c r="B28" s="179" t="s">
        <v>138</v>
      </c>
      <c r="C28" s="173"/>
      <c r="D28" s="173"/>
      <c r="E28" s="173"/>
      <c r="F28" s="173"/>
      <c r="G28" s="173"/>
      <c r="H28" s="173"/>
      <c r="I28" s="173"/>
      <c r="J28" s="173"/>
      <c r="K28" s="173"/>
      <c r="L28" s="173"/>
      <c r="M28" s="173"/>
      <c r="N28" s="173"/>
      <c r="O28" s="173"/>
      <c r="P28" s="173"/>
    </row>
    <row r="29" spans="1:16" ht="115.5" hidden="1" customHeight="1">
      <c r="A29" s="485">
        <v>7</v>
      </c>
      <c r="B29" s="179" t="s">
        <v>145</v>
      </c>
      <c r="C29" s="173"/>
      <c r="D29" s="173"/>
      <c r="E29" s="173"/>
      <c r="F29" s="173"/>
      <c r="G29" s="173"/>
      <c r="H29" s="173"/>
      <c r="I29" s="173"/>
      <c r="J29" s="173"/>
      <c r="K29" s="173"/>
      <c r="L29" s="173"/>
      <c r="M29" s="173"/>
      <c r="N29" s="173"/>
      <c r="O29" s="173"/>
      <c r="P29" s="173"/>
    </row>
    <row r="30" spans="1:16" ht="96.75" hidden="1" customHeight="1">
      <c r="A30" s="535">
        <v>8</v>
      </c>
      <c r="B30" s="179" t="s">
        <v>132</v>
      </c>
      <c r="C30" s="173"/>
      <c r="D30" s="173"/>
      <c r="E30" s="173"/>
      <c r="F30" s="173"/>
      <c r="G30" s="173"/>
      <c r="H30" s="173"/>
      <c r="I30" s="173"/>
      <c r="J30" s="173"/>
      <c r="K30" s="173"/>
      <c r="L30" s="173"/>
      <c r="M30" s="173"/>
      <c r="N30" s="173"/>
      <c r="O30" s="173"/>
      <c r="P30" s="173"/>
    </row>
    <row r="31" spans="1:16" ht="17" hidden="1">
      <c r="A31" s="536"/>
      <c r="B31" s="179" t="s">
        <v>14</v>
      </c>
      <c r="C31" s="172"/>
      <c r="D31" s="172"/>
      <c r="E31" s="178"/>
      <c r="F31" s="173"/>
      <c r="G31" s="173"/>
      <c r="H31" s="173"/>
      <c r="I31" s="172"/>
      <c r="J31" s="173"/>
      <c r="K31" s="172"/>
      <c r="L31" s="173"/>
      <c r="M31" s="173"/>
      <c r="N31" s="172"/>
      <c r="O31" s="172"/>
      <c r="P31" s="172"/>
    </row>
    <row r="32" spans="1:16" ht="17" hidden="1">
      <c r="A32" s="536"/>
      <c r="B32" s="179" t="s">
        <v>16</v>
      </c>
      <c r="C32" s="172"/>
      <c r="D32" s="178"/>
      <c r="E32" s="172"/>
      <c r="F32" s="173"/>
      <c r="G32" s="173"/>
      <c r="H32" s="173"/>
      <c r="I32" s="172"/>
      <c r="J32" s="173"/>
      <c r="K32" s="172"/>
      <c r="L32" s="173"/>
      <c r="M32" s="173"/>
      <c r="N32" s="172"/>
      <c r="O32" s="172"/>
      <c r="P32" s="172"/>
    </row>
    <row r="33" spans="1:16" ht="17" hidden="1">
      <c r="A33" s="536"/>
      <c r="B33" s="179" t="s">
        <v>17</v>
      </c>
      <c r="C33" s="278"/>
      <c r="D33" s="279"/>
      <c r="E33" s="279"/>
      <c r="F33" s="173"/>
      <c r="G33" s="173"/>
      <c r="H33" s="173"/>
      <c r="I33" s="280"/>
      <c r="J33" s="173"/>
      <c r="K33" s="280"/>
      <c r="L33" s="173"/>
      <c r="M33" s="173"/>
      <c r="N33" s="280"/>
      <c r="O33" s="280"/>
      <c r="P33" s="280"/>
    </row>
    <row r="34" spans="1:16" ht="17" hidden="1">
      <c r="A34" s="537"/>
      <c r="B34" s="179" t="s">
        <v>18</v>
      </c>
      <c r="C34" s="172"/>
      <c r="D34" s="178"/>
      <c r="E34" s="486"/>
      <c r="F34" s="173"/>
      <c r="G34" s="173"/>
      <c r="H34" s="173"/>
      <c r="I34" s="172"/>
      <c r="J34" s="173"/>
      <c r="K34" s="172"/>
      <c r="L34" s="173"/>
      <c r="M34" s="173"/>
      <c r="N34" s="172"/>
      <c r="O34" s="172"/>
      <c r="P34" s="172"/>
    </row>
    <row r="35" spans="1:16" s="181" customFormat="1" hidden="1">
      <c r="A35" s="176"/>
      <c r="B35" s="180" t="s">
        <v>19</v>
      </c>
      <c r="C35" s="173"/>
      <c r="D35" s="173"/>
      <c r="E35" s="173"/>
      <c r="F35" s="173"/>
      <c r="G35" s="173"/>
      <c r="H35" s="173"/>
      <c r="I35" s="173"/>
      <c r="J35" s="173"/>
      <c r="K35" s="173"/>
      <c r="L35" s="173"/>
      <c r="M35" s="173"/>
      <c r="N35" s="173"/>
      <c r="O35" s="173"/>
      <c r="P35" s="173"/>
    </row>
    <row r="37" spans="1:16">
      <c r="C37" s="488"/>
    </row>
    <row r="38" spans="1:16">
      <c r="C38" s="488"/>
    </row>
  </sheetData>
  <sheetProtection algorithmName="SHA-512" hashValue="1QTGvnDyjo3e3LAPcYjc2sSZv6nyvQnmAqkY5T9tIzXDm17yne6+qioQYGWtaWhRxwnC4UI/Bbq8IdNWch7p7w==" saltValue="8M1MxDgfX8B1sq8CWvAlvA==" spinCount="100000" sheet="1" objects="1" scenarios="1"/>
  <mergeCells count="2">
    <mergeCell ref="A30:A34"/>
    <mergeCell ref="D8:D15"/>
  </mergeCells>
  <conditionalFormatting sqref="D35 J8:J15 I8:I20 K8:K20 N8:P20 G8:H15 L8:L15 M9:M15">
    <cfRule type="cellIs" dxfId="6817" priority="161" operator="equal">
      <formula>"NO CUMPLE"</formula>
    </cfRule>
    <cfRule type="cellIs" dxfId="6816" priority="162" operator="equal">
      <formula>"CUMPLE"</formula>
    </cfRule>
  </conditionalFormatting>
  <conditionalFormatting sqref="E35">
    <cfRule type="cellIs" dxfId="6815" priority="107" operator="equal">
      <formula>"NO CUMPLE"</formula>
    </cfRule>
    <cfRule type="cellIs" dxfId="6814" priority="108" operator="equal">
      <formula>"CUMPLE"</formula>
    </cfRule>
  </conditionalFormatting>
  <conditionalFormatting sqref="G35">
    <cfRule type="cellIs" dxfId="6813" priority="97" operator="equal">
      <formula>"NO CUMPLE"</formula>
    </cfRule>
    <cfRule type="cellIs" dxfId="6812" priority="98" operator="equal">
      <formula>"CUMPLE"</formula>
    </cfRule>
  </conditionalFormatting>
  <conditionalFormatting sqref="J20">
    <cfRule type="cellIs" dxfId="6811" priority="91" operator="equal">
      <formula>"NO CUMPLE"</formula>
    </cfRule>
    <cfRule type="cellIs" dxfId="6810" priority="92" operator="equal">
      <formula>"CUMPLE"</formula>
    </cfRule>
  </conditionalFormatting>
  <conditionalFormatting sqref="L20">
    <cfRule type="cellIs" dxfId="6809" priority="87" operator="equal">
      <formula>"NO CUMPLE"</formula>
    </cfRule>
    <cfRule type="cellIs" dxfId="6808" priority="88" operator="equal">
      <formula>"CUMPLE"</formula>
    </cfRule>
  </conditionalFormatting>
  <conditionalFormatting sqref="C35">
    <cfRule type="cellIs" dxfId="6807" priority="65" operator="equal">
      <formula>"NO CUMPLE"</formula>
    </cfRule>
    <cfRule type="cellIs" dxfId="6806" priority="66" operator="equal">
      <formula>"CUMPLE"</formula>
    </cfRule>
  </conditionalFormatting>
  <conditionalFormatting sqref="C24:E30 C23:I23 K23:K30 N23:N30 G24:I26 G28:I30 G23:H35">
    <cfRule type="cellIs" dxfId="6805" priority="61" operator="equal">
      <formula>"NO CUMPLE"</formula>
    </cfRule>
    <cfRule type="cellIs" dxfId="6804" priority="62" operator="equal">
      <formula>"CUMPLE"</formula>
    </cfRule>
  </conditionalFormatting>
  <conditionalFormatting sqref="K35">
    <cfRule type="cellIs" dxfId="6803" priority="59" operator="equal">
      <formula>"NO CUMPLE"</formula>
    </cfRule>
    <cfRule type="cellIs" dxfId="6802" priority="60" operator="equal">
      <formula>"CUMPLE"</formula>
    </cfRule>
  </conditionalFormatting>
  <conditionalFormatting sqref="N35">
    <cfRule type="cellIs" dxfId="6801" priority="57" operator="equal">
      <formula>"NO CUMPLE"</formula>
    </cfRule>
    <cfRule type="cellIs" dxfId="6800" priority="58" operator="equal">
      <formula>"CUMPLE"</formula>
    </cfRule>
  </conditionalFormatting>
  <conditionalFormatting sqref="O35">
    <cfRule type="cellIs" dxfId="6799" priority="55" operator="equal">
      <formula>"NO CUMPLE"</formula>
    </cfRule>
    <cfRule type="cellIs" dxfId="6798" priority="56" operator="equal">
      <formula>"CUMPLE"</formula>
    </cfRule>
  </conditionalFormatting>
  <conditionalFormatting sqref="O23:O30">
    <cfRule type="cellIs" dxfId="6797" priority="53" operator="equal">
      <formula>"NO CUMPLE"</formula>
    </cfRule>
    <cfRule type="cellIs" dxfId="6796" priority="54" operator="equal">
      <formula>"CUMPLE"</formula>
    </cfRule>
  </conditionalFormatting>
  <conditionalFormatting sqref="P23:P30">
    <cfRule type="cellIs" dxfId="6795" priority="51" operator="equal">
      <formula>"NO CUMPLE"</formula>
    </cfRule>
    <cfRule type="cellIs" dxfId="6794" priority="52" operator="equal">
      <formula>"CUMPLE"</formula>
    </cfRule>
  </conditionalFormatting>
  <conditionalFormatting sqref="P35">
    <cfRule type="cellIs" dxfId="6793" priority="49" operator="equal">
      <formula>"NO CUMPLE"</formula>
    </cfRule>
    <cfRule type="cellIs" dxfId="6792" priority="50" operator="equal">
      <formula>"CUMPLE"</formula>
    </cfRule>
  </conditionalFormatting>
  <conditionalFormatting sqref="F24:F35">
    <cfRule type="cellIs" dxfId="6791" priority="47" operator="equal">
      <formula>"NO CUMPLE"</formula>
    </cfRule>
    <cfRule type="cellIs" dxfId="6790" priority="48" operator="equal">
      <formula>"CUMPLE"</formula>
    </cfRule>
  </conditionalFormatting>
  <conditionalFormatting sqref="J23:J35">
    <cfRule type="cellIs" dxfId="6789" priority="45" operator="equal">
      <formula>"NO CUMPLE"</formula>
    </cfRule>
    <cfRule type="cellIs" dxfId="6788" priority="46" operator="equal">
      <formula>"CUMPLE"</formula>
    </cfRule>
  </conditionalFormatting>
  <conditionalFormatting sqref="G20">
    <cfRule type="cellIs" dxfId="6787" priority="23" operator="equal">
      <formula>"NO CUMPLE"</formula>
    </cfRule>
    <cfRule type="cellIs" dxfId="6786" priority="24" operator="equal">
      <formula>"CUMPLE"</formula>
    </cfRule>
  </conditionalFormatting>
  <conditionalFormatting sqref="H20">
    <cfRule type="cellIs" dxfId="6785" priority="19" operator="equal">
      <formula>"NO CUMPLE"</formula>
    </cfRule>
    <cfRule type="cellIs" dxfId="6784" priority="20" operator="equal">
      <formula>"CUMPLE"</formula>
    </cfRule>
  </conditionalFormatting>
  <conditionalFormatting sqref="L23:M35">
    <cfRule type="cellIs" dxfId="6783" priority="15" operator="equal">
      <formula>"NO CUMPLE"</formula>
    </cfRule>
    <cfRule type="cellIs" dxfId="6782" priority="16" operator="equal">
      <formula>"CUMPLE"</formula>
    </cfRule>
  </conditionalFormatting>
  <conditionalFormatting sqref="M8">
    <cfRule type="cellIs" dxfId="6781" priority="11" operator="equal">
      <formula>"NO CUMPLE"</formula>
    </cfRule>
    <cfRule type="cellIs" dxfId="6780" priority="12" operator="equal">
      <formula>"CUMPLE"</formula>
    </cfRule>
  </conditionalFormatting>
  <conditionalFormatting sqref="M20">
    <cfRule type="cellIs" dxfId="6779" priority="7" operator="equal">
      <formula>"NO CUMPLE"</formula>
    </cfRule>
    <cfRule type="cellIs" dxfId="6778" priority="8" operator="equal">
      <formula>"CUMPLE"</formula>
    </cfRule>
  </conditionalFormatting>
  <conditionalFormatting sqref="I35">
    <cfRule type="cellIs" dxfId="6777" priority="5" operator="equal">
      <formula>"NO CUMPLE"</formula>
    </cfRule>
    <cfRule type="cellIs" dxfId="6776" priority="6" operator="equal">
      <formula>"CUMPLE"</formula>
    </cfRule>
  </conditionalFormatting>
  <conditionalFormatting sqref="C8:E8 C9:C15 C16:E20 E9:E15 F8:F15 F20">
    <cfRule type="cellIs" dxfId="6775" priority="3" operator="equal">
      <formula>"NO CUMPLE"</formula>
    </cfRule>
    <cfRule type="cellIs" dxfId="6774" priority="4" operator="equal">
      <formula>"CUMPLE"</formula>
    </cfRule>
  </conditionalFormatting>
  <conditionalFormatting sqref="F18">
    <cfRule type="cellIs" dxfId="6773" priority="1" operator="equal">
      <formula>"NO CUMPLE"</formula>
    </cfRule>
    <cfRule type="cellIs" dxfId="6772" priority="2" operator="equal">
      <formula>"CUMPLE"</formula>
    </cfRule>
  </conditionalFormatting>
  <dataValidations count="2">
    <dataValidation type="list" allowBlank="1" showInputMessage="1" showErrorMessage="1" sqref="N23:P30 C23:E30 C35:E35 I35 N35:P35 K35 J20 K23:K30 L20:M20 I23:I26 I28:I30 L8:M15 J8:J15" xr:uid="{00000000-0002-0000-0200-000000000000}">
      <formula1>"CUMPLE,NO CUMPLE"</formula1>
    </dataValidation>
    <dataValidation type="list" allowBlank="1" showInputMessage="1" showErrorMessage="1" sqref="F23:H35 J23:J35 G8:H15 L23:M35 I8:I20 N8:P20 K8:K20 G20:H20" xr:uid="{00000000-0002-0000-0200-000001000000}">
      <formula1>"CUMPLE,NO CUMPLE,N/A"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15"/>
  <sheetViews>
    <sheetView topLeftCell="G77" zoomScale="70" zoomScaleNormal="70" workbookViewId="0">
      <selection activeCell="T55" sqref="T55:T56"/>
    </sheetView>
  </sheetViews>
  <sheetFormatPr baseColWidth="10" defaultColWidth="11.5" defaultRowHeight="16"/>
  <cols>
    <col min="1" max="1" width="6" style="12" customWidth="1"/>
    <col min="2" max="2" width="6.83203125" style="12" bestFit="1" customWidth="1"/>
    <col min="3" max="3" width="27.83203125" style="13" customWidth="1"/>
    <col min="4" max="4" width="17" style="13" customWidth="1"/>
    <col min="5" max="5" width="23.1640625" style="24" customWidth="1"/>
    <col min="6" max="6" width="29.5" style="25" customWidth="1"/>
    <col min="7" max="7" width="17.5" style="25" customWidth="1"/>
    <col min="8" max="9" width="16.6640625" style="13" customWidth="1"/>
    <col min="10" max="10" width="18.5" style="13" bestFit="1" customWidth="1"/>
    <col min="11" max="11" width="11.33203125" style="13" customWidth="1"/>
    <col min="12" max="12" width="18.5" style="13" customWidth="1"/>
    <col min="13" max="13" width="12" style="13" customWidth="1"/>
    <col min="14" max="14" width="24.6640625" style="13" customWidth="1"/>
    <col min="15" max="15" width="25.5" style="13" customWidth="1"/>
    <col min="16" max="16" width="47.6640625" style="13" customWidth="1"/>
    <col min="17" max="17" width="32.33203125" style="13" customWidth="1"/>
    <col min="18" max="18" width="24.5" style="13" customWidth="1"/>
    <col min="19" max="19" width="22.1640625" style="13" customWidth="1"/>
    <col min="20" max="20" width="65.1640625" style="13" customWidth="1"/>
    <col min="21" max="21" width="19" style="13" customWidth="1"/>
    <col min="22" max="22" width="11.5" style="13"/>
    <col min="23" max="23" width="11.5" style="29" customWidth="1"/>
    <col min="24" max="24" width="39.5" style="29" customWidth="1"/>
    <col min="25" max="25" width="22.83203125" style="29" customWidth="1"/>
    <col min="26" max="26" width="32.5" style="29" customWidth="1"/>
    <col min="27" max="29" width="11.5" style="13" customWidth="1"/>
    <col min="30" max="30" width="35.1640625" style="13" customWidth="1"/>
    <col min="31" max="31" width="23.5" style="13" customWidth="1"/>
    <col min="32" max="36" width="11.5" style="13" customWidth="1"/>
    <col min="37" max="16384" width="11.5" style="13"/>
  </cols>
  <sheetData>
    <row r="1" spans="1:35" ht="40" customHeight="1">
      <c r="B1" s="618" t="s">
        <v>20</v>
      </c>
      <c r="C1" s="619"/>
      <c r="D1" s="619"/>
      <c r="E1" s="619"/>
      <c r="F1" s="619"/>
      <c r="G1" s="619"/>
      <c r="H1" s="619"/>
      <c r="I1" s="619"/>
      <c r="J1" s="619"/>
      <c r="K1" s="619"/>
      <c r="L1" s="619"/>
      <c r="M1" s="619"/>
      <c r="N1" s="619"/>
      <c r="O1" s="619"/>
      <c r="P1" s="619"/>
      <c r="Q1" s="619"/>
      <c r="R1" s="619"/>
      <c r="S1" s="620"/>
      <c r="W1" s="13"/>
      <c r="X1" s="13"/>
      <c r="Y1" s="13"/>
      <c r="Z1" s="13"/>
    </row>
    <row r="2" spans="1:35" s="16" customFormat="1" ht="12.75" customHeight="1">
      <c r="A2" s="14"/>
      <c r="B2" s="14"/>
      <c r="C2" s="15"/>
      <c r="D2" s="15"/>
      <c r="E2" s="15"/>
      <c r="F2" s="15"/>
      <c r="G2" s="15"/>
      <c r="H2" s="15"/>
      <c r="I2" s="13"/>
      <c r="J2" s="13"/>
      <c r="K2" s="13"/>
      <c r="L2" s="13"/>
      <c r="M2" s="13"/>
    </row>
    <row r="3" spans="1:35" s="16" customFormat="1" ht="193.5" customHeight="1">
      <c r="B3" s="621" t="s">
        <v>188</v>
      </c>
      <c r="C3" s="622"/>
      <c r="D3" s="622"/>
      <c r="E3" s="622"/>
      <c r="F3" s="622"/>
      <c r="G3" s="622"/>
      <c r="H3" s="622"/>
      <c r="I3" s="622"/>
      <c r="J3" s="622"/>
      <c r="K3" s="622"/>
      <c r="L3" s="622"/>
      <c r="M3" s="622"/>
      <c r="N3" s="622"/>
      <c r="O3" s="622"/>
      <c r="P3" s="622"/>
      <c r="Q3" s="622"/>
      <c r="R3" s="622"/>
      <c r="S3" s="623"/>
    </row>
    <row r="4" spans="1:35" s="16" customFormat="1" ht="12.75" customHeight="1">
      <c r="F4" s="624"/>
      <c r="G4" s="624"/>
      <c r="H4" s="624"/>
      <c r="I4" s="624"/>
      <c r="J4" s="624"/>
      <c r="K4" s="624"/>
      <c r="L4" s="624"/>
      <c r="M4" s="624"/>
      <c r="N4" s="624"/>
      <c r="O4" s="13"/>
      <c r="P4" s="13"/>
    </row>
    <row r="5" spans="1:35" s="16" customFormat="1" ht="30.75" customHeight="1">
      <c r="F5" s="625" t="s">
        <v>133</v>
      </c>
      <c r="G5" s="626"/>
      <c r="H5" s="17" t="s">
        <v>21</v>
      </c>
      <c r="L5" s="627" t="s">
        <v>22</v>
      </c>
      <c r="M5" s="627"/>
      <c r="N5" s="628" t="s">
        <v>23</v>
      </c>
      <c r="O5" s="628"/>
      <c r="P5" s="17" t="s">
        <v>24</v>
      </c>
    </row>
    <row r="6" spans="1:35" s="16" customFormat="1">
      <c r="F6" s="629">
        <v>908526</v>
      </c>
      <c r="G6" s="630"/>
      <c r="H6" s="489">
        <v>1.5</v>
      </c>
      <c r="L6" s="627"/>
      <c r="M6" s="627"/>
      <c r="N6" s="631">
        <v>672323975</v>
      </c>
      <c r="O6" s="631"/>
      <c r="P6" s="490">
        <f>+ROUND(N6/$F$6,0)</f>
        <v>740</v>
      </c>
    </row>
    <row r="7" spans="1:35" s="16" customFormat="1" ht="12.75" customHeight="1">
      <c r="A7" s="19"/>
      <c r="B7" s="19"/>
      <c r="C7" s="20"/>
      <c r="D7" s="21"/>
      <c r="E7" s="22"/>
      <c r="F7" s="281"/>
      <c r="G7" s="13"/>
      <c r="H7" s="13"/>
      <c r="I7" s="23"/>
      <c r="J7" s="13"/>
      <c r="K7" s="13"/>
      <c r="L7" s="13"/>
      <c r="M7" s="13"/>
    </row>
    <row r="8" spans="1:35">
      <c r="W8" s="13"/>
      <c r="X8" s="13"/>
      <c r="Y8" s="13"/>
      <c r="Z8" s="13"/>
    </row>
    <row r="9" spans="1:35">
      <c r="W9" s="13"/>
      <c r="X9" s="13"/>
      <c r="Y9" s="13"/>
      <c r="Z9" s="13"/>
    </row>
    <row r="10" spans="1:35" ht="74.25" customHeight="1">
      <c r="B10" s="465">
        <v>1</v>
      </c>
      <c r="C10" s="601" t="s">
        <v>191</v>
      </c>
      <c r="D10" s="602"/>
      <c r="E10" s="603"/>
      <c r="F10" s="604" t="str">
        <f>IFERROR(VLOOKUP(B10,LISTA_OFERENTES,2,FALSE)," ")</f>
        <v>KER INGENIERIA S.A.S.</v>
      </c>
      <c r="G10" s="605"/>
      <c r="H10" s="605"/>
      <c r="I10" s="605"/>
      <c r="J10" s="605"/>
      <c r="K10" s="605"/>
      <c r="L10" s="605"/>
      <c r="M10" s="605"/>
      <c r="N10" s="605"/>
      <c r="O10" s="606"/>
      <c r="P10" s="607" t="s">
        <v>26</v>
      </c>
      <c r="Q10" s="608"/>
      <c r="R10" s="609"/>
      <c r="S10" s="491">
        <f>5-(INT(COUNTBLANK(C13:C27))-10)</f>
        <v>0</v>
      </c>
    </row>
    <row r="11" spans="1:35" s="15" customFormat="1" ht="33.75" customHeight="1">
      <c r="B11" s="610" t="s">
        <v>27</v>
      </c>
      <c r="C11" s="596" t="s">
        <v>28</v>
      </c>
      <c r="D11" s="596" t="s">
        <v>29</v>
      </c>
      <c r="E11" s="596" t="s">
        <v>30</v>
      </c>
      <c r="F11" s="596" t="s">
        <v>31</v>
      </c>
      <c r="G11" s="596" t="s">
        <v>32</v>
      </c>
      <c r="H11" s="596" t="s">
        <v>33</v>
      </c>
      <c r="I11" s="596" t="s">
        <v>34</v>
      </c>
      <c r="J11" s="594" t="s">
        <v>35</v>
      </c>
      <c r="K11" s="612"/>
      <c r="L11" s="612"/>
      <c r="M11" s="595"/>
      <c r="N11" s="596" t="s">
        <v>36</v>
      </c>
      <c r="O11" s="596" t="s">
        <v>37</v>
      </c>
      <c r="P11" s="594" t="s">
        <v>38</v>
      </c>
      <c r="Q11" s="595"/>
      <c r="R11" s="596" t="s">
        <v>39</v>
      </c>
      <c r="S11" s="596" t="s">
        <v>40</v>
      </c>
      <c r="T11" s="596" t="s">
        <v>189</v>
      </c>
      <c r="U11" s="596" t="s">
        <v>134</v>
      </c>
      <c r="V11" s="47"/>
      <c r="W11" s="615" t="s">
        <v>41</v>
      </c>
      <c r="X11" s="616"/>
      <c r="Y11" s="617"/>
      <c r="Z11" s="492" t="s">
        <v>42</v>
      </c>
    </row>
    <row r="12" spans="1:35" s="15" customFormat="1" ht="91.5" customHeight="1">
      <c r="B12" s="611"/>
      <c r="C12" s="597"/>
      <c r="D12" s="597"/>
      <c r="E12" s="597"/>
      <c r="F12" s="597"/>
      <c r="G12" s="597"/>
      <c r="H12" s="597"/>
      <c r="I12" s="597"/>
      <c r="J12" s="598" t="s">
        <v>43</v>
      </c>
      <c r="K12" s="599"/>
      <c r="L12" s="599"/>
      <c r="M12" s="600"/>
      <c r="N12" s="597"/>
      <c r="O12" s="597"/>
      <c r="P12" s="493" t="s">
        <v>10</v>
      </c>
      <c r="Q12" s="493" t="s">
        <v>44</v>
      </c>
      <c r="R12" s="597"/>
      <c r="S12" s="597"/>
      <c r="T12" s="597"/>
      <c r="U12" s="597"/>
      <c r="V12" s="47"/>
      <c r="W12" s="494">
        <v>1</v>
      </c>
      <c r="X12" s="495" t="str">
        <f>IFERROR(VLOOKUP(W12,LISTA_OFERENTES,2,FALSE)," ")</f>
        <v>KER INGENIERIA S.A.S.</v>
      </c>
      <c r="Y12" s="495" t="str">
        <f ca="1">VLOOKUP(X12,BANDERA,2,FALSE)</f>
        <v>NO CUMPLE</v>
      </c>
      <c r="Z12" s="59" t="str">
        <f ca="1">IF(Y12="CUMPLE","H","NH")</f>
        <v>NH</v>
      </c>
      <c r="AD12" s="495" t="str">
        <f>X12</f>
        <v>KER INGENIERIA S.A.S.</v>
      </c>
      <c r="AE12" s="496" t="str">
        <f ca="1">INDIRECT("T"&amp;AH12)</f>
        <v>NO CUMPLE</v>
      </c>
      <c r="AG12" s="59" t="s">
        <v>45</v>
      </c>
      <c r="AH12" s="57">
        <v>28</v>
      </c>
      <c r="AI12" s="497"/>
    </row>
    <row r="13" spans="1:35" s="500" customFormat="1" ht="25" hidden="1" customHeight="1">
      <c r="A13" s="498"/>
      <c r="B13" s="546">
        <v>1</v>
      </c>
      <c r="C13" s="549"/>
      <c r="D13" s="549"/>
      <c r="E13" s="549"/>
      <c r="F13" s="549"/>
      <c r="G13" s="552"/>
      <c r="H13" s="555"/>
      <c r="I13" s="558"/>
      <c r="J13" s="499"/>
      <c r="K13" s="57">
        <v>801016</v>
      </c>
      <c r="L13" s="499"/>
      <c r="M13" s="57"/>
      <c r="N13" s="561"/>
      <c r="O13" s="561"/>
      <c r="P13" s="564"/>
      <c r="Q13" s="544"/>
      <c r="R13" s="544"/>
      <c r="S13" s="568">
        <f>IF(COUNTIF(J13:K15,"CUMPLE")&gt;=1,(G13*I13),0)* (IF(N13="PRESENTÓ CERTIFICADO",1,0))* (IF(O13="ACORDE A ITEM 6.2.2.1 (T.R.)",1,0) )* ( IF(OR(Q13="SIN OBSERVACIÓN", Q13="REQUERIMIENTOS SUBSANADOS"),1,0)) *(IF(OR(R13="NINGUNO", R13="CUMPLEN CON LO SOLICITADO"),1,0))</f>
        <v>0</v>
      </c>
      <c r="T13" s="591"/>
      <c r="U13" s="541">
        <f t="shared" ref="U13" si="0">IF(COUNTIF(J13:K15,"CUMPLE")&gt;=1,1,0)</f>
        <v>0</v>
      </c>
      <c r="W13" s="494">
        <v>2</v>
      </c>
      <c r="X13" s="495" t="str">
        <f t="shared" ref="X13:X25" si="1">IFERROR(VLOOKUP(W13,LISTA_OFERENTES,2,FALSE)," ")</f>
        <v>UNIÓN TEMPORAL SUPERVISOR 2021</v>
      </c>
      <c r="Y13" s="495" t="str">
        <f t="shared" ref="Y13:Y27" ca="1" si="2">VLOOKUP(X13,BANDERA,2,FALSE)</f>
        <v>NO CUMPLE</v>
      </c>
      <c r="Z13" s="59" t="str">
        <f t="shared" ref="Z13:Z25" ca="1" si="3">IF(Y13="CUMPLE","H","NH")</f>
        <v>NH</v>
      </c>
      <c r="AD13" s="495" t="str">
        <f t="shared" ref="AD13:AD28" si="4">X13</f>
        <v>UNIÓN TEMPORAL SUPERVISOR 2021</v>
      </c>
      <c r="AE13" s="496" t="str">
        <f ca="1">INDIRECT("T"&amp;AH13)</f>
        <v>NO CUMPLE</v>
      </c>
      <c r="AF13" s="501"/>
      <c r="AG13" s="59" t="s">
        <v>45</v>
      </c>
      <c r="AH13" s="57">
        <f>AH12+AI$13</f>
        <v>50</v>
      </c>
      <c r="AI13" s="544">
        <v>22</v>
      </c>
    </row>
    <row r="14" spans="1:35" s="500" customFormat="1" ht="25" hidden="1" customHeight="1">
      <c r="A14" s="498"/>
      <c r="B14" s="547"/>
      <c r="C14" s="550"/>
      <c r="D14" s="550"/>
      <c r="E14" s="550"/>
      <c r="F14" s="550"/>
      <c r="G14" s="553"/>
      <c r="H14" s="556"/>
      <c r="I14" s="559"/>
      <c r="J14" s="499"/>
      <c r="K14" s="57">
        <v>811015</v>
      </c>
      <c r="L14" s="542"/>
      <c r="M14" s="544"/>
      <c r="N14" s="562"/>
      <c r="O14" s="562"/>
      <c r="P14" s="565"/>
      <c r="Q14" s="567"/>
      <c r="R14" s="567"/>
      <c r="S14" s="569"/>
      <c r="T14" s="592"/>
      <c r="U14" s="541"/>
      <c r="W14" s="494">
        <v>3</v>
      </c>
      <c r="X14" s="495" t="str">
        <f t="shared" si="1"/>
        <v>PreVeo S.A.S.</v>
      </c>
      <c r="Y14" s="495" t="str">
        <f t="shared" ca="1" si="2"/>
        <v>CUMPLE</v>
      </c>
      <c r="Z14" s="59" t="str">
        <f t="shared" ca="1" si="3"/>
        <v>H</v>
      </c>
      <c r="AD14" s="495" t="str">
        <f t="shared" si="4"/>
        <v>PreVeo S.A.S.</v>
      </c>
      <c r="AE14" s="496" t="str">
        <f t="shared" ref="AE14:AE28" ca="1" si="5">INDIRECT("T"&amp;AH14)</f>
        <v>CUMPLE</v>
      </c>
      <c r="AF14" s="501"/>
      <c r="AG14" s="59" t="s">
        <v>45</v>
      </c>
      <c r="AH14" s="57">
        <f>AH13+AI$13</f>
        <v>72</v>
      </c>
      <c r="AI14" s="567"/>
    </row>
    <row r="15" spans="1:35" s="500" customFormat="1" ht="25" hidden="1" customHeight="1">
      <c r="A15" s="498"/>
      <c r="B15" s="548"/>
      <c r="C15" s="551"/>
      <c r="D15" s="551"/>
      <c r="E15" s="551"/>
      <c r="F15" s="551"/>
      <c r="G15" s="554"/>
      <c r="H15" s="557"/>
      <c r="I15" s="560"/>
      <c r="J15" s="499"/>
      <c r="K15" s="57">
        <v>841116</v>
      </c>
      <c r="L15" s="543"/>
      <c r="M15" s="545"/>
      <c r="N15" s="563"/>
      <c r="O15" s="563"/>
      <c r="P15" s="566"/>
      <c r="Q15" s="545"/>
      <c r="R15" s="545"/>
      <c r="S15" s="570"/>
      <c r="T15" s="592"/>
      <c r="U15" s="541"/>
      <c r="W15" s="494">
        <v>4</v>
      </c>
      <c r="X15" s="495" t="str">
        <f t="shared" si="1"/>
        <v>INTERVE S.A.S.</v>
      </c>
      <c r="Y15" s="495" t="str">
        <f t="shared" ca="1" si="2"/>
        <v>CUMPLE</v>
      </c>
      <c r="Z15" s="59" t="str">
        <f t="shared" ca="1" si="3"/>
        <v>H</v>
      </c>
      <c r="AD15" s="495" t="str">
        <f t="shared" si="4"/>
        <v>INTERVE S.A.S.</v>
      </c>
      <c r="AE15" s="496" t="str">
        <f t="shared" ca="1" si="5"/>
        <v>CUMPLE</v>
      </c>
      <c r="AF15" s="501"/>
      <c r="AG15" s="59" t="s">
        <v>45</v>
      </c>
      <c r="AH15" s="57">
        <f>AH14+AI$13</f>
        <v>94</v>
      </c>
      <c r="AI15" s="567"/>
    </row>
    <row r="16" spans="1:35" s="500" customFormat="1" ht="25" hidden="1" customHeight="1">
      <c r="A16" s="498"/>
      <c r="B16" s="546">
        <v>2</v>
      </c>
      <c r="C16" s="571"/>
      <c r="D16" s="571"/>
      <c r="E16" s="571"/>
      <c r="F16" s="571"/>
      <c r="G16" s="574"/>
      <c r="H16" s="555"/>
      <c r="I16" s="577"/>
      <c r="J16" s="499"/>
      <c r="K16" s="57">
        <f>+$K$13</f>
        <v>801016</v>
      </c>
      <c r="L16" s="499"/>
      <c r="M16" s="57"/>
      <c r="N16" s="561"/>
      <c r="O16" s="561"/>
      <c r="P16" s="564"/>
      <c r="Q16" s="544"/>
      <c r="R16" s="544"/>
      <c r="S16" s="568">
        <f t="shared" ref="S16" si="6">IF(COUNTIF(J16:K18,"CUMPLE")&gt;=1,(G16*I16),0)* (IF(N16="PRESENTÓ CERTIFICADO",1,0))* (IF(O16="ACORDE A ITEM 6.2.2.1 (T.R.)",1,0) )* ( IF(OR(Q16="SIN OBSERVACIÓN", Q16="REQUERIMIENTOS SUBSANADOS"),1,0)) *(IF(OR(R16="NINGUNO", R16="CUMPLEN CON LO SOLICITADO"),1,0))</f>
        <v>0</v>
      </c>
      <c r="T16" s="592"/>
      <c r="U16" s="541">
        <f>IF(COUNTIF(L16:M18,"CUMPLE")&gt;=1,1,0)</f>
        <v>0</v>
      </c>
      <c r="W16" s="494">
        <v>5</v>
      </c>
      <c r="X16" s="495">
        <f t="shared" si="1"/>
        <v>0</v>
      </c>
      <c r="Y16" s="495" t="str">
        <f t="shared" ca="1" si="2"/>
        <v>NO CUMPLE</v>
      </c>
      <c r="Z16" s="59" t="str">
        <f t="shared" ca="1" si="3"/>
        <v>NH</v>
      </c>
      <c r="AD16" s="495">
        <f t="shared" si="4"/>
        <v>0</v>
      </c>
      <c r="AE16" s="496" t="str">
        <f t="shared" ca="1" si="5"/>
        <v>NO CUMPLE</v>
      </c>
      <c r="AF16" s="501"/>
      <c r="AG16" s="59" t="s">
        <v>45</v>
      </c>
      <c r="AH16" s="57">
        <f>AH15+AI$13</f>
        <v>116</v>
      </c>
      <c r="AI16" s="567"/>
    </row>
    <row r="17" spans="1:35" s="500" customFormat="1" ht="25" hidden="1" customHeight="1">
      <c r="A17" s="498"/>
      <c r="B17" s="547"/>
      <c r="C17" s="572"/>
      <c r="D17" s="572"/>
      <c r="E17" s="572"/>
      <c r="F17" s="572"/>
      <c r="G17" s="575"/>
      <c r="H17" s="556"/>
      <c r="I17" s="578"/>
      <c r="J17" s="499"/>
      <c r="K17" s="57">
        <f>+$K$14</f>
        <v>811015</v>
      </c>
      <c r="L17" s="542"/>
      <c r="M17" s="544"/>
      <c r="N17" s="562"/>
      <c r="O17" s="562"/>
      <c r="P17" s="565"/>
      <c r="Q17" s="567"/>
      <c r="R17" s="567"/>
      <c r="S17" s="569"/>
      <c r="T17" s="592"/>
      <c r="U17" s="541"/>
      <c r="W17" s="494">
        <v>6</v>
      </c>
      <c r="X17" s="495">
        <f t="shared" si="1"/>
        <v>0</v>
      </c>
      <c r="Y17" s="495" t="str">
        <f t="shared" ca="1" si="2"/>
        <v>NO CUMPLE</v>
      </c>
      <c r="Z17" s="59" t="str">
        <f t="shared" ca="1" si="3"/>
        <v>NH</v>
      </c>
      <c r="AD17" s="495">
        <f t="shared" si="4"/>
        <v>0</v>
      </c>
      <c r="AE17" s="496" t="str">
        <f t="shared" ca="1" si="5"/>
        <v>NO CUMPLE</v>
      </c>
      <c r="AF17" s="501"/>
      <c r="AG17" s="59" t="s">
        <v>45</v>
      </c>
      <c r="AH17" s="57">
        <f>AH16+AI$13</f>
        <v>138</v>
      </c>
      <c r="AI17" s="567"/>
    </row>
    <row r="18" spans="1:35" s="500" customFormat="1" ht="25" hidden="1" customHeight="1">
      <c r="A18" s="498"/>
      <c r="B18" s="548"/>
      <c r="C18" s="573"/>
      <c r="D18" s="573"/>
      <c r="E18" s="573"/>
      <c r="F18" s="573"/>
      <c r="G18" s="576"/>
      <c r="H18" s="557"/>
      <c r="I18" s="579"/>
      <c r="J18" s="499"/>
      <c r="K18" s="57">
        <f>+$K$15</f>
        <v>841116</v>
      </c>
      <c r="L18" s="543"/>
      <c r="M18" s="545"/>
      <c r="N18" s="563"/>
      <c r="O18" s="563"/>
      <c r="P18" s="566"/>
      <c r="Q18" s="545"/>
      <c r="R18" s="545"/>
      <c r="S18" s="570"/>
      <c r="T18" s="592"/>
      <c r="U18" s="541"/>
      <c r="W18" s="494">
        <v>7</v>
      </c>
      <c r="X18" s="495">
        <f t="shared" si="1"/>
        <v>0</v>
      </c>
      <c r="Y18" s="495" t="str">
        <f t="shared" ca="1" si="2"/>
        <v>NO CUMPLE</v>
      </c>
      <c r="Z18" s="59" t="str">
        <f t="shared" ca="1" si="3"/>
        <v>NH</v>
      </c>
      <c r="AD18" s="495">
        <f t="shared" si="4"/>
        <v>0</v>
      </c>
      <c r="AE18" s="496" t="str">
        <f t="shared" ca="1" si="5"/>
        <v>NO CUMPLE</v>
      </c>
      <c r="AF18" s="502"/>
      <c r="AG18" s="59" t="s">
        <v>45</v>
      </c>
      <c r="AH18" s="57">
        <f t="shared" ref="AH18:AH28" si="7">AH17+AI$13</f>
        <v>160</v>
      </c>
      <c r="AI18" s="567"/>
    </row>
    <row r="19" spans="1:35" s="500" customFormat="1" ht="25" hidden="1" customHeight="1">
      <c r="A19" s="498"/>
      <c r="B19" s="546">
        <v>3</v>
      </c>
      <c r="C19" s="549"/>
      <c r="D19" s="549"/>
      <c r="E19" s="549"/>
      <c r="F19" s="549"/>
      <c r="G19" s="552"/>
      <c r="H19" s="555"/>
      <c r="I19" s="558"/>
      <c r="J19" s="499"/>
      <c r="K19" s="57">
        <f>+$K$13</f>
        <v>801016</v>
      </c>
      <c r="L19" s="499"/>
      <c r="M19" s="57"/>
      <c r="N19" s="561"/>
      <c r="O19" s="561"/>
      <c r="P19" s="564"/>
      <c r="Q19" s="544"/>
      <c r="R19" s="544"/>
      <c r="S19" s="568">
        <f t="shared" ref="S19" si="8">IF(COUNTIF(J19:K21,"CUMPLE")&gt;=1,(G19*I19),0)* (IF(N19="PRESENTÓ CERTIFICADO",1,0))* (IF(O19="ACORDE A ITEM 6.2.2.1 (T.R.)",1,0) )* ( IF(OR(Q19="SIN OBSERVACIÓN", Q19="REQUERIMIENTOS SUBSANADOS"),1,0)) *(IF(OR(R19="NINGUNO", R19="CUMPLEN CON LO SOLICITADO"),1,0))</f>
        <v>0</v>
      </c>
      <c r="T19" s="592"/>
      <c r="U19" s="541">
        <f>IF(COUNTIF(L19:M21,"CUMPLE")&gt;=1,1,0)</f>
        <v>0</v>
      </c>
      <c r="W19" s="494">
        <v>8</v>
      </c>
      <c r="X19" s="495">
        <f t="shared" si="1"/>
        <v>0</v>
      </c>
      <c r="Y19" s="495" t="str">
        <f t="shared" ca="1" si="2"/>
        <v>NO CUMPLE</v>
      </c>
      <c r="Z19" s="59" t="str">
        <f t="shared" ca="1" si="3"/>
        <v>NH</v>
      </c>
      <c r="AD19" s="495">
        <f t="shared" si="4"/>
        <v>0</v>
      </c>
      <c r="AE19" s="496" t="str">
        <f t="shared" ca="1" si="5"/>
        <v>NO CUMPLE</v>
      </c>
      <c r="AF19" s="502"/>
      <c r="AG19" s="59" t="s">
        <v>45</v>
      </c>
      <c r="AH19" s="57">
        <f t="shared" si="7"/>
        <v>182</v>
      </c>
      <c r="AI19" s="567"/>
    </row>
    <row r="20" spans="1:35" s="500" customFormat="1" ht="25" hidden="1" customHeight="1">
      <c r="A20" s="498"/>
      <c r="B20" s="547"/>
      <c r="C20" s="550"/>
      <c r="D20" s="550"/>
      <c r="E20" s="550"/>
      <c r="F20" s="550"/>
      <c r="G20" s="553"/>
      <c r="H20" s="556"/>
      <c r="I20" s="559"/>
      <c r="J20" s="499"/>
      <c r="K20" s="57">
        <f>+$K$14</f>
        <v>811015</v>
      </c>
      <c r="L20" s="542"/>
      <c r="M20" s="544"/>
      <c r="N20" s="562"/>
      <c r="O20" s="562"/>
      <c r="P20" s="565"/>
      <c r="Q20" s="567"/>
      <c r="R20" s="567"/>
      <c r="S20" s="569"/>
      <c r="T20" s="592"/>
      <c r="U20" s="541"/>
      <c r="W20" s="494">
        <v>9</v>
      </c>
      <c r="X20" s="495">
        <f t="shared" si="1"/>
        <v>0</v>
      </c>
      <c r="Y20" s="495" t="str">
        <f t="shared" ca="1" si="2"/>
        <v>NO CUMPLE</v>
      </c>
      <c r="Z20" s="59" t="str">
        <f t="shared" ca="1" si="3"/>
        <v>NH</v>
      </c>
      <c r="AD20" s="495">
        <f t="shared" si="4"/>
        <v>0</v>
      </c>
      <c r="AE20" s="496" t="str">
        <f t="shared" ca="1" si="5"/>
        <v>CUMPLE</v>
      </c>
      <c r="AF20" s="502"/>
      <c r="AG20" s="59" t="s">
        <v>45</v>
      </c>
      <c r="AH20" s="57">
        <f t="shared" si="7"/>
        <v>204</v>
      </c>
      <c r="AI20" s="567"/>
    </row>
    <row r="21" spans="1:35" s="500" customFormat="1" ht="25" hidden="1" customHeight="1">
      <c r="A21" s="498"/>
      <c r="B21" s="548"/>
      <c r="C21" s="551"/>
      <c r="D21" s="551"/>
      <c r="E21" s="551"/>
      <c r="F21" s="551"/>
      <c r="G21" s="554"/>
      <c r="H21" s="557"/>
      <c r="I21" s="560"/>
      <c r="J21" s="499"/>
      <c r="K21" s="57">
        <f>+$K$15</f>
        <v>841116</v>
      </c>
      <c r="L21" s="543"/>
      <c r="M21" s="545"/>
      <c r="N21" s="563"/>
      <c r="O21" s="563"/>
      <c r="P21" s="566"/>
      <c r="Q21" s="545"/>
      <c r="R21" s="545"/>
      <c r="S21" s="570"/>
      <c r="T21" s="592"/>
      <c r="U21" s="541"/>
      <c r="W21" s="494">
        <v>10</v>
      </c>
      <c r="X21" s="495">
        <f t="shared" si="1"/>
        <v>0</v>
      </c>
      <c r="Y21" s="495" t="str">
        <f t="shared" ca="1" si="2"/>
        <v>NO CUMPLE</v>
      </c>
      <c r="Z21" s="59" t="str">
        <f t="shared" ca="1" si="3"/>
        <v>NH</v>
      </c>
      <c r="AD21" s="495">
        <f t="shared" si="4"/>
        <v>0</v>
      </c>
      <c r="AE21" s="496" t="str">
        <f t="shared" ca="1" si="5"/>
        <v>NO CUMPLE</v>
      </c>
      <c r="AF21" s="502"/>
      <c r="AG21" s="59" t="s">
        <v>45</v>
      </c>
      <c r="AH21" s="57">
        <f t="shared" si="7"/>
        <v>226</v>
      </c>
      <c r="AI21" s="567"/>
    </row>
    <row r="22" spans="1:35" s="500" customFormat="1" ht="25" hidden="1" customHeight="1">
      <c r="A22" s="498"/>
      <c r="B22" s="546">
        <v>4</v>
      </c>
      <c r="C22" s="571"/>
      <c r="D22" s="571"/>
      <c r="E22" s="571"/>
      <c r="F22" s="571"/>
      <c r="G22" s="574"/>
      <c r="H22" s="555"/>
      <c r="I22" s="577"/>
      <c r="J22" s="499"/>
      <c r="K22" s="57">
        <f>+$K$13</f>
        <v>801016</v>
      </c>
      <c r="L22" s="499"/>
      <c r="M22" s="57"/>
      <c r="N22" s="561"/>
      <c r="O22" s="561"/>
      <c r="P22" s="564"/>
      <c r="Q22" s="544"/>
      <c r="R22" s="544"/>
      <c r="S22" s="568">
        <f t="shared" ref="S22" si="9">IF(COUNTIF(J22:K24,"CUMPLE")&gt;=1,(G22*I22),0)* (IF(N22="PRESENTÓ CERTIFICADO",1,0))* (IF(O22="ACORDE A ITEM 6.2.2.1 (T.R.)",1,0) )* ( IF(OR(Q22="SIN OBSERVACIÓN", Q22="REQUERIMIENTOS SUBSANADOS"),1,0)) *(IF(OR(R22="NINGUNO", R22="CUMPLEN CON LO SOLICITADO"),1,0))</f>
        <v>0</v>
      </c>
      <c r="T22" s="592"/>
      <c r="U22" s="541">
        <f>IF(COUNTIF(L22:M24,"CUMPLE")&gt;=1,1,0)</f>
        <v>0</v>
      </c>
      <c r="W22" s="494">
        <v>11</v>
      </c>
      <c r="X22" s="495">
        <f t="shared" si="1"/>
        <v>0</v>
      </c>
      <c r="Y22" s="495" t="str">
        <f t="shared" ca="1" si="2"/>
        <v>NO CUMPLE</v>
      </c>
      <c r="Z22" s="59" t="str">
        <f t="shared" ca="1" si="3"/>
        <v>NH</v>
      </c>
      <c r="AD22" s="495">
        <f t="shared" si="4"/>
        <v>0</v>
      </c>
      <c r="AE22" s="496" t="str">
        <f t="shared" ca="1" si="5"/>
        <v>NO CUMPLE</v>
      </c>
      <c r="AF22" s="502"/>
      <c r="AG22" s="59" t="s">
        <v>45</v>
      </c>
      <c r="AH22" s="57">
        <f t="shared" si="7"/>
        <v>248</v>
      </c>
      <c r="AI22" s="567"/>
    </row>
    <row r="23" spans="1:35" s="500" customFormat="1" ht="25" hidden="1" customHeight="1">
      <c r="A23" s="498"/>
      <c r="B23" s="547"/>
      <c r="C23" s="572"/>
      <c r="D23" s="572"/>
      <c r="E23" s="572"/>
      <c r="F23" s="572"/>
      <c r="G23" s="575"/>
      <c r="H23" s="556"/>
      <c r="I23" s="578"/>
      <c r="J23" s="499"/>
      <c r="K23" s="57">
        <f>+$K$14</f>
        <v>811015</v>
      </c>
      <c r="L23" s="542"/>
      <c r="M23" s="544"/>
      <c r="N23" s="562"/>
      <c r="O23" s="562"/>
      <c r="P23" s="565"/>
      <c r="Q23" s="567"/>
      <c r="R23" s="567"/>
      <c r="S23" s="569"/>
      <c r="T23" s="592"/>
      <c r="U23" s="541"/>
      <c r="W23" s="494">
        <v>12</v>
      </c>
      <c r="X23" s="495">
        <f t="shared" si="1"/>
        <v>0</v>
      </c>
      <c r="Y23" s="495" t="str">
        <f t="shared" ca="1" si="2"/>
        <v>NO CUMPLE</v>
      </c>
      <c r="Z23" s="59" t="str">
        <f t="shared" ca="1" si="3"/>
        <v>NH</v>
      </c>
      <c r="AD23" s="495">
        <f t="shared" si="4"/>
        <v>0</v>
      </c>
      <c r="AE23" s="496" t="str">
        <f t="shared" ca="1" si="5"/>
        <v>NO CUMPLE</v>
      </c>
      <c r="AF23" s="502"/>
      <c r="AG23" s="59" t="s">
        <v>45</v>
      </c>
      <c r="AH23" s="57">
        <f t="shared" si="7"/>
        <v>270</v>
      </c>
      <c r="AI23" s="567"/>
    </row>
    <row r="24" spans="1:35" s="500" customFormat="1" ht="25" hidden="1" customHeight="1">
      <c r="A24" s="498"/>
      <c r="B24" s="548"/>
      <c r="C24" s="573"/>
      <c r="D24" s="573"/>
      <c r="E24" s="573"/>
      <c r="F24" s="573"/>
      <c r="G24" s="576"/>
      <c r="H24" s="557"/>
      <c r="I24" s="579"/>
      <c r="J24" s="499"/>
      <c r="K24" s="57">
        <f>+$K$15</f>
        <v>841116</v>
      </c>
      <c r="L24" s="543"/>
      <c r="M24" s="545"/>
      <c r="N24" s="563"/>
      <c r="O24" s="563"/>
      <c r="P24" s="566"/>
      <c r="Q24" s="545"/>
      <c r="R24" s="545"/>
      <c r="S24" s="570"/>
      <c r="T24" s="592"/>
      <c r="U24" s="541"/>
      <c r="W24" s="494">
        <v>13</v>
      </c>
      <c r="X24" s="495">
        <f t="shared" si="1"/>
        <v>0</v>
      </c>
      <c r="Y24" s="495" t="str">
        <f t="shared" ca="1" si="2"/>
        <v>NO CUMPLE</v>
      </c>
      <c r="Z24" s="59" t="str">
        <f t="shared" ca="1" si="3"/>
        <v>NH</v>
      </c>
      <c r="AD24" s="495">
        <f t="shared" si="4"/>
        <v>0</v>
      </c>
      <c r="AE24" s="496" t="str">
        <f t="shared" ca="1" si="5"/>
        <v>NO CUMPLE</v>
      </c>
      <c r="AF24" s="502"/>
      <c r="AG24" s="59" t="s">
        <v>45</v>
      </c>
      <c r="AH24" s="57">
        <f t="shared" si="7"/>
        <v>292</v>
      </c>
      <c r="AI24" s="567"/>
    </row>
    <row r="25" spans="1:35" s="500" customFormat="1" ht="25" hidden="1" customHeight="1">
      <c r="A25" s="498"/>
      <c r="B25" s="546">
        <v>5</v>
      </c>
      <c r="C25" s="549"/>
      <c r="D25" s="549"/>
      <c r="E25" s="549"/>
      <c r="F25" s="549"/>
      <c r="G25" s="552"/>
      <c r="H25" s="555"/>
      <c r="I25" s="558"/>
      <c r="J25" s="499"/>
      <c r="K25" s="57">
        <f>+$K$13</f>
        <v>801016</v>
      </c>
      <c r="L25" s="499"/>
      <c r="M25" s="57"/>
      <c r="N25" s="561"/>
      <c r="O25" s="561"/>
      <c r="P25" s="564"/>
      <c r="Q25" s="544"/>
      <c r="R25" s="544"/>
      <c r="S25" s="568">
        <f t="shared" ref="S25" si="10">IF(COUNTIF(J25:K27,"CUMPLE")&gt;=1,(G25*I25),0)* (IF(N25="PRESENTÓ CERTIFICADO",1,0))* (IF(O25="ACORDE A ITEM 6.2.2.1 (T.R.)",1,0) )* ( IF(OR(Q25="SIN OBSERVACIÓN", Q25="REQUERIMIENTOS SUBSANADOS"),1,0)) *(IF(OR(R25="NINGUNO", R25="CUMPLEN CON LO SOLICITADO"),1,0))</f>
        <v>0</v>
      </c>
      <c r="T25" s="592"/>
      <c r="U25" s="541">
        <f>IF(COUNTIF(L25:M27,"CUMPLE")&gt;=1,1,0)</f>
        <v>0</v>
      </c>
      <c r="W25" s="494">
        <v>14</v>
      </c>
      <c r="X25" s="495">
        <f t="shared" si="1"/>
        <v>0</v>
      </c>
      <c r="Y25" s="495" t="str">
        <f t="shared" ca="1" si="2"/>
        <v>NO CUMPLE</v>
      </c>
      <c r="Z25" s="59" t="str">
        <f t="shared" ca="1" si="3"/>
        <v>NH</v>
      </c>
      <c r="AD25" s="495">
        <f t="shared" si="4"/>
        <v>0</v>
      </c>
      <c r="AE25" s="496" t="str">
        <f t="shared" ca="1" si="5"/>
        <v>NO CUMPLE</v>
      </c>
      <c r="AF25" s="502"/>
      <c r="AG25" s="59" t="s">
        <v>45</v>
      </c>
      <c r="AH25" s="57">
        <f t="shared" si="7"/>
        <v>314</v>
      </c>
      <c r="AI25" s="567"/>
    </row>
    <row r="26" spans="1:35" s="500" customFormat="1" ht="25" hidden="1" customHeight="1">
      <c r="A26" s="498"/>
      <c r="B26" s="547"/>
      <c r="C26" s="550"/>
      <c r="D26" s="550"/>
      <c r="E26" s="550"/>
      <c r="F26" s="550"/>
      <c r="G26" s="553"/>
      <c r="H26" s="556"/>
      <c r="I26" s="559"/>
      <c r="J26" s="499"/>
      <c r="K26" s="57">
        <f>+$K$14</f>
        <v>811015</v>
      </c>
      <c r="L26" s="542"/>
      <c r="M26" s="544"/>
      <c r="N26" s="562"/>
      <c r="O26" s="562"/>
      <c r="P26" s="565"/>
      <c r="Q26" s="567"/>
      <c r="R26" s="567"/>
      <c r="S26" s="569"/>
      <c r="T26" s="592"/>
      <c r="U26" s="541"/>
      <c r="W26" s="494">
        <v>15</v>
      </c>
      <c r="X26" s="495">
        <f t="shared" ref="X26:X28" si="11">IFERROR(VLOOKUP(W26,LISTA_OFERENTES,2,FALSE)," ")</f>
        <v>0</v>
      </c>
      <c r="Y26" s="495" t="str">
        <f t="shared" ca="1" si="2"/>
        <v>NO CUMPLE</v>
      </c>
      <c r="Z26" s="59" t="str">
        <f ca="1">IF(Y26="CUMPLE","H","NH")</f>
        <v>NH</v>
      </c>
      <c r="AD26" s="495">
        <f t="shared" si="4"/>
        <v>0</v>
      </c>
      <c r="AE26" s="496">
        <f t="shared" ca="1" si="5"/>
        <v>0</v>
      </c>
      <c r="AF26" s="502"/>
      <c r="AG26" s="59" t="s">
        <v>45</v>
      </c>
      <c r="AH26" s="57">
        <f t="shared" si="7"/>
        <v>336</v>
      </c>
      <c r="AI26" s="567"/>
    </row>
    <row r="27" spans="1:35" s="500" customFormat="1" ht="25" hidden="1" customHeight="1">
      <c r="A27" s="498"/>
      <c r="B27" s="548"/>
      <c r="C27" s="551"/>
      <c r="D27" s="551"/>
      <c r="E27" s="551"/>
      <c r="F27" s="551"/>
      <c r="G27" s="554"/>
      <c r="H27" s="557"/>
      <c r="I27" s="560"/>
      <c r="J27" s="499"/>
      <c r="K27" s="57">
        <f>+$K$15</f>
        <v>841116</v>
      </c>
      <c r="L27" s="543"/>
      <c r="M27" s="545"/>
      <c r="N27" s="563"/>
      <c r="O27" s="563"/>
      <c r="P27" s="566"/>
      <c r="Q27" s="545"/>
      <c r="R27" s="545"/>
      <c r="S27" s="570"/>
      <c r="T27" s="593"/>
      <c r="U27" s="541"/>
      <c r="W27" s="494">
        <v>16</v>
      </c>
      <c r="X27" s="495">
        <f t="shared" si="11"/>
        <v>0</v>
      </c>
      <c r="Y27" s="495" t="str">
        <f t="shared" ca="1" si="2"/>
        <v>NO CUMPLE</v>
      </c>
      <c r="Z27" s="59" t="str">
        <f ca="1">IF(Y27="CUMPLE","H","NH")</f>
        <v>NH</v>
      </c>
      <c r="AD27" s="495">
        <f t="shared" si="4"/>
        <v>0</v>
      </c>
      <c r="AE27" s="496">
        <f t="shared" ca="1" si="5"/>
        <v>0</v>
      </c>
      <c r="AG27" s="59" t="s">
        <v>45</v>
      </c>
      <c r="AH27" s="57">
        <f t="shared" si="7"/>
        <v>358</v>
      </c>
      <c r="AI27" s="567"/>
    </row>
    <row r="28" spans="1:35" ht="25" customHeight="1">
      <c r="A28" s="13"/>
      <c r="B28" s="580" t="str">
        <f>IF(S29=" "," ",IF(S29&gt;=$H$6,"CUMPLE CON LA EXPERIENCIA REQUERIDA","NO CUMPLE CON LA EXPERIENCIA REQUERIDA"))</f>
        <v>NO CUMPLE CON LA EXPERIENCIA REQUERIDA</v>
      </c>
      <c r="C28" s="581"/>
      <c r="D28" s="581"/>
      <c r="E28" s="581"/>
      <c r="F28" s="581"/>
      <c r="G28" s="581"/>
      <c r="H28" s="581"/>
      <c r="I28" s="581"/>
      <c r="J28" s="581"/>
      <c r="K28" s="581"/>
      <c r="L28" s="581"/>
      <c r="M28" s="581"/>
      <c r="N28" s="581"/>
      <c r="O28" s="582"/>
      <c r="P28" s="586" t="s">
        <v>46</v>
      </c>
      <c r="Q28" s="587"/>
      <c r="R28" s="588"/>
      <c r="S28" s="503">
        <f>IF(T13="SI",SUM(S13:S27),0)</f>
        <v>0</v>
      </c>
      <c r="T28" s="589" t="str">
        <f>IF(S29=" "," ",IF(S29&gt;=$H$6,"CUMPLE","NO CUMPLE"))</f>
        <v>NO CUMPLE</v>
      </c>
      <c r="W28" s="494">
        <v>17</v>
      </c>
      <c r="X28" s="495">
        <f t="shared" si="11"/>
        <v>0</v>
      </c>
      <c r="Y28" s="495" t="str">
        <f t="shared" ref="Y28" ca="1" si="12">VLOOKUP(X28,BANDERA,2,FALSE)</f>
        <v>NO CUMPLE</v>
      </c>
      <c r="Z28" s="59" t="str">
        <f t="shared" ref="Z28" ca="1" si="13">IF(Y28="CUMPLE","H","NH")</f>
        <v>NH</v>
      </c>
      <c r="AA28" s="500"/>
      <c r="AB28" s="500"/>
      <c r="AC28" s="500"/>
      <c r="AD28" s="495">
        <f t="shared" si="4"/>
        <v>0</v>
      </c>
      <c r="AE28" s="496">
        <f t="shared" ca="1" si="5"/>
        <v>0</v>
      </c>
      <c r="AF28" s="500"/>
      <c r="AG28" s="59" t="s">
        <v>45</v>
      </c>
      <c r="AH28" s="57">
        <f t="shared" si="7"/>
        <v>380</v>
      </c>
      <c r="AI28" s="545"/>
    </row>
    <row r="29" spans="1:35" s="500" customFormat="1" ht="25" customHeight="1">
      <c r="B29" s="583"/>
      <c r="C29" s="584"/>
      <c r="D29" s="584"/>
      <c r="E29" s="584"/>
      <c r="F29" s="584"/>
      <c r="G29" s="584"/>
      <c r="H29" s="584"/>
      <c r="I29" s="584"/>
      <c r="J29" s="584"/>
      <c r="K29" s="584"/>
      <c r="L29" s="584"/>
      <c r="M29" s="584"/>
      <c r="N29" s="584"/>
      <c r="O29" s="585"/>
      <c r="P29" s="586" t="s">
        <v>47</v>
      </c>
      <c r="Q29" s="587"/>
      <c r="R29" s="588"/>
      <c r="S29" s="503">
        <f>IFERROR((S28/$P$6)," ")</f>
        <v>0</v>
      </c>
      <c r="T29" s="590"/>
      <c r="W29" s="29"/>
      <c r="X29" s="29"/>
      <c r="Y29" s="29"/>
      <c r="Z29" s="29"/>
      <c r="AD29" s="13"/>
      <c r="AE29" s="13"/>
      <c r="AF29" s="13"/>
      <c r="AG29" s="13"/>
      <c r="AH29" s="13"/>
      <c r="AI29" s="13"/>
    </row>
    <row r="30" spans="1:35" s="500" customFormat="1" ht="30" customHeight="1">
      <c r="W30" s="29"/>
      <c r="X30" s="29"/>
      <c r="Y30" s="29"/>
      <c r="Z30" s="29"/>
      <c r="AD30" s="13"/>
      <c r="AE30" s="13"/>
      <c r="AF30" s="13"/>
      <c r="AG30" s="13"/>
      <c r="AH30" s="13"/>
      <c r="AI30" s="13"/>
    </row>
    <row r="31" spans="1:35" ht="30" customHeight="1">
      <c r="AA31" s="500"/>
      <c r="AB31" s="500"/>
      <c r="AC31" s="500"/>
    </row>
    <row r="32" spans="1:35" ht="56.25" customHeight="1">
      <c r="B32" s="465">
        <v>2</v>
      </c>
      <c r="C32" s="601" t="str">
        <f>+C10</f>
        <v xml:space="preserve">EXPERIENCIA GENERAL </v>
      </c>
      <c r="D32" s="602"/>
      <c r="E32" s="603"/>
      <c r="F32" s="604" t="str">
        <f>IFERROR(VLOOKUP(B32,LISTA_OFERENTES,2,FALSE)," ")</f>
        <v>UNIÓN TEMPORAL SUPERVISOR 2021</v>
      </c>
      <c r="G32" s="605"/>
      <c r="H32" s="605"/>
      <c r="I32" s="605"/>
      <c r="J32" s="605"/>
      <c r="K32" s="605"/>
      <c r="L32" s="605"/>
      <c r="M32" s="605"/>
      <c r="N32" s="605"/>
      <c r="O32" s="606"/>
      <c r="P32" s="607" t="s">
        <v>26</v>
      </c>
      <c r="Q32" s="608"/>
      <c r="R32" s="609"/>
      <c r="S32" s="491">
        <f>5-(INT(COUNTBLANK(C35:C49))-10)</f>
        <v>0</v>
      </c>
      <c r="AA32" s="500"/>
      <c r="AB32" s="500"/>
      <c r="AC32" s="500"/>
    </row>
    <row r="33" spans="1:35" s="501" customFormat="1" ht="38.25" customHeight="1">
      <c r="B33" s="610" t="s">
        <v>27</v>
      </c>
      <c r="C33" s="596" t="s">
        <v>28</v>
      </c>
      <c r="D33" s="596" t="s">
        <v>29</v>
      </c>
      <c r="E33" s="596" t="s">
        <v>30</v>
      </c>
      <c r="F33" s="596" t="s">
        <v>31</v>
      </c>
      <c r="G33" s="596" t="s">
        <v>32</v>
      </c>
      <c r="H33" s="596" t="s">
        <v>33</v>
      </c>
      <c r="I33" s="596" t="s">
        <v>34</v>
      </c>
      <c r="J33" s="594" t="s">
        <v>35</v>
      </c>
      <c r="K33" s="612"/>
      <c r="L33" s="612"/>
      <c r="M33" s="595"/>
      <c r="N33" s="596" t="s">
        <v>36</v>
      </c>
      <c r="O33" s="596" t="s">
        <v>37</v>
      </c>
      <c r="P33" s="594" t="s">
        <v>38</v>
      </c>
      <c r="Q33" s="595"/>
      <c r="R33" s="596" t="s">
        <v>39</v>
      </c>
      <c r="S33" s="596" t="s">
        <v>40</v>
      </c>
      <c r="T33"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33" s="596" t="str">
        <f>+$U$11</f>
        <v xml:space="preserve">VERIFICACIÓN CONDICIÓN DE EXPERIENCIA  </v>
      </c>
      <c r="V33" s="504"/>
      <c r="W33" s="29"/>
      <c r="X33" s="29"/>
      <c r="Y33" s="29"/>
      <c r="Z33" s="29"/>
      <c r="AA33" s="500"/>
      <c r="AB33" s="500"/>
      <c r="AC33" s="500"/>
      <c r="AD33" s="13"/>
      <c r="AE33" s="13"/>
      <c r="AF33" s="13"/>
      <c r="AG33" s="13"/>
      <c r="AH33" s="13"/>
      <c r="AI33" s="13"/>
    </row>
    <row r="34" spans="1:35" s="501" customFormat="1" ht="59.25" customHeight="1">
      <c r="B34" s="611"/>
      <c r="C34" s="597"/>
      <c r="D34" s="597"/>
      <c r="E34" s="597"/>
      <c r="F34" s="597"/>
      <c r="G34" s="597"/>
      <c r="H34" s="597"/>
      <c r="I34" s="597"/>
      <c r="J34" s="598" t="s">
        <v>43</v>
      </c>
      <c r="K34" s="599"/>
      <c r="L34" s="599"/>
      <c r="M34" s="600"/>
      <c r="N34" s="597"/>
      <c r="O34" s="597"/>
      <c r="P34" s="493" t="s">
        <v>10</v>
      </c>
      <c r="Q34" s="493" t="s">
        <v>44</v>
      </c>
      <c r="R34" s="597"/>
      <c r="S34" s="597"/>
      <c r="T34" s="597"/>
      <c r="U34" s="597"/>
      <c r="V34" s="504"/>
      <c r="W34" s="29"/>
      <c r="X34" s="29"/>
      <c r="Y34" s="29"/>
      <c r="Z34" s="29"/>
      <c r="AA34" s="500"/>
      <c r="AB34" s="500"/>
      <c r="AC34" s="500"/>
      <c r="AD34" s="13"/>
      <c r="AE34" s="13"/>
      <c r="AF34" s="13"/>
      <c r="AG34" s="13"/>
      <c r="AH34" s="13"/>
      <c r="AI34" s="13"/>
    </row>
    <row r="35" spans="1:35" s="500" customFormat="1" ht="30.75" hidden="1" customHeight="1">
      <c r="A35" s="498"/>
      <c r="B35" s="546">
        <v>1</v>
      </c>
      <c r="C35" s="549"/>
      <c r="D35" s="549"/>
      <c r="E35" s="549"/>
      <c r="F35" s="549"/>
      <c r="G35" s="552"/>
      <c r="H35" s="555"/>
      <c r="I35" s="558"/>
      <c r="J35" s="499"/>
      <c r="K35" s="57">
        <f>+$K$13</f>
        <v>801016</v>
      </c>
      <c r="L35" s="499"/>
      <c r="M35" s="57">
        <f t="shared" ref="M35" si="14">+$M$13</f>
        <v>0</v>
      </c>
      <c r="N35" s="561"/>
      <c r="O35" s="561"/>
      <c r="P35" s="564"/>
      <c r="Q35" s="544"/>
      <c r="R35" s="544"/>
      <c r="S35" s="568">
        <f>IF(COUNTIF(J35:K37,"CUMPLE")&gt;=1,(G35*I35),0)* (IF(N35="PRESENTÓ CERTIFICADO",1,0))* (IF(O35="ACORDE A ITEM 6.2.2.1 (T.R.)",1,0) )* ( IF(OR(Q35="SIN OBSERVACIÓN", Q35="REQUERIMIENTOS SUBSANADOS"),1,0)) *(IF(OR(R35="NINGUNO", R35="CUMPLEN CON LO SOLICITADO"),1,0))</f>
        <v>0</v>
      </c>
      <c r="T35" s="591"/>
      <c r="U35" s="541">
        <f t="shared" ref="U35:U47" si="15">IF(COUNTIF(J35:K37,"CUMPLE")&gt;=1,1,0)</f>
        <v>0</v>
      </c>
      <c r="W35" s="29"/>
      <c r="X35" s="29"/>
      <c r="Y35" s="29"/>
      <c r="Z35" s="29"/>
      <c r="AD35" s="13"/>
      <c r="AE35" s="13"/>
      <c r="AF35" s="13"/>
      <c r="AG35" s="13"/>
      <c r="AH35" s="13"/>
      <c r="AI35" s="13"/>
    </row>
    <row r="36" spans="1:35" s="500" customFormat="1" ht="30.75" hidden="1" customHeight="1">
      <c r="A36" s="498"/>
      <c r="B36" s="547"/>
      <c r="C36" s="550"/>
      <c r="D36" s="550"/>
      <c r="E36" s="550"/>
      <c r="F36" s="550"/>
      <c r="G36" s="553"/>
      <c r="H36" s="556"/>
      <c r="I36" s="559"/>
      <c r="J36" s="499"/>
      <c r="K36" s="57">
        <f>+$K$14</f>
        <v>811015</v>
      </c>
      <c r="L36" s="542"/>
      <c r="M36" s="544">
        <f t="shared" ref="M36" si="16">+$M$14</f>
        <v>0</v>
      </c>
      <c r="N36" s="562"/>
      <c r="O36" s="562"/>
      <c r="P36" s="565"/>
      <c r="Q36" s="567"/>
      <c r="R36" s="567"/>
      <c r="S36" s="569"/>
      <c r="T36" s="592"/>
      <c r="U36" s="541"/>
      <c r="W36" s="29"/>
      <c r="X36" s="29"/>
      <c r="Y36" s="29"/>
      <c r="Z36" s="29"/>
      <c r="AD36" s="13"/>
      <c r="AE36" s="13"/>
      <c r="AF36" s="13"/>
      <c r="AG36" s="13"/>
      <c r="AH36" s="13"/>
      <c r="AI36" s="13"/>
    </row>
    <row r="37" spans="1:35" s="500" customFormat="1" ht="30.75" hidden="1" customHeight="1">
      <c r="A37" s="498"/>
      <c r="B37" s="548"/>
      <c r="C37" s="551"/>
      <c r="D37" s="551"/>
      <c r="E37" s="551"/>
      <c r="F37" s="551"/>
      <c r="G37" s="554"/>
      <c r="H37" s="557"/>
      <c r="I37" s="560"/>
      <c r="J37" s="499"/>
      <c r="K37" s="57">
        <f>+$K$15</f>
        <v>841116</v>
      </c>
      <c r="L37" s="543"/>
      <c r="M37" s="545"/>
      <c r="N37" s="563"/>
      <c r="O37" s="563"/>
      <c r="P37" s="566"/>
      <c r="Q37" s="545"/>
      <c r="R37" s="545"/>
      <c r="S37" s="570"/>
      <c r="T37" s="592"/>
      <c r="U37" s="541"/>
      <c r="W37" s="29"/>
      <c r="X37" s="29"/>
      <c r="Y37" s="29"/>
      <c r="Z37" s="29"/>
      <c r="AD37" s="13"/>
      <c r="AE37" s="13"/>
      <c r="AF37" s="13"/>
      <c r="AG37" s="13"/>
      <c r="AH37" s="13"/>
      <c r="AI37" s="13"/>
    </row>
    <row r="38" spans="1:35" s="500" customFormat="1" ht="25.5" hidden="1" customHeight="1">
      <c r="A38" s="498"/>
      <c r="B38" s="546">
        <v>2</v>
      </c>
      <c r="C38" s="571"/>
      <c r="D38" s="571"/>
      <c r="E38" s="571"/>
      <c r="F38" s="571"/>
      <c r="G38" s="574"/>
      <c r="H38" s="555"/>
      <c r="I38" s="577"/>
      <c r="J38" s="499"/>
      <c r="K38" s="57">
        <f>+$K$13</f>
        <v>801016</v>
      </c>
      <c r="L38" s="499"/>
      <c r="M38" s="57">
        <f t="shared" ref="M38" si="17">+$M$13</f>
        <v>0</v>
      </c>
      <c r="N38" s="561"/>
      <c r="O38" s="561"/>
      <c r="P38" s="564"/>
      <c r="Q38" s="544"/>
      <c r="R38" s="544"/>
      <c r="S38" s="568">
        <f t="shared" ref="S38" si="18">IF(COUNTIF(J38:K40,"CUMPLE")&gt;=1,(G38*I38),0)* (IF(N38="PRESENTÓ CERTIFICADO",1,0))* (IF(O38="ACORDE A ITEM 6.2.2.1 (T.R.)",1,0) )* ( IF(OR(Q38="SIN OBSERVACIÓN", Q38="REQUERIMIENTOS SUBSANADOS"),1,0)) *(IF(OR(R38="NINGUNO", R38="CUMPLEN CON LO SOLICITADO"),1,0))</f>
        <v>0</v>
      </c>
      <c r="T38" s="592"/>
      <c r="U38" s="541">
        <f t="shared" si="15"/>
        <v>0</v>
      </c>
      <c r="W38" s="29"/>
      <c r="X38" s="29"/>
      <c r="Y38" s="29"/>
      <c r="Z38" s="29"/>
      <c r="AD38" s="13"/>
      <c r="AE38" s="13"/>
      <c r="AF38" s="13"/>
      <c r="AG38" s="13"/>
      <c r="AH38" s="13"/>
      <c r="AI38" s="13"/>
    </row>
    <row r="39" spans="1:35" s="500" customFormat="1" ht="25.5" hidden="1" customHeight="1">
      <c r="A39" s="498"/>
      <c r="B39" s="547"/>
      <c r="C39" s="572"/>
      <c r="D39" s="572"/>
      <c r="E39" s="572"/>
      <c r="F39" s="572"/>
      <c r="G39" s="575"/>
      <c r="H39" s="556"/>
      <c r="I39" s="578"/>
      <c r="J39" s="499"/>
      <c r="K39" s="57">
        <f>+$K$14</f>
        <v>811015</v>
      </c>
      <c r="L39" s="542"/>
      <c r="M39" s="544">
        <f t="shared" ref="M39" si="19">+$M$14</f>
        <v>0</v>
      </c>
      <c r="N39" s="562"/>
      <c r="O39" s="562"/>
      <c r="P39" s="565"/>
      <c r="Q39" s="567"/>
      <c r="R39" s="567"/>
      <c r="S39" s="569"/>
      <c r="T39" s="592"/>
      <c r="U39" s="541"/>
      <c r="W39" s="29"/>
      <c r="X39" s="29"/>
      <c r="Y39" s="29"/>
      <c r="Z39" s="29"/>
      <c r="AD39" s="13"/>
      <c r="AE39" s="13"/>
      <c r="AF39" s="13"/>
      <c r="AG39" s="13"/>
      <c r="AH39" s="13"/>
      <c r="AI39" s="13"/>
    </row>
    <row r="40" spans="1:35" s="500" customFormat="1" ht="25.5" hidden="1" customHeight="1">
      <c r="A40" s="498"/>
      <c r="B40" s="548"/>
      <c r="C40" s="573"/>
      <c r="D40" s="573"/>
      <c r="E40" s="573"/>
      <c r="F40" s="573"/>
      <c r="G40" s="576"/>
      <c r="H40" s="557"/>
      <c r="I40" s="579"/>
      <c r="J40" s="499"/>
      <c r="K40" s="57">
        <f>+$K$15</f>
        <v>841116</v>
      </c>
      <c r="L40" s="543"/>
      <c r="M40" s="545"/>
      <c r="N40" s="563"/>
      <c r="O40" s="563"/>
      <c r="P40" s="566"/>
      <c r="Q40" s="545"/>
      <c r="R40" s="545"/>
      <c r="S40" s="570"/>
      <c r="T40" s="592"/>
      <c r="U40" s="541"/>
      <c r="W40" s="29"/>
      <c r="X40" s="29"/>
      <c r="Y40" s="29"/>
      <c r="Z40" s="29"/>
      <c r="AD40" s="13"/>
      <c r="AE40" s="13"/>
      <c r="AF40" s="13"/>
      <c r="AG40" s="13"/>
      <c r="AH40" s="13"/>
      <c r="AI40" s="13"/>
    </row>
    <row r="41" spans="1:35" s="500" customFormat="1" ht="25" hidden="1" customHeight="1">
      <c r="A41" s="498"/>
      <c r="B41" s="546">
        <v>3</v>
      </c>
      <c r="C41" s="549"/>
      <c r="D41" s="549"/>
      <c r="E41" s="549"/>
      <c r="F41" s="549"/>
      <c r="G41" s="552"/>
      <c r="H41" s="555"/>
      <c r="I41" s="558"/>
      <c r="J41" s="499"/>
      <c r="K41" s="57">
        <f>+$K$13</f>
        <v>801016</v>
      </c>
      <c r="L41" s="499"/>
      <c r="M41" s="57">
        <f t="shared" ref="M41" si="20">+$M$13</f>
        <v>0</v>
      </c>
      <c r="N41" s="561"/>
      <c r="O41" s="561"/>
      <c r="P41" s="564"/>
      <c r="Q41" s="544"/>
      <c r="R41" s="544"/>
      <c r="S41" s="568">
        <f t="shared" ref="S41" si="21">IF(COUNTIF(J41:K43,"CUMPLE")&gt;=1,(G41*I41),0)* (IF(N41="PRESENTÓ CERTIFICADO",1,0))* (IF(O41="ACORDE A ITEM 6.2.2.1 (T.R.)",1,0) )* ( IF(OR(Q41="SIN OBSERVACIÓN", Q41="REQUERIMIENTOS SUBSANADOS"),1,0)) *(IF(OR(R41="NINGUNO", R41="CUMPLEN CON LO SOLICITADO"),1,0))</f>
        <v>0</v>
      </c>
      <c r="T41" s="592"/>
      <c r="U41" s="541">
        <f t="shared" si="15"/>
        <v>0</v>
      </c>
      <c r="W41" s="29"/>
      <c r="X41" s="29"/>
      <c r="Y41" s="29"/>
      <c r="Z41" s="29"/>
      <c r="AA41" s="13"/>
      <c r="AB41" s="13"/>
      <c r="AC41" s="13"/>
      <c r="AD41" s="13"/>
      <c r="AE41" s="13"/>
      <c r="AF41" s="13"/>
      <c r="AG41" s="13"/>
      <c r="AH41" s="13"/>
      <c r="AI41" s="13"/>
    </row>
    <row r="42" spans="1:35" s="500" customFormat="1" ht="25" hidden="1" customHeight="1">
      <c r="A42" s="498"/>
      <c r="B42" s="547"/>
      <c r="C42" s="550"/>
      <c r="D42" s="550"/>
      <c r="E42" s="550"/>
      <c r="F42" s="550"/>
      <c r="G42" s="553"/>
      <c r="H42" s="556"/>
      <c r="I42" s="559"/>
      <c r="J42" s="499"/>
      <c r="K42" s="57">
        <f>+$K$14</f>
        <v>811015</v>
      </c>
      <c r="L42" s="542"/>
      <c r="M42" s="544">
        <f t="shared" ref="M42" si="22">+$M$14</f>
        <v>0</v>
      </c>
      <c r="N42" s="562"/>
      <c r="O42" s="562"/>
      <c r="P42" s="565"/>
      <c r="Q42" s="567"/>
      <c r="R42" s="567"/>
      <c r="S42" s="569"/>
      <c r="T42" s="592"/>
      <c r="U42" s="541"/>
      <c r="W42" s="29"/>
      <c r="X42" s="29"/>
      <c r="Y42" s="29"/>
      <c r="Z42" s="29"/>
      <c r="AH42" s="13"/>
      <c r="AI42" s="13"/>
    </row>
    <row r="43" spans="1:35" s="500" customFormat="1" ht="25" hidden="1" customHeight="1">
      <c r="A43" s="498"/>
      <c r="B43" s="548"/>
      <c r="C43" s="551"/>
      <c r="D43" s="551"/>
      <c r="E43" s="551"/>
      <c r="F43" s="551"/>
      <c r="G43" s="554"/>
      <c r="H43" s="557"/>
      <c r="I43" s="560"/>
      <c r="J43" s="499"/>
      <c r="K43" s="57">
        <f>+$K$15</f>
        <v>841116</v>
      </c>
      <c r="L43" s="543"/>
      <c r="M43" s="545"/>
      <c r="N43" s="563"/>
      <c r="O43" s="563"/>
      <c r="P43" s="566"/>
      <c r="Q43" s="545"/>
      <c r="R43" s="545"/>
      <c r="S43" s="570"/>
      <c r="T43" s="592"/>
      <c r="U43" s="541"/>
      <c r="W43" s="29"/>
      <c r="X43" s="29"/>
      <c r="Y43" s="29"/>
      <c r="Z43" s="29"/>
    </row>
    <row r="44" spans="1:35" s="500" customFormat="1" ht="25" hidden="1" customHeight="1">
      <c r="A44" s="498"/>
      <c r="B44" s="546">
        <v>4</v>
      </c>
      <c r="C44" s="571"/>
      <c r="D44" s="571"/>
      <c r="E44" s="571"/>
      <c r="F44" s="571"/>
      <c r="G44" s="574"/>
      <c r="H44" s="555"/>
      <c r="I44" s="577"/>
      <c r="J44" s="499"/>
      <c r="K44" s="57">
        <f>+$K$13</f>
        <v>801016</v>
      </c>
      <c r="L44" s="499"/>
      <c r="M44" s="57">
        <f t="shared" ref="M44" si="23">+$M$13</f>
        <v>0</v>
      </c>
      <c r="N44" s="561"/>
      <c r="O44" s="561"/>
      <c r="P44" s="564"/>
      <c r="Q44" s="544"/>
      <c r="R44" s="544"/>
      <c r="S44" s="568">
        <f t="shared" ref="S44" si="24">IF(COUNTIF(J44:K46,"CUMPLE")&gt;=1,(G44*I44),0)* (IF(N44="PRESENTÓ CERTIFICADO",1,0))* (IF(O44="ACORDE A ITEM 6.2.2.1 (T.R.)",1,0) )* ( IF(OR(Q44="SIN OBSERVACIÓN", Q44="REQUERIMIENTOS SUBSANADOS"),1,0)) *(IF(OR(R44="NINGUNO", R44="CUMPLEN CON LO SOLICITADO"),1,0))</f>
        <v>0</v>
      </c>
      <c r="T44" s="592"/>
      <c r="U44" s="541">
        <f t="shared" si="15"/>
        <v>0</v>
      </c>
      <c r="W44" s="29"/>
      <c r="X44" s="29"/>
      <c r="Y44" s="29"/>
      <c r="Z44" s="29"/>
      <c r="AA44" s="13"/>
      <c r="AB44" s="13"/>
      <c r="AC44" s="13"/>
      <c r="AD44" s="13"/>
      <c r="AE44" s="13"/>
      <c r="AF44" s="13"/>
      <c r="AG44" s="13"/>
    </row>
    <row r="45" spans="1:35" s="500" customFormat="1" ht="25" hidden="1" customHeight="1">
      <c r="A45" s="498"/>
      <c r="B45" s="547"/>
      <c r="C45" s="572"/>
      <c r="D45" s="572"/>
      <c r="E45" s="572"/>
      <c r="F45" s="572"/>
      <c r="G45" s="575"/>
      <c r="H45" s="556"/>
      <c r="I45" s="578"/>
      <c r="J45" s="499"/>
      <c r="K45" s="57">
        <f>+$K$14</f>
        <v>811015</v>
      </c>
      <c r="L45" s="542"/>
      <c r="M45" s="544">
        <f t="shared" ref="M45" si="25">+$M$14</f>
        <v>0</v>
      </c>
      <c r="N45" s="562"/>
      <c r="O45" s="562"/>
      <c r="P45" s="565"/>
      <c r="Q45" s="567"/>
      <c r="R45" s="567"/>
      <c r="S45" s="569"/>
      <c r="T45" s="592"/>
      <c r="U45" s="541"/>
      <c r="W45" s="29"/>
      <c r="X45" s="29"/>
      <c r="Y45" s="29"/>
      <c r="Z45" s="29"/>
      <c r="AA45" s="13"/>
      <c r="AB45" s="13"/>
      <c r="AC45" s="13"/>
      <c r="AD45" s="13"/>
      <c r="AE45" s="13"/>
      <c r="AF45" s="13"/>
      <c r="AG45" s="13"/>
    </row>
    <row r="46" spans="1:35" s="500" customFormat="1" ht="25" hidden="1" customHeight="1">
      <c r="A46" s="498"/>
      <c r="B46" s="548"/>
      <c r="C46" s="573"/>
      <c r="D46" s="573"/>
      <c r="E46" s="573"/>
      <c r="F46" s="573"/>
      <c r="G46" s="576"/>
      <c r="H46" s="557"/>
      <c r="I46" s="579"/>
      <c r="J46" s="499"/>
      <c r="K46" s="57">
        <f>+$K$15</f>
        <v>841116</v>
      </c>
      <c r="L46" s="543"/>
      <c r="M46" s="545"/>
      <c r="N46" s="563"/>
      <c r="O46" s="563"/>
      <c r="P46" s="566"/>
      <c r="Q46" s="545"/>
      <c r="R46" s="545"/>
      <c r="S46" s="570"/>
      <c r="T46" s="592"/>
      <c r="U46" s="541"/>
      <c r="W46" s="29"/>
      <c r="X46" s="29"/>
      <c r="Y46" s="29"/>
      <c r="Z46" s="29"/>
      <c r="AA46" s="29"/>
      <c r="AB46" s="29"/>
      <c r="AC46" s="29"/>
      <c r="AD46" s="501"/>
      <c r="AE46" s="501"/>
      <c r="AF46" s="501"/>
      <c r="AG46" s="501"/>
    </row>
    <row r="47" spans="1:35" s="500" customFormat="1" ht="25" hidden="1" customHeight="1">
      <c r="A47" s="498"/>
      <c r="B47" s="546">
        <v>5</v>
      </c>
      <c r="C47" s="549"/>
      <c r="D47" s="549"/>
      <c r="E47" s="549"/>
      <c r="F47" s="549"/>
      <c r="G47" s="552"/>
      <c r="H47" s="555"/>
      <c r="I47" s="558"/>
      <c r="J47" s="499"/>
      <c r="K47" s="57">
        <f>+$K$13</f>
        <v>801016</v>
      </c>
      <c r="L47" s="499"/>
      <c r="M47" s="57">
        <f t="shared" ref="M47" si="26">+$M$13</f>
        <v>0</v>
      </c>
      <c r="N47" s="561"/>
      <c r="O47" s="561"/>
      <c r="P47" s="564"/>
      <c r="Q47" s="544"/>
      <c r="R47" s="544"/>
      <c r="S47" s="568">
        <f t="shared" ref="S47" si="27">IF(COUNTIF(J47:K49,"CUMPLE")&gt;=1,(G47*I47),0)* (IF(N47="PRESENTÓ CERTIFICADO",1,0))* (IF(O47="ACORDE A ITEM 6.2.2.1 (T.R.)",1,0) )* ( IF(OR(Q47="SIN OBSERVACIÓN", Q47="REQUERIMIENTOS SUBSANADOS"),1,0)) *(IF(OR(R47="NINGUNO", R47="CUMPLEN CON LO SOLICITADO"),1,0))</f>
        <v>0</v>
      </c>
      <c r="T47" s="592"/>
      <c r="U47" s="541">
        <f t="shared" si="15"/>
        <v>0</v>
      </c>
      <c r="W47" s="29"/>
      <c r="X47" s="29"/>
      <c r="Y47" s="29"/>
      <c r="Z47" s="29"/>
      <c r="AA47" s="29"/>
      <c r="AB47" s="29"/>
      <c r="AC47" s="29"/>
      <c r="AD47" s="501"/>
      <c r="AE47" s="501"/>
      <c r="AF47" s="501"/>
      <c r="AG47" s="501"/>
    </row>
    <row r="48" spans="1:35" s="500" customFormat="1" ht="25" hidden="1" customHeight="1">
      <c r="A48" s="498"/>
      <c r="B48" s="547"/>
      <c r="C48" s="550"/>
      <c r="D48" s="550"/>
      <c r="E48" s="550"/>
      <c r="F48" s="550"/>
      <c r="G48" s="553"/>
      <c r="H48" s="556"/>
      <c r="I48" s="559"/>
      <c r="J48" s="499"/>
      <c r="K48" s="57">
        <f>+$K$14</f>
        <v>811015</v>
      </c>
      <c r="L48" s="542"/>
      <c r="M48" s="544">
        <f t="shared" ref="M48" si="28">+$M$14</f>
        <v>0</v>
      </c>
      <c r="N48" s="562"/>
      <c r="O48" s="562"/>
      <c r="P48" s="565"/>
      <c r="Q48" s="567"/>
      <c r="R48" s="567"/>
      <c r="S48" s="569"/>
      <c r="T48" s="592"/>
      <c r="U48" s="541"/>
      <c r="W48" s="29"/>
      <c r="X48" s="29"/>
      <c r="Y48" s="29"/>
      <c r="Z48" s="29"/>
      <c r="AA48" s="29"/>
      <c r="AB48" s="29"/>
      <c r="AC48" s="29"/>
    </row>
    <row r="49" spans="1:35" s="500" customFormat="1" ht="25" hidden="1" customHeight="1">
      <c r="A49" s="498"/>
      <c r="B49" s="548"/>
      <c r="C49" s="551"/>
      <c r="D49" s="551"/>
      <c r="E49" s="551"/>
      <c r="F49" s="551"/>
      <c r="G49" s="554"/>
      <c r="H49" s="557"/>
      <c r="I49" s="560"/>
      <c r="J49" s="499"/>
      <c r="K49" s="57">
        <f>+$K$15</f>
        <v>841116</v>
      </c>
      <c r="L49" s="543"/>
      <c r="M49" s="545"/>
      <c r="N49" s="563"/>
      <c r="O49" s="563"/>
      <c r="P49" s="566"/>
      <c r="Q49" s="545"/>
      <c r="R49" s="545"/>
      <c r="S49" s="570"/>
      <c r="T49" s="593"/>
      <c r="U49" s="541"/>
      <c r="W49" s="29"/>
      <c r="X49" s="29"/>
      <c r="Y49" s="29"/>
      <c r="Z49" s="29"/>
      <c r="AA49" s="29"/>
      <c r="AB49" s="29"/>
      <c r="AC49" s="29"/>
    </row>
    <row r="50" spans="1:35" ht="25" customHeight="1">
      <c r="A50" s="13"/>
      <c r="B50" s="580" t="str">
        <f>IF(S51=" "," ",IF(S51&gt;=$H$6,"CUMPLE CON LA EXPERIENCIA REQUERIDA","NO CUMPLE CON LA EXPERIENCIA REQUERIDA"))</f>
        <v>NO CUMPLE CON LA EXPERIENCIA REQUERIDA</v>
      </c>
      <c r="C50" s="581"/>
      <c r="D50" s="581"/>
      <c r="E50" s="581"/>
      <c r="F50" s="581"/>
      <c r="G50" s="581"/>
      <c r="H50" s="581"/>
      <c r="I50" s="581"/>
      <c r="J50" s="581"/>
      <c r="K50" s="581"/>
      <c r="L50" s="581"/>
      <c r="M50" s="581"/>
      <c r="N50" s="581"/>
      <c r="O50" s="582"/>
      <c r="P50" s="586" t="s">
        <v>46</v>
      </c>
      <c r="Q50" s="587"/>
      <c r="R50" s="588"/>
      <c r="S50" s="503">
        <f>IF(T35="SI",SUM(S35:S49),0)</f>
        <v>0</v>
      </c>
      <c r="T50" s="589" t="str">
        <f>IF(S51=" "," ",IF(S51&gt;=$H$6,"CUMPLE","NO CUMPLE"))</f>
        <v>NO CUMPLE</v>
      </c>
      <c r="AA50" s="29"/>
      <c r="AB50" s="29"/>
      <c r="AC50" s="29"/>
      <c r="AD50" s="500"/>
      <c r="AE50" s="500"/>
      <c r="AF50" s="500"/>
      <c r="AG50" s="500"/>
      <c r="AH50" s="500"/>
    </row>
    <row r="51" spans="1:35" s="500" customFormat="1" ht="25" customHeight="1">
      <c r="B51" s="583"/>
      <c r="C51" s="584"/>
      <c r="D51" s="584"/>
      <c r="E51" s="584"/>
      <c r="F51" s="584"/>
      <c r="G51" s="584"/>
      <c r="H51" s="584"/>
      <c r="I51" s="584"/>
      <c r="J51" s="584"/>
      <c r="K51" s="584"/>
      <c r="L51" s="584"/>
      <c r="M51" s="584"/>
      <c r="N51" s="584"/>
      <c r="O51" s="585"/>
      <c r="P51" s="586" t="s">
        <v>47</v>
      </c>
      <c r="Q51" s="587"/>
      <c r="R51" s="588"/>
      <c r="S51" s="503">
        <f>IFERROR((S50/$P$6)," ")</f>
        <v>0</v>
      </c>
      <c r="T51" s="590"/>
      <c r="W51" s="29"/>
      <c r="X51" s="29"/>
      <c r="Y51" s="29"/>
      <c r="Z51" s="29"/>
      <c r="AA51" s="29"/>
      <c r="AB51" s="29"/>
      <c r="AC51" s="29"/>
    </row>
    <row r="52" spans="1:35" ht="30" customHeight="1">
      <c r="AA52" s="29"/>
      <c r="AB52" s="29"/>
      <c r="AC52" s="29"/>
      <c r="AD52" s="500"/>
      <c r="AE52" s="500"/>
      <c r="AF52" s="500"/>
      <c r="AG52" s="500"/>
    </row>
    <row r="53" spans="1:35" ht="30" customHeight="1">
      <c r="AA53" s="29"/>
      <c r="AB53" s="29"/>
      <c r="AC53" s="29"/>
      <c r="AD53" s="500"/>
      <c r="AE53" s="500"/>
      <c r="AF53" s="500"/>
      <c r="AG53" s="500"/>
      <c r="AH53" s="500"/>
    </row>
    <row r="54" spans="1:35" ht="61.5" customHeight="1">
      <c r="B54" s="465">
        <v>3</v>
      </c>
      <c r="C54" s="601" t="str">
        <f>+C32</f>
        <v xml:space="preserve">EXPERIENCIA GENERAL </v>
      </c>
      <c r="D54" s="602"/>
      <c r="E54" s="603"/>
      <c r="F54" s="604" t="str">
        <f>IFERROR(VLOOKUP(B54,LISTA_OFERENTES,2,FALSE)," ")</f>
        <v>PreVeo S.A.S.</v>
      </c>
      <c r="G54" s="605"/>
      <c r="H54" s="605"/>
      <c r="I54" s="605"/>
      <c r="J54" s="605"/>
      <c r="K54" s="605"/>
      <c r="L54" s="605"/>
      <c r="M54" s="605"/>
      <c r="N54" s="605"/>
      <c r="O54" s="606"/>
      <c r="P54" s="607" t="s">
        <v>26</v>
      </c>
      <c r="Q54" s="608"/>
      <c r="R54" s="609"/>
      <c r="S54" s="491">
        <f>5-(INT(COUNTBLANK(C57:C71))-10)</f>
        <v>5</v>
      </c>
      <c r="AA54" s="29"/>
      <c r="AB54" s="29"/>
      <c r="AC54" s="29"/>
      <c r="AD54" s="500"/>
      <c r="AE54" s="500"/>
      <c r="AF54" s="500"/>
      <c r="AG54" s="500"/>
    </row>
    <row r="55" spans="1:35" s="501" customFormat="1" ht="30" customHeight="1">
      <c r="B55" s="610" t="s">
        <v>27</v>
      </c>
      <c r="C55" s="596" t="s">
        <v>28</v>
      </c>
      <c r="D55" s="596" t="s">
        <v>29</v>
      </c>
      <c r="E55" s="596" t="s">
        <v>30</v>
      </c>
      <c r="F55" s="596" t="s">
        <v>31</v>
      </c>
      <c r="G55" s="596" t="s">
        <v>32</v>
      </c>
      <c r="H55" s="596" t="s">
        <v>33</v>
      </c>
      <c r="I55" s="596" t="s">
        <v>34</v>
      </c>
      <c r="J55" s="594" t="s">
        <v>35</v>
      </c>
      <c r="K55" s="612"/>
      <c r="L55" s="612"/>
      <c r="M55" s="595"/>
      <c r="N55" s="596" t="s">
        <v>36</v>
      </c>
      <c r="O55" s="596" t="s">
        <v>37</v>
      </c>
      <c r="P55" s="594" t="s">
        <v>38</v>
      </c>
      <c r="Q55" s="595"/>
      <c r="R55" s="596" t="s">
        <v>39</v>
      </c>
      <c r="S55" s="596" t="s">
        <v>40</v>
      </c>
      <c r="T55"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55" s="596" t="str">
        <f>+$U$11</f>
        <v xml:space="preserve">VERIFICACIÓN CONDICIÓN DE EXPERIENCIA  </v>
      </c>
      <c r="V55" s="504"/>
      <c r="W55" s="29"/>
      <c r="X55" s="29"/>
      <c r="Y55" s="29"/>
      <c r="Z55" s="29"/>
      <c r="AA55" s="29"/>
      <c r="AB55" s="29"/>
      <c r="AC55" s="29"/>
      <c r="AD55" s="500"/>
      <c r="AE55" s="500"/>
      <c r="AF55" s="500"/>
      <c r="AG55" s="500"/>
      <c r="AH55" s="13"/>
    </row>
    <row r="56" spans="1:35" s="501" customFormat="1" ht="81.75" customHeight="1">
      <c r="B56" s="611"/>
      <c r="C56" s="597"/>
      <c r="D56" s="597"/>
      <c r="E56" s="597"/>
      <c r="F56" s="597"/>
      <c r="G56" s="597"/>
      <c r="H56" s="597"/>
      <c r="I56" s="597"/>
      <c r="J56" s="598" t="s">
        <v>43</v>
      </c>
      <c r="K56" s="599"/>
      <c r="L56" s="599"/>
      <c r="M56" s="600"/>
      <c r="N56" s="597"/>
      <c r="O56" s="597"/>
      <c r="P56" s="493" t="s">
        <v>10</v>
      </c>
      <c r="Q56" s="493" t="s">
        <v>44</v>
      </c>
      <c r="R56" s="597"/>
      <c r="S56" s="597"/>
      <c r="T56" s="597"/>
      <c r="U56" s="597"/>
      <c r="V56" s="504"/>
      <c r="W56" s="29"/>
      <c r="X56" s="29"/>
      <c r="Y56" s="29"/>
      <c r="Z56" s="29"/>
      <c r="AA56" s="29"/>
      <c r="AB56" s="29"/>
      <c r="AC56" s="29"/>
      <c r="AD56" s="500"/>
      <c r="AE56" s="500"/>
      <c r="AF56" s="500"/>
      <c r="AG56" s="500"/>
      <c r="AH56" s="13"/>
    </row>
    <row r="57" spans="1:35" s="500" customFormat="1" ht="25" customHeight="1">
      <c r="A57" s="498"/>
      <c r="B57" s="546">
        <v>1</v>
      </c>
      <c r="C57" s="549">
        <v>6</v>
      </c>
      <c r="D57" s="549">
        <v>6</v>
      </c>
      <c r="E57" s="549" t="s">
        <v>268</v>
      </c>
      <c r="F57" s="549" t="s">
        <v>271</v>
      </c>
      <c r="G57" s="552">
        <v>1632.38</v>
      </c>
      <c r="H57" s="555" t="s">
        <v>274</v>
      </c>
      <c r="I57" s="558">
        <v>1</v>
      </c>
      <c r="J57" s="499" t="s">
        <v>290</v>
      </c>
      <c r="K57" s="57">
        <f>+$K$13</f>
        <v>801016</v>
      </c>
      <c r="L57" s="499"/>
      <c r="M57" s="57">
        <f>+$M$13</f>
        <v>0</v>
      </c>
      <c r="N57" s="561" t="s">
        <v>151</v>
      </c>
      <c r="O57" s="561" t="s">
        <v>294</v>
      </c>
      <c r="P57" s="564"/>
      <c r="Q57" s="544" t="s">
        <v>153</v>
      </c>
      <c r="R57" s="544" t="s">
        <v>295</v>
      </c>
      <c r="S57" s="568">
        <f t="shared" ref="S57" si="29">IF(COUNTIF(J57:K59,"CUMPLE")&gt;=1,(G57*I57),0)* (IF(N57="PRESENTÓ CERTIFICADO",1,0))* (IF(O57="ACORDE A ITEM 6.2.2.1 (T.R.)",1,0) )* ( IF(OR(Q57="SIN OBSERVACIÓN", Q57="REQUERIMIENTOS SUBSANADOS"),1,0)) *(IF(OR(R57="NINGUNO", R57="CUMPLEN CON LO SOLICITADO"),1,0))</f>
        <v>1632.38</v>
      </c>
      <c r="T57" s="591" t="s">
        <v>155</v>
      </c>
      <c r="U57" s="541">
        <f>IF(COUNTIF(J57:K59,"CUMPLE")&gt;=1,1,0)</f>
        <v>1</v>
      </c>
      <c r="W57" s="29"/>
      <c r="X57" s="29"/>
      <c r="Y57" s="29"/>
      <c r="Z57" s="29"/>
      <c r="AD57" s="13"/>
      <c r="AE57" s="13"/>
      <c r="AF57" s="13"/>
      <c r="AG57" s="13"/>
      <c r="AH57" s="13"/>
      <c r="AI57" s="13"/>
    </row>
    <row r="58" spans="1:35" s="500" customFormat="1" ht="25" customHeight="1">
      <c r="A58" s="498"/>
      <c r="B58" s="547"/>
      <c r="C58" s="550"/>
      <c r="D58" s="550"/>
      <c r="E58" s="550"/>
      <c r="F58" s="550"/>
      <c r="G58" s="553"/>
      <c r="H58" s="556"/>
      <c r="I58" s="559"/>
      <c r="J58" s="499" t="s">
        <v>147</v>
      </c>
      <c r="K58" s="57">
        <f>+$K$14</f>
        <v>811015</v>
      </c>
      <c r="L58" s="542"/>
      <c r="M58" s="544">
        <f>+$M$14</f>
        <v>0</v>
      </c>
      <c r="N58" s="562"/>
      <c r="O58" s="562"/>
      <c r="P58" s="565"/>
      <c r="Q58" s="567"/>
      <c r="R58" s="567"/>
      <c r="S58" s="569"/>
      <c r="T58" s="592"/>
      <c r="U58" s="541"/>
      <c r="W58" s="29"/>
      <c r="X58" s="29"/>
      <c r="Y58" s="29"/>
      <c r="Z58" s="29"/>
      <c r="AD58" s="13"/>
      <c r="AE58" s="13"/>
      <c r="AF58" s="13"/>
      <c r="AG58" s="13"/>
      <c r="AH58" s="13"/>
      <c r="AI58" s="13"/>
    </row>
    <row r="59" spans="1:35" s="500" customFormat="1" ht="25" customHeight="1">
      <c r="A59" s="498"/>
      <c r="B59" s="548"/>
      <c r="C59" s="551"/>
      <c r="D59" s="551"/>
      <c r="E59" s="551"/>
      <c r="F59" s="551"/>
      <c r="G59" s="554"/>
      <c r="H59" s="557"/>
      <c r="I59" s="560"/>
      <c r="J59" s="499" t="s">
        <v>290</v>
      </c>
      <c r="K59" s="57">
        <f>+$K$15</f>
        <v>841116</v>
      </c>
      <c r="L59" s="543"/>
      <c r="M59" s="545"/>
      <c r="N59" s="563"/>
      <c r="O59" s="563"/>
      <c r="P59" s="566"/>
      <c r="Q59" s="545"/>
      <c r="R59" s="545"/>
      <c r="S59" s="570"/>
      <c r="T59" s="592"/>
      <c r="U59" s="541"/>
      <c r="W59" s="29"/>
      <c r="X59" s="29"/>
      <c r="Y59" s="29"/>
      <c r="Z59" s="29"/>
      <c r="AD59" s="13"/>
      <c r="AE59" s="13"/>
      <c r="AF59" s="13"/>
      <c r="AG59" s="13"/>
      <c r="AH59" s="13"/>
      <c r="AI59" s="13"/>
    </row>
    <row r="60" spans="1:35" s="500" customFormat="1" ht="25" customHeight="1">
      <c r="A60" s="498"/>
      <c r="B60" s="546">
        <v>2</v>
      </c>
      <c r="C60" s="571">
        <v>7</v>
      </c>
      <c r="D60" s="571">
        <v>7</v>
      </c>
      <c r="E60" s="571" t="s">
        <v>269</v>
      </c>
      <c r="F60" s="571" t="s">
        <v>271</v>
      </c>
      <c r="G60" s="574">
        <v>1489.39</v>
      </c>
      <c r="H60" s="555" t="s">
        <v>274</v>
      </c>
      <c r="I60" s="577">
        <v>1</v>
      </c>
      <c r="J60" s="499" t="s">
        <v>290</v>
      </c>
      <c r="K60" s="57">
        <f>+$K$13</f>
        <v>801016</v>
      </c>
      <c r="L60" s="499"/>
      <c r="M60" s="57">
        <f>+$M$13</f>
        <v>0</v>
      </c>
      <c r="N60" s="561" t="s">
        <v>151</v>
      </c>
      <c r="O60" s="561" t="s">
        <v>294</v>
      </c>
      <c r="P60" s="564"/>
      <c r="Q60" s="544" t="s">
        <v>153</v>
      </c>
      <c r="R60" s="544" t="s">
        <v>295</v>
      </c>
      <c r="S60" s="568">
        <f t="shared" ref="S60" si="30">IF(COUNTIF(J60:K62,"CUMPLE")&gt;=1,(G60*I60),0)* (IF(N60="PRESENTÓ CERTIFICADO",1,0))* (IF(O60="ACORDE A ITEM 6.2.2.1 (T.R.)",1,0) )* ( IF(OR(Q60="SIN OBSERVACIÓN", Q60="REQUERIMIENTOS SUBSANADOS"),1,0)) *(IF(OR(R60="NINGUNO", R60="CUMPLEN CON LO SOLICITADO"),1,0))</f>
        <v>1489.39</v>
      </c>
      <c r="T60" s="592"/>
      <c r="U60" s="541">
        <f t="shared" ref="U60:U69" si="31">IF(COUNTIF(J60:K62,"CUMPLE")&gt;=1,1,0)</f>
        <v>1</v>
      </c>
      <c r="W60" s="29"/>
      <c r="X60" s="29"/>
      <c r="Y60" s="29"/>
      <c r="Z60" s="29"/>
      <c r="AD60" s="13"/>
      <c r="AE60" s="13"/>
      <c r="AF60" s="13"/>
      <c r="AG60" s="13"/>
      <c r="AH60" s="13"/>
      <c r="AI60" s="13"/>
    </row>
    <row r="61" spans="1:35" s="500" customFormat="1" ht="25" customHeight="1">
      <c r="A61" s="498"/>
      <c r="B61" s="547"/>
      <c r="C61" s="572"/>
      <c r="D61" s="572"/>
      <c r="E61" s="572"/>
      <c r="F61" s="572"/>
      <c r="G61" s="575"/>
      <c r="H61" s="556"/>
      <c r="I61" s="578"/>
      <c r="J61" s="499" t="s">
        <v>147</v>
      </c>
      <c r="K61" s="57">
        <f>+$K$14</f>
        <v>811015</v>
      </c>
      <c r="L61" s="542"/>
      <c r="M61" s="544">
        <f>+$M$14</f>
        <v>0</v>
      </c>
      <c r="N61" s="562"/>
      <c r="O61" s="562"/>
      <c r="P61" s="565"/>
      <c r="Q61" s="567"/>
      <c r="R61" s="567"/>
      <c r="S61" s="569"/>
      <c r="T61" s="592"/>
      <c r="U61" s="541"/>
      <c r="W61" s="29"/>
      <c r="X61" s="29"/>
      <c r="Y61" s="29"/>
      <c r="Z61" s="29"/>
      <c r="AD61" s="13"/>
      <c r="AE61" s="13"/>
      <c r="AF61" s="13"/>
      <c r="AG61" s="13"/>
      <c r="AH61" s="13"/>
      <c r="AI61" s="13"/>
    </row>
    <row r="62" spans="1:35" s="500" customFormat="1" ht="25" customHeight="1">
      <c r="A62" s="498"/>
      <c r="B62" s="548"/>
      <c r="C62" s="573"/>
      <c r="D62" s="573"/>
      <c r="E62" s="573"/>
      <c r="F62" s="573"/>
      <c r="G62" s="576"/>
      <c r="H62" s="557"/>
      <c r="I62" s="579"/>
      <c r="J62" s="499" t="s">
        <v>290</v>
      </c>
      <c r="K62" s="57">
        <f>+$K$15</f>
        <v>841116</v>
      </c>
      <c r="L62" s="543"/>
      <c r="M62" s="545"/>
      <c r="N62" s="563"/>
      <c r="O62" s="563"/>
      <c r="P62" s="566"/>
      <c r="Q62" s="545"/>
      <c r="R62" s="545"/>
      <c r="S62" s="570"/>
      <c r="T62" s="592"/>
      <c r="U62" s="541"/>
      <c r="W62" s="29"/>
      <c r="X62" s="29"/>
      <c r="Y62" s="29"/>
      <c r="Z62" s="29"/>
      <c r="AD62" s="13"/>
      <c r="AE62" s="13"/>
      <c r="AF62" s="13"/>
      <c r="AG62" s="13"/>
      <c r="AH62" s="13"/>
      <c r="AI62" s="13"/>
    </row>
    <row r="63" spans="1:35" s="500" customFormat="1" ht="25" customHeight="1">
      <c r="A63" s="498"/>
      <c r="B63" s="546">
        <v>3</v>
      </c>
      <c r="C63" s="549">
        <v>49</v>
      </c>
      <c r="D63" s="549">
        <v>18</v>
      </c>
      <c r="E63" s="549"/>
      <c r="F63" s="549" t="s">
        <v>291</v>
      </c>
      <c r="G63" s="552">
        <v>1286.9100000000001</v>
      </c>
      <c r="H63" s="555" t="s">
        <v>274</v>
      </c>
      <c r="I63" s="558">
        <v>1</v>
      </c>
      <c r="J63" s="499" t="s">
        <v>290</v>
      </c>
      <c r="K63" s="57">
        <f>+$K$13</f>
        <v>801016</v>
      </c>
      <c r="L63" s="499"/>
      <c r="M63" s="57">
        <f>+$M$13</f>
        <v>0</v>
      </c>
      <c r="N63" s="561" t="s">
        <v>151</v>
      </c>
      <c r="O63" s="561" t="s">
        <v>294</v>
      </c>
      <c r="P63" s="564"/>
      <c r="Q63" s="544" t="s">
        <v>153</v>
      </c>
      <c r="R63" s="544" t="s">
        <v>295</v>
      </c>
      <c r="S63" s="568">
        <f t="shared" ref="S63" si="32">IF(COUNTIF(J63:K65,"CUMPLE")&gt;=1,(G63*I63),0)* (IF(N63="PRESENTÓ CERTIFICADO",1,0))* (IF(O63="ACORDE A ITEM 6.2.2.1 (T.R.)",1,0) )* ( IF(OR(Q63="SIN OBSERVACIÓN", Q63="REQUERIMIENTOS SUBSANADOS"),1,0)) *(IF(OR(R63="NINGUNO", R63="CUMPLEN CON LO SOLICITADO"),1,0))</f>
        <v>1286.9100000000001</v>
      </c>
      <c r="T63" s="592"/>
      <c r="U63" s="541">
        <f t="shared" si="31"/>
        <v>1</v>
      </c>
      <c r="W63" s="29"/>
      <c r="X63" s="29"/>
      <c r="Y63" s="29"/>
      <c r="Z63" s="29"/>
      <c r="AA63" s="13"/>
      <c r="AB63" s="13"/>
      <c r="AC63" s="13"/>
      <c r="AD63" s="13"/>
      <c r="AE63" s="13"/>
      <c r="AF63" s="13"/>
      <c r="AG63" s="13"/>
      <c r="AH63" s="13"/>
      <c r="AI63" s="13"/>
    </row>
    <row r="64" spans="1:35" s="500" customFormat="1" ht="25" customHeight="1">
      <c r="A64" s="498"/>
      <c r="B64" s="547"/>
      <c r="C64" s="550"/>
      <c r="D64" s="550"/>
      <c r="E64" s="550"/>
      <c r="F64" s="550"/>
      <c r="G64" s="553"/>
      <c r="H64" s="556"/>
      <c r="I64" s="559"/>
      <c r="J64" s="499" t="s">
        <v>147</v>
      </c>
      <c r="K64" s="57">
        <f>+$K$14</f>
        <v>811015</v>
      </c>
      <c r="L64" s="542"/>
      <c r="M64" s="544">
        <f>+$M$14</f>
        <v>0</v>
      </c>
      <c r="N64" s="562"/>
      <c r="O64" s="562"/>
      <c r="P64" s="565"/>
      <c r="Q64" s="567"/>
      <c r="R64" s="567"/>
      <c r="S64" s="569"/>
      <c r="T64" s="592"/>
      <c r="U64" s="541"/>
      <c r="W64" s="29"/>
      <c r="X64" s="29"/>
      <c r="Y64" s="29"/>
      <c r="Z64" s="29"/>
      <c r="AH64" s="13"/>
      <c r="AI64" s="13"/>
    </row>
    <row r="65" spans="1:35" s="500" customFormat="1" ht="22.5" customHeight="1">
      <c r="A65" s="498"/>
      <c r="B65" s="548"/>
      <c r="C65" s="551"/>
      <c r="D65" s="551"/>
      <c r="E65" s="551"/>
      <c r="F65" s="551"/>
      <c r="G65" s="554"/>
      <c r="H65" s="557"/>
      <c r="I65" s="560"/>
      <c r="J65" s="499" t="s">
        <v>290</v>
      </c>
      <c r="K65" s="57">
        <f>+$K$15</f>
        <v>841116</v>
      </c>
      <c r="L65" s="543"/>
      <c r="M65" s="545"/>
      <c r="N65" s="563"/>
      <c r="O65" s="563"/>
      <c r="P65" s="566"/>
      <c r="Q65" s="545"/>
      <c r="R65" s="545"/>
      <c r="S65" s="570"/>
      <c r="T65" s="592"/>
      <c r="U65" s="541"/>
      <c r="W65" s="29"/>
      <c r="X65" s="29"/>
      <c r="Y65" s="29"/>
      <c r="Z65" s="29"/>
    </row>
    <row r="66" spans="1:35" s="500" customFormat="1" ht="25" customHeight="1">
      <c r="A66" s="498"/>
      <c r="B66" s="546">
        <v>4</v>
      </c>
      <c r="C66" s="571">
        <v>52</v>
      </c>
      <c r="D66" s="571">
        <v>19</v>
      </c>
      <c r="E66" s="571" t="s">
        <v>270</v>
      </c>
      <c r="F66" s="571" t="s">
        <v>272</v>
      </c>
      <c r="G66" s="574">
        <v>422.7</v>
      </c>
      <c r="H66" s="555" t="s">
        <v>274</v>
      </c>
      <c r="I66" s="577">
        <v>1</v>
      </c>
      <c r="J66" s="499" t="s">
        <v>290</v>
      </c>
      <c r="K66" s="57">
        <f>+$K$13</f>
        <v>801016</v>
      </c>
      <c r="L66" s="499"/>
      <c r="M66" s="57">
        <f>+$M$13</f>
        <v>0</v>
      </c>
      <c r="N66" s="561" t="s">
        <v>151</v>
      </c>
      <c r="O66" s="561" t="s">
        <v>294</v>
      </c>
      <c r="P66" s="564"/>
      <c r="Q66" s="544" t="s">
        <v>153</v>
      </c>
      <c r="R66" s="544" t="s">
        <v>295</v>
      </c>
      <c r="S66" s="568">
        <f t="shared" ref="S66" si="33">IF(COUNTIF(J66:K68,"CUMPLE")&gt;=1,(G66*I66),0)* (IF(N66="PRESENTÓ CERTIFICADO",1,0))* (IF(O66="ACORDE A ITEM 6.2.2.1 (T.R.)",1,0) )* ( IF(OR(Q66="SIN OBSERVACIÓN", Q66="REQUERIMIENTOS SUBSANADOS"),1,0)) *(IF(OR(R66="NINGUNO", R66="CUMPLEN CON LO SOLICITADO"),1,0))</f>
        <v>422.7</v>
      </c>
      <c r="T66" s="592"/>
      <c r="U66" s="541">
        <f t="shared" si="31"/>
        <v>1</v>
      </c>
      <c r="W66" s="29"/>
      <c r="X66" s="29"/>
      <c r="Y66" s="29"/>
      <c r="Z66" s="29"/>
      <c r="AA66" s="13"/>
      <c r="AB66" s="13"/>
      <c r="AC66" s="13"/>
      <c r="AD66" s="13"/>
      <c r="AE66" s="13"/>
      <c r="AF66" s="13"/>
      <c r="AG66" s="13"/>
    </row>
    <row r="67" spans="1:35" s="500" customFormat="1" ht="25" customHeight="1">
      <c r="A67" s="498"/>
      <c r="B67" s="547"/>
      <c r="C67" s="572"/>
      <c r="D67" s="572"/>
      <c r="E67" s="572"/>
      <c r="F67" s="572"/>
      <c r="G67" s="575"/>
      <c r="H67" s="556"/>
      <c r="I67" s="578"/>
      <c r="J67" s="499" t="s">
        <v>147</v>
      </c>
      <c r="K67" s="57">
        <f>+$K$14</f>
        <v>811015</v>
      </c>
      <c r="L67" s="542"/>
      <c r="M67" s="544">
        <f>+$M$14</f>
        <v>0</v>
      </c>
      <c r="N67" s="562"/>
      <c r="O67" s="562"/>
      <c r="P67" s="565"/>
      <c r="Q67" s="567"/>
      <c r="R67" s="567"/>
      <c r="S67" s="569"/>
      <c r="T67" s="592"/>
      <c r="U67" s="541"/>
      <c r="W67" s="29"/>
      <c r="X67" s="29"/>
      <c r="Y67" s="29"/>
      <c r="Z67" s="29"/>
      <c r="AA67" s="13"/>
      <c r="AB67" s="13"/>
      <c r="AC67" s="13"/>
      <c r="AD67" s="13"/>
      <c r="AE67" s="13"/>
      <c r="AF67" s="13"/>
      <c r="AG67" s="13"/>
    </row>
    <row r="68" spans="1:35" s="500" customFormat="1" ht="25" customHeight="1">
      <c r="A68" s="498"/>
      <c r="B68" s="548"/>
      <c r="C68" s="573"/>
      <c r="D68" s="573"/>
      <c r="E68" s="573"/>
      <c r="F68" s="573"/>
      <c r="G68" s="576"/>
      <c r="H68" s="557"/>
      <c r="I68" s="579"/>
      <c r="J68" s="499" t="s">
        <v>290</v>
      </c>
      <c r="K68" s="57">
        <f>+$K$15</f>
        <v>841116</v>
      </c>
      <c r="L68" s="543"/>
      <c r="M68" s="545"/>
      <c r="N68" s="563"/>
      <c r="O68" s="563"/>
      <c r="P68" s="566"/>
      <c r="Q68" s="545"/>
      <c r="R68" s="545"/>
      <c r="S68" s="570"/>
      <c r="T68" s="592"/>
      <c r="U68" s="541"/>
      <c r="W68" s="29"/>
      <c r="X68" s="29"/>
      <c r="Y68" s="29"/>
      <c r="Z68" s="29"/>
      <c r="AA68" s="29"/>
      <c r="AB68" s="29"/>
      <c r="AC68" s="29"/>
      <c r="AD68" s="501"/>
      <c r="AE68" s="501"/>
      <c r="AF68" s="501"/>
      <c r="AG68" s="501"/>
    </row>
    <row r="69" spans="1:35" s="500" customFormat="1" ht="25" customHeight="1">
      <c r="A69" s="498"/>
      <c r="B69" s="546">
        <v>5</v>
      </c>
      <c r="C69" s="549">
        <v>56</v>
      </c>
      <c r="D69" s="549">
        <v>20</v>
      </c>
      <c r="E69" s="549"/>
      <c r="F69" s="549" t="s">
        <v>273</v>
      </c>
      <c r="G69" s="552">
        <v>408.15</v>
      </c>
      <c r="H69" s="555" t="s">
        <v>274</v>
      </c>
      <c r="I69" s="558">
        <v>1</v>
      </c>
      <c r="J69" s="499" t="s">
        <v>290</v>
      </c>
      <c r="K69" s="57">
        <f>+$K$13</f>
        <v>801016</v>
      </c>
      <c r="L69" s="499"/>
      <c r="M69" s="57">
        <f>+$M$13</f>
        <v>0</v>
      </c>
      <c r="N69" s="561" t="s">
        <v>151</v>
      </c>
      <c r="O69" s="561" t="s">
        <v>294</v>
      </c>
      <c r="P69" s="564"/>
      <c r="Q69" s="544" t="s">
        <v>153</v>
      </c>
      <c r="R69" s="544" t="s">
        <v>295</v>
      </c>
      <c r="S69" s="568">
        <f t="shared" ref="S69" si="34">IF(COUNTIF(J69:K71,"CUMPLE")&gt;=1,(G69*I69),0)* (IF(N69="PRESENTÓ CERTIFICADO",1,0))* (IF(O69="ACORDE A ITEM 6.2.2.1 (T.R.)",1,0) )* ( IF(OR(Q69="SIN OBSERVACIÓN", Q69="REQUERIMIENTOS SUBSANADOS"),1,0)) *(IF(OR(R69="NINGUNO", R69="CUMPLEN CON LO SOLICITADO"),1,0))</f>
        <v>408.15</v>
      </c>
      <c r="T69" s="592"/>
      <c r="U69" s="541">
        <f t="shared" si="31"/>
        <v>1</v>
      </c>
      <c r="W69" s="29"/>
      <c r="X69" s="29"/>
      <c r="Y69" s="29"/>
      <c r="Z69" s="29"/>
      <c r="AA69" s="29"/>
      <c r="AB69" s="29"/>
      <c r="AC69" s="29"/>
      <c r="AD69" s="501"/>
      <c r="AE69" s="501"/>
      <c r="AF69" s="501"/>
      <c r="AG69" s="501"/>
    </row>
    <row r="70" spans="1:35" s="500" customFormat="1" ht="25" customHeight="1">
      <c r="A70" s="498"/>
      <c r="B70" s="547"/>
      <c r="C70" s="550"/>
      <c r="D70" s="550"/>
      <c r="E70" s="550"/>
      <c r="F70" s="550"/>
      <c r="G70" s="553"/>
      <c r="H70" s="556"/>
      <c r="I70" s="559"/>
      <c r="J70" s="499" t="s">
        <v>147</v>
      </c>
      <c r="K70" s="57">
        <f>+$K$14</f>
        <v>811015</v>
      </c>
      <c r="L70" s="542"/>
      <c r="M70" s="544">
        <f>+$M$14</f>
        <v>0</v>
      </c>
      <c r="N70" s="562"/>
      <c r="O70" s="562"/>
      <c r="P70" s="565"/>
      <c r="Q70" s="567"/>
      <c r="R70" s="567"/>
      <c r="S70" s="569"/>
      <c r="T70" s="592"/>
      <c r="U70" s="541"/>
      <c r="W70" s="29"/>
      <c r="X70" s="29"/>
      <c r="Y70" s="29"/>
      <c r="Z70" s="29"/>
      <c r="AA70" s="29"/>
      <c r="AB70" s="29"/>
      <c r="AC70" s="29"/>
    </row>
    <row r="71" spans="1:35" s="500" customFormat="1" ht="25" customHeight="1">
      <c r="A71" s="498"/>
      <c r="B71" s="548"/>
      <c r="C71" s="551"/>
      <c r="D71" s="551"/>
      <c r="E71" s="551"/>
      <c r="F71" s="551"/>
      <c r="G71" s="554"/>
      <c r="H71" s="557"/>
      <c r="I71" s="560"/>
      <c r="J71" s="499" t="s">
        <v>290</v>
      </c>
      <c r="K71" s="57">
        <f>+$K$15</f>
        <v>841116</v>
      </c>
      <c r="L71" s="543"/>
      <c r="M71" s="545"/>
      <c r="N71" s="563"/>
      <c r="O71" s="563"/>
      <c r="P71" s="566"/>
      <c r="Q71" s="545"/>
      <c r="R71" s="545"/>
      <c r="S71" s="570"/>
      <c r="T71" s="593"/>
      <c r="U71" s="541"/>
      <c r="W71" s="29"/>
      <c r="X71" s="29"/>
      <c r="Y71" s="29"/>
      <c r="Z71" s="29"/>
      <c r="AA71" s="29"/>
      <c r="AB71" s="29"/>
      <c r="AC71" s="29"/>
    </row>
    <row r="72" spans="1:35" ht="25" customHeight="1">
      <c r="A72" s="13"/>
      <c r="B72" s="580" t="str">
        <f>IF(S73=" "," ",IF(S73&gt;=$H$6,"CUMPLE CON LA EXPERIENCIA REQUERIDA","NO CUMPLE CON LA EXPERIENCIA REQUERIDA"))</f>
        <v>CUMPLE CON LA EXPERIENCIA REQUERIDA</v>
      </c>
      <c r="C72" s="581"/>
      <c r="D72" s="581"/>
      <c r="E72" s="581"/>
      <c r="F72" s="581"/>
      <c r="G72" s="581"/>
      <c r="H72" s="581"/>
      <c r="I72" s="581"/>
      <c r="J72" s="581"/>
      <c r="K72" s="581"/>
      <c r="L72" s="581"/>
      <c r="M72" s="581"/>
      <c r="N72" s="581"/>
      <c r="O72" s="582"/>
      <c r="P72" s="586" t="s">
        <v>46</v>
      </c>
      <c r="Q72" s="587"/>
      <c r="R72" s="588"/>
      <c r="S72" s="503">
        <f>IF(T57="SI",SUM(S57:S71),0)</f>
        <v>5239.53</v>
      </c>
      <c r="T72" s="589" t="str">
        <f>IF(S73=" "," ",IF(S73&gt;=$H$6,"CUMPLE","NO CUMPLE"))</f>
        <v>CUMPLE</v>
      </c>
      <c r="AA72" s="29"/>
      <c r="AB72" s="29"/>
      <c r="AC72" s="29"/>
      <c r="AD72" s="500"/>
      <c r="AE72" s="500"/>
      <c r="AF72" s="500"/>
      <c r="AG72" s="500"/>
      <c r="AH72" s="500"/>
    </row>
    <row r="73" spans="1:35" s="500" customFormat="1" ht="25" customHeight="1">
      <c r="B73" s="583"/>
      <c r="C73" s="584"/>
      <c r="D73" s="584"/>
      <c r="E73" s="584"/>
      <c r="F73" s="584"/>
      <c r="G73" s="584"/>
      <c r="H73" s="584"/>
      <c r="I73" s="584"/>
      <c r="J73" s="584"/>
      <c r="K73" s="584"/>
      <c r="L73" s="584"/>
      <c r="M73" s="584"/>
      <c r="N73" s="584"/>
      <c r="O73" s="585"/>
      <c r="P73" s="586" t="s">
        <v>47</v>
      </c>
      <c r="Q73" s="587"/>
      <c r="R73" s="588"/>
      <c r="S73" s="503">
        <f>IFERROR((S72/$P$6)," ")</f>
        <v>7.0804459459459457</v>
      </c>
      <c r="T73" s="590"/>
      <c r="W73" s="29"/>
      <c r="X73" s="29"/>
      <c r="Y73" s="29"/>
      <c r="Z73" s="29"/>
      <c r="AA73" s="29"/>
      <c r="AB73" s="29"/>
      <c r="AC73" s="29"/>
    </row>
    <row r="74" spans="1:35" ht="30" customHeight="1">
      <c r="AA74" s="29"/>
      <c r="AB74" s="29"/>
      <c r="AC74" s="29"/>
      <c r="AD74" s="500"/>
      <c r="AE74" s="500"/>
      <c r="AF74" s="500"/>
      <c r="AG74" s="500"/>
    </row>
    <row r="75" spans="1:35" ht="30" customHeight="1">
      <c r="AA75" s="29"/>
      <c r="AB75" s="29"/>
      <c r="AC75" s="29"/>
      <c r="AD75" s="500"/>
      <c r="AE75" s="500"/>
      <c r="AF75" s="500"/>
      <c r="AG75" s="500"/>
      <c r="AH75" s="500"/>
    </row>
    <row r="76" spans="1:35" ht="62.25" customHeight="1">
      <c r="B76" s="465">
        <v>4</v>
      </c>
      <c r="C76" s="601" t="str">
        <f>+C54</f>
        <v xml:space="preserve">EXPERIENCIA GENERAL </v>
      </c>
      <c r="D76" s="602"/>
      <c r="E76" s="603"/>
      <c r="F76" s="604" t="str">
        <f>IFERROR(VLOOKUP(B76,LISTA_OFERENTES,2,FALSE)," ")</f>
        <v>INTERVE S.A.S.</v>
      </c>
      <c r="G76" s="605"/>
      <c r="H76" s="605"/>
      <c r="I76" s="605"/>
      <c r="J76" s="605"/>
      <c r="K76" s="605"/>
      <c r="L76" s="605"/>
      <c r="M76" s="605"/>
      <c r="N76" s="605"/>
      <c r="O76" s="606"/>
      <c r="P76" s="607" t="s">
        <v>26</v>
      </c>
      <c r="Q76" s="608"/>
      <c r="R76" s="609"/>
      <c r="S76" s="491">
        <f>5-(INT(COUNTBLANK(C79:C93))-10)</f>
        <v>5</v>
      </c>
      <c r="AA76" s="29"/>
      <c r="AB76" s="29"/>
      <c r="AC76" s="29"/>
      <c r="AD76" s="500"/>
      <c r="AE76" s="500"/>
      <c r="AF76" s="500"/>
      <c r="AG76" s="500"/>
    </row>
    <row r="77" spans="1:35" s="501" customFormat="1" ht="30" customHeight="1">
      <c r="B77" s="610" t="s">
        <v>27</v>
      </c>
      <c r="C77" s="596" t="s">
        <v>28</v>
      </c>
      <c r="D77" s="596" t="s">
        <v>29</v>
      </c>
      <c r="E77" s="596" t="s">
        <v>30</v>
      </c>
      <c r="F77" s="596" t="s">
        <v>31</v>
      </c>
      <c r="G77" s="596" t="s">
        <v>32</v>
      </c>
      <c r="H77" s="596" t="s">
        <v>33</v>
      </c>
      <c r="I77" s="596" t="s">
        <v>34</v>
      </c>
      <c r="J77" s="594" t="s">
        <v>35</v>
      </c>
      <c r="K77" s="612"/>
      <c r="L77" s="612"/>
      <c r="M77" s="595"/>
      <c r="N77" s="596" t="s">
        <v>36</v>
      </c>
      <c r="O77" s="596" t="s">
        <v>37</v>
      </c>
      <c r="P77" s="594" t="s">
        <v>38</v>
      </c>
      <c r="Q77" s="595"/>
      <c r="R77" s="596" t="s">
        <v>39</v>
      </c>
      <c r="S77" s="596" t="s">
        <v>40</v>
      </c>
      <c r="T77"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77" s="596" t="str">
        <f>+$U$11</f>
        <v xml:space="preserve">VERIFICACIÓN CONDICIÓN DE EXPERIENCIA  </v>
      </c>
      <c r="V77" s="504"/>
      <c r="W77" s="29"/>
      <c r="X77" s="29"/>
      <c r="Y77" s="29"/>
      <c r="Z77" s="29"/>
      <c r="AA77" s="29"/>
      <c r="AB77" s="29"/>
      <c r="AC77" s="29"/>
      <c r="AD77" s="500"/>
      <c r="AE77" s="500"/>
      <c r="AF77" s="500"/>
      <c r="AG77" s="500"/>
      <c r="AH77" s="13"/>
    </row>
    <row r="78" spans="1:35" s="501" customFormat="1" ht="105.75" customHeight="1">
      <c r="B78" s="611"/>
      <c r="C78" s="597"/>
      <c r="D78" s="597"/>
      <c r="E78" s="597"/>
      <c r="F78" s="597"/>
      <c r="G78" s="597"/>
      <c r="H78" s="597"/>
      <c r="I78" s="597"/>
      <c r="J78" s="598" t="s">
        <v>43</v>
      </c>
      <c r="K78" s="599"/>
      <c r="L78" s="599"/>
      <c r="M78" s="600"/>
      <c r="N78" s="597"/>
      <c r="O78" s="597"/>
      <c r="P78" s="493" t="s">
        <v>10</v>
      </c>
      <c r="Q78" s="493" t="s">
        <v>44</v>
      </c>
      <c r="R78" s="597"/>
      <c r="S78" s="597"/>
      <c r="T78" s="597"/>
      <c r="U78" s="597"/>
      <c r="V78" s="504"/>
      <c r="W78" s="29"/>
      <c r="X78" s="29"/>
      <c r="Y78" s="29"/>
      <c r="Z78" s="29"/>
      <c r="AA78" s="29"/>
      <c r="AB78" s="29"/>
      <c r="AC78" s="29"/>
      <c r="AD78" s="500"/>
      <c r="AE78" s="500"/>
      <c r="AF78" s="500"/>
      <c r="AG78" s="500"/>
      <c r="AH78" s="13"/>
    </row>
    <row r="79" spans="1:35" s="500" customFormat="1" ht="25" customHeight="1">
      <c r="A79" s="498"/>
      <c r="B79" s="546">
        <v>1</v>
      </c>
      <c r="C79" s="549">
        <v>4</v>
      </c>
      <c r="D79" s="549">
        <v>54</v>
      </c>
      <c r="E79" s="613">
        <v>40969</v>
      </c>
      <c r="F79" s="549" t="s">
        <v>282</v>
      </c>
      <c r="G79" s="552">
        <v>5803.53</v>
      </c>
      <c r="H79" s="555" t="s">
        <v>274</v>
      </c>
      <c r="I79" s="558">
        <v>1</v>
      </c>
      <c r="J79" s="499" t="s">
        <v>147</v>
      </c>
      <c r="K79" s="57">
        <f>+$K$13</f>
        <v>801016</v>
      </c>
      <c r="L79" s="499"/>
      <c r="M79" s="57">
        <f>+$M$13</f>
        <v>0</v>
      </c>
      <c r="N79" s="561" t="s">
        <v>151</v>
      </c>
      <c r="O79" s="561" t="s">
        <v>294</v>
      </c>
      <c r="P79" s="564"/>
      <c r="Q79" s="544" t="s">
        <v>153</v>
      </c>
      <c r="R79" s="544" t="s">
        <v>295</v>
      </c>
      <c r="S79" s="568">
        <f t="shared" ref="S79" si="35">IF(COUNTIF(J79:K81,"CUMPLE")&gt;=1,(G79*I79),0)* (IF(N79="PRESENTÓ CERTIFICADO",1,0))* (IF(O79="ACORDE A ITEM 6.2.2.1 (T.R.)",1,0) )* ( IF(OR(Q79="SIN OBSERVACIÓN", Q79="REQUERIMIENTOS SUBSANADOS"),1,0)) *(IF(OR(R79="NINGUNO", R79="CUMPLEN CON LO SOLICITADO"),1,0))</f>
        <v>5803.53</v>
      </c>
      <c r="T79" s="591" t="s">
        <v>155</v>
      </c>
      <c r="U79" s="541">
        <f t="shared" ref="U79:U91" si="36">IF(COUNTIF(J79:K81,"CUMPLE")&gt;=1,1,0)</f>
        <v>1</v>
      </c>
      <c r="W79" s="29"/>
      <c r="X79" s="29"/>
      <c r="Y79" s="29"/>
      <c r="Z79" s="29"/>
      <c r="AD79" s="13"/>
      <c r="AE79" s="13"/>
      <c r="AF79" s="13"/>
      <c r="AG79" s="13"/>
      <c r="AH79" s="13"/>
      <c r="AI79" s="13"/>
    </row>
    <row r="80" spans="1:35" s="500" customFormat="1" ht="25" customHeight="1">
      <c r="A80" s="498"/>
      <c r="B80" s="547"/>
      <c r="C80" s="550"/>
      <c r="D80" s="550"/>
      <c r="E80" s="550"/>
      <c r="F80" s="550"/>
      <c r="G80" s="553"/>
      <c r="H80" s="556"/>
      <c r="I80" s="559"/>
      <c r="J80" s="499" t="s">
        <v>147</v>
      </c>
      <c r="K80" s="57">
        <f>+$K$14</f>
        <v>811015</v>
      </c>
      <c r="L80" s="542"/>
      <c r="M80" s="544">
        <f>+$M$14</f>
        <v>0</v>
      </c>
      <c r="N80" s="562"/>
      <c r="O80" s="562"/>
      <c r="P80" s="565"/>
      <c r="Q80" s="567"/>
      <c r="R80" s="567"/>
      <c r="S80" s="569"/>
      <c r="T80" s="592"/>
      <c r="U80" s="541"/>
      <c r="W80" s="29"/>
      <c r="X80" s="29"/>
      <c r="Y80" s="29"/>
      <c r="Z80" s="29"/>
      <c r="AD80" s="13"/>
      <c r="AE80" s="13"/>
      <c r="AF80" s="13"/>
      <c r="AG80" s="13"/>
      <c r="AH80" s="13"/>
      <c r="AI80" s="13"/>
    </row>
    <row r="81" spans="1:35" s="500" customFormat="1" ht="25" customHeight="1">
      <c r="A81" s="498"/>
      <c r="B81" s="548"/>
      <c r="C81" s="551"/>
      <c r="D81" s="551"/>
      <c r="E81" s="551"/>
      <c r="F81" s="551"/>
      <c r="G81" s="554"/>
      <c r="H81" s="557"/>
      <c r="I81" s="560"/>
      <c r="J81" s="499" t="s">
        <v>290</v>
      </c>
      <c r="K81" s="57">
        <f>+$K$15</f>
        <v>841116</v>
      </c>
      <c r="L81" s="543"/>
      <c r="M81" s="545"/>
      <c r="N81" s="563"/>
      <c r="O81" s="563"/>
      <c r="P81" s="566"/>
      <c r="Q81" s="545"/>
      <c r="R81" s="545"/>
      <c r="S81" s="570"/>
      <c r="T81" s="592"/>
      <c r="U81" s="541"/>
      <c r="W81" s="29"/>
      <c r="X81" s="29"/>
      <c r="Y81" s="29"/>
      <c r="Z81" s="29"/>
      <c r="AD81" s="13"/>
      <c r="AE81" s="13"/>
      <c r="AF81" s="13"/>
      <c r="AG81" s="13"/>
      <c r="AH81" s="13"/>
      <c r="AI81" s="13"/>
    </row>
    <row r="82" spans="1:35" s="500" customFormat="1" ht="25" customHeight="1">
      <c r="A82" s="498"/>
      <c r="B82" s="546">
        <v>2</v>
      </c>
      <c r="C82" s="571">
        <v>6</v>
      </c>
      <c r="D82" s="571">
        <v>58</v>
      </c>
      <c r="E82" s="571" t="s">
        <v>280</v>
      </c>
      <c r="F82" s="571" t="s">
        <v>283</v>
      </c>
      <c r="G82" s="574">
        <v>2512.3200000000002</v>
      </c>
      <c r="H82" s="555" t="s">
        <v>274</v>
      </c>
      <c r="I82" s="577">
        <v>1</v>
      </c>
      <c r="J82" s="499" t="s">
        <v>147</v>
      </c>
      <c r="K82" s="57">
        <f>+$K$13</f>
        <v>801016</v>
      </c>
      <c r="L82" s="499"/>
      <c r="M82" s="57">
        <f>+$M$13</f>
        <v>0</v>
      </c>
      <c r="N82" s="561" t="s">
        <v>151</v>
      </c>
      <c r="O82" s="561" t="s">
        <v>297</v>
      </c>
      <c r="P82" s="564" t="s">
        <v>298</v>
      </c>
      <c r="Q82" s="544" t="s">
        <v>299</v>
      </c>
      <c r="R82" s="544" t="s">
        <v>300</v>
      </c>
      <c r="S82" s="568">
        <f t="shared" ref="S82" si="37">IF(COUNTIF(J82:K84,"CUMPLE")&gt;=1,(G82*I82),0)* (IF(N82="PRESENTÓ CERTIFICADO",1,0))* (IF(O82="ACORDE A ITEM 6.2.2.1 (T.R.)",1,0) )* ( IF(OR(Q82="SIN OBSERVACIÓN", Q82="REQUERIMIENTOS SUBSANADOS"),1,0)) *(IF(OR(R82="NINGUNO", R82="CUMPLEN CON LO SOLICITADO"),1,0))</f>
        <v>0</v>
      </c>
      <c r="T82" s="592"/>
      <c r="U82" s="541">
        <f t="shared" si="36"/>
        <v>1</v>
      </c>
      <c r="W82" s="29"/>
      <c r="X82" s="29"/>
      <c r="Y82" s="29"/>
      <c r="Z82" s="29"/>
      <c r="AD82" s="13"/>
      <c r="AE82" s="13"/>
      <c r="AF82" s="13"/>
      <c r="AG82" s="13"/>
      <c r="AH82" s="13"/>
      <c r="AI82" s="13"/>
    </row>
    <row r="83" spans="1:35" s="500" customFormat="1" ht="25" customHeight="1">
      <c r="A83" s="498"/>
      <c r="B83" s="547"/>
      <c r="C83" s="572"/>
      <c r="D83" s="572"/>
      <c r="E83" s="572"/>
      <c r="F83" s="572"/>
      <c r="G83" s="575"/>
      <c r="H83" s="556"/>
      <c r="I83" s="578"/>
      <c r="J83" s="499" t="s">
        <v>147</v>
      </c>
      <c r="K83" s="57">
        <f>+$K$14</f>
        <v>811015</v>
      </c>
      <c r="L83" s="542"/>
      <c r="M83" s="544">
        <f>+$M$14</f>
        <v>0</v>
      </c>
      <c r="N83" s="562"/>
      <c r="O83" s="562"/>
      <c r="P83" s="565"/>
      <c r="Q83" s="567"/>
      <c r="R83" s="567"/>
      <c r="S83" s="569"/>
      <c r="T83" s="592"/>
      <c r="U83" s="541"/>
      <c r="W83" s="29"/>
      <c r="X83" s="29"/>
      <c r="Y83" s="29"/>
      <c r="Z83" s="29"/>
      <c r="AD83" s="13"/>
      <c r="AE83" s="13"/>
      <c r="AF83" s="13"/>
      <c r="AG83" s="13"/>
      <c r="AH83" s="13"/>
      <c r="AI83" s="13"/>
    </row>
    <row r="84" spans="1:35" s="500" customFormat="1" ht="25" customHeight="1">
      <c r="A84" s="498"/>
      <c r="B84" s="548"/>
      <c r="C84" s="573"/>
      <c r="D84" s="573"/>
      <c r="E84" s="573"/>
      <c r="F84" s="573"/>
      <c r="G84" s="576"/>
      <c r="H84" s="557"/>
      <c r="I84" s="579"/>
      <c r="J84" s="499" t="s">
        <v>290</v>
      </c>
      <c r="K84" s="57">
        <f>+$K$15</f>
        <v>841116</v>
      </c>
      <c r="L84" s="543"/>
      <c r="M84" s="545"/>
      <c r="N84" s="563"/>
      <c r="O84" s="563"/>
      <c r="P84" s="566"/>
      <c r="Q84" s="545"/>
      <c r="R84" s="545"/>
      <c r="S84" s="570"/>
      <c r="T84" s="592"/>
      <c r="U84" s="541"/>
      <c r="W84" s="29"/>
      <c r="X84" s="29"/>
      <c r="Y84" s="29"/>
      <c r="Z84" s="29"/>
      <c r="AD84" s="13"/>
      <c r="AE84" s="13"/>
      <c r="AF84" s="13"/>
      <c r="AG84" s="13"/>
      <c r="AH84" s="13"/>
      <c r="AI84" s="13"/>
    </row>
    <row r="85" spans="1:35" s="500" customFormat="1" ht="25" customHeight="1">
      <c r="A85" s="498"/>
      <c r="B85" s="546">
        <v>3</v>
      </c>
      <c r="C85" s="549">
        <v>14</v>
      </c>
      <c r="D85" s="549">
        <v>26</v>
      </c>
      <c r="E85" s="613">
        <v>40756</v>
      </c>
      <c r="F85" s="549" t="s">
        <v>292</v>
      </c>
      <c r="G85" s="552">
        <v>410.75</v>
      </c>
      <c r="H85" s="555" t="s">
        <v>274</v>
      </c>
      <c r="I85" s="558">
        <v>1</v>
      </c>
      <c r="J85" s="499" t="s">
        <v>147</v>
      </c>
      <c r="K85" s="57">
        <f>+$K$13</f>
        <v>801016</v>
      </c>
      <c r="L85" s="499"/>
      <c r="M85" s="57">
        <f>+$M$13</f>
        <v>0</v>
      </c>
      <c r="N85" s="561" t="s">
        <v>151</v>
      </c>
      <c r="O85" s="561" t="s">
        <v>294</v>
      </c>
      <c r="P85" s="564"/>
      <c r="Q85" s="544" t="s">
        <v>153</v>
      </c>
      <c r="R85" s="544" t="s">
        <v>295</v>
      </c>
      <c r="S85" s="568">
        <f t="shared" ref="S85" si="38">IF(COUNTIF(J85:K87,"CUMPLE")&gt;=1,(G85*I85),0)* (IF(N85="PRESENTÓ CERTIFICADO",1,0))* (IF(O85="ACORDE A ITEM 6.2.2.1 (T.R.)",1,0) )* ( IF(OR(Q85="SIN OBSERVACIÓN", Q85="REQUERIMIENTOS SUBSANADOS"),1,0)) *(IF(OR(R85="NINGUNO", R85="CUMPLEN CON LO SOLICITADO"),1,0))</f>
        <v>410.75</v>
      </c>
      <c r="T85" s="592"/>
      <c r="U85" s="541">
        <f t="shared" si="36"/>
        <v>1</v>
      </c>
      <c r="W85" s="29"/>
      <c r="X85" s="29"/>
      <c r="Y85" s="29"/>
      <c r="Z85" s="29"/>
      <c r="AA85" s="13"/>
      <c r="AB85" s="13"/>
      <c r="AC85" s="13"/>
      <c r="AD85" s="13"/>
      <c r="AE85" s="13"/>
      <c r="AF85" s="13"/>
      <c r="AG85" s="13"/>
      <c r="AH85" s="13"/>
      <c r="AI85" s="13"/>
    </row>
    <row r="86" spans="1:35" s="500" customFormat="1" ht="25" customHeight="1">
      <c r="A86" s="498"/>
      <c r="B86" s="547"/>
      <c r="C86" s="550"/>
      <c r="D86" s="550"/>
      <c r="E86" s="550"/>
      <c r="F86" s="550"/>
      <c r="G86" s="553"/>
      <c r="H86" s="556"/>
      <c r="I86" s="559"/>
      <c r="J86" s="499" t="s">
        <v>147</v>
      </c>
      <c r="K86" s="57">
        <f>+$K$14</f>
        <v>811015</v>
      </c>
      <c r="L86" s="542"/>
      <c r="M86" s="544">
        <f>+$M$14</f>
        <v>0</v>
      </c>
      <c r="N86" s="562"/>
      <c r="O86" s="562"/>
      <c r="P86" s="565"/>
      <c r="Q86" s="567"/>
      <c r="R86" s="567"/>
      <c r="S86" s="569"/>
      <c r="T86" s="592"/>
      <c r="U86" s="541"/>
      <c r="W86" s="29"/>
      <c r="X86" s="29"/>
      <c r="Y86" s="29"/>
      <c r="Z86" s="29"/>
      <c r="AH86" s="13"/>
      <c r="AI86" s="13"/>
    </row>
    <row r="87" spans="1:35" s="500" customFormat="1" ht="25" customHeight="1">
      <c r="A87" s="498"/>
      <c r="B87" s="548"/>
      <c r="C87" s="551"/>
      <c r="D87" s="551"/>
      <c r="E87" s="551"/>
      <c r="F87" s="551"/>
      <c r="G87" s="554"/>
      <c r="H87" s="557"/>
      <c r="I87" s="560"/>
      <c r="J87" s="499" t="s">
        <v>290</v>
      </c>
      <c r="K87" s="57">
        <f>+$K$15</f>
        <v>841116</v>
      </c>
      <c r="L87" s="543"/>
      <c r="M87" s="545"/>
      <c r="N87" s="563"/>
      <c r="O87" s="563"/>
      <c r="P87" s="566"/>
      <c r="Q87" s="545"/>
      <c r="R87" s="545"/>
      <c r="S87" s="570"/>
      <c r="T87" s="592"/>
      <c r="U87" s="541"/>
      <c r="W87" s="29"/>
      <c r="X87" s="29"/>
      <c r="Y87" s="29"/>
      <c r="Z87" s="29"/>
    </row>
    <row r="88" spans="1:35" s="500" customFormat="1" ht="25" customHeight="1">
      <c r="A88" s="498"/>
      <c r="B88" s="546">
        <v>4</v>
      </c>
      <c r="C88" s="571">
        <v>56</v>
      </c>
      <c r="D88" s="571">
        <v>93</v>
      </c>
      <c r="E88" s="614">
        <v>41127</v>
      </c>
      <c r="F88" s="571" t="s">
        <v>293</v>
      </c>
      <c r="G88" s="574">
        <v>651.88</v>
      </c>
      <c r="H88" s="555" t="s">
        <v>274</v>
      </c>
      <c r="I88" s="577">
        <v>1</v>
      </c>
      <c r="J88" s="499" t="s">
        <v>290</v>
      </c>
      <c r="K88" s="57">
        <f>+$K$13</f>
        <v>801016</v>
      </c>
      <c r="L88" s="499"/>
      <c r="M88" s="57">
        <f>+$M$13</f>
        <v>0</v>
      </c>
      <c r="N88" s="561" t="s">
        <v>151</v>
      </c>
      <c r="O88" s="561" t="s">
        <v>294</v>
      </c>
      <c r="P88" s="564"/>
      <c r="Q88" s="544" t="s">
        <v>153</v>
      </c>
      <c r="R88" s="544" t="s">
        <v>295</v>
      </c>
      <c r="S88" s="568">
        <f t="shared" ref="S88" si="39">IF(COUNTIF(J88:K90,"CUMPLE")&gt;=1,(G88*I88),0)* (IF(N88="PRESENTÓ CERTIFICADO",1,0))* (IF(O88="ACORDE A ITEM 6.2.2.1 (T.R.)",1,0) )* ( IF(OR(Q88="SIN OBSERVACIÓN", Q88="REQUERIMIENTOS SUBSANADOS"),1,0)) *(IF(OR(R88="NINGUNO", R88="CUMPLEN CON LO SOLICITADO"),1,0))</f>
        <v>651.88</v>
      </c>
      <c r="T88" s="592"/>
      <c r="U88" s="541">
        <f t="shared" si="36"/>
        <v>1</v>
      </c>
      <c r="W88" s="29"/>
      <c r="X88" s="29"/>
      <c r="Y88" s="29"/>
      <c r="Z88" s="29"/>
      <c r="AA88" s="13"/>
      <c r="AB88" s="13"/>
      <c r="AC88" s="13"/>
      <c r="AD88" s="13"/>
      <c r="AE88" s="13"/>
      <c r="AF88" s="13"/>
      <c r="AG88" s="13"/>
    </row>
    <row r="89" spans="1:35" s="500" customFormat="1" ht="25" customHeight="1">
      <c r="A89" s="498"/>
      <c r="B89" s="547"/>
      <c r="C89" s="572"/>
      <c r="D89" s="572"/>
      <c r="E89" s="572"/>
      <c r="F89" s="572"/>
      <c r="G89" s="575"/>
      <c r="H89" s="556"/>
      <c r="I89" s="578"/>
      <c r="J89" s="499" t="s">
        <v>147</v>
      </c>
      <c r="K89" s="57">
        <f>+$K$14</f>
        <v>811015</v>
      </c>
      <c r="L89" s="542"/>
      <c r="M89" s="544">
        <f>+$M$14</f>
        <v>0</v>
      </c>
      <c r="N89" s="562"/>
      <c r="O89" s="562"/>
      <c r="P89" s="565"/>
      <c r="Q89" s="567"/>
      <c r="R89" s="567"/>
      <c r="S89" s="569"/>
      <c r="T89" s="592"/>
      <c r="U89" s="541"/>
      <c r="W89" s="29"/>
      <c r="X89" s="29"/>
      <c r="Y89" s="29"/>
      <c r="Z89" s="29"/>
      <c r="AA89" s="13"/>
      <c r="AB89" s="13"/>
      <c r="AC89" s="13"/>
      <c r="AD89" s="13"/>
      <c r="AE89" s="13"/>
      <c r="AF89" s="13"/>
      <c r="AG89" s="13"/>
    </row>
    <row r="90" spans="1:35" s="500" customFormat="1" ht="25" customHeight="1">
      <c r="A90" s="498"/>
      <c r="B90" s="548"/>
      <c r="C90" s="573"/>
      <c r="D90" s="573"/>
      <c r="E90" s="573"/>
      <c r="F90" s="573"/>
      <c r="G90" s="576"/>
      <c r="H90" s="557"/>
      <c r="I90" s="579"/>
      <c r="J90" s="499" t="s">
        <v>290</v>
      </c>
      <c r="K90" s="57">
        <f>+$K$15</f>
        <v>841116</v>
      </c>
      <c r="L90" s="543"/>
      <c r="M90" s="545"/>
      <c r="N90" s="563"/>
      <c r="O90" s="563"/>
      <c r="P90" s="566"/>
      <c r="Q90" s="545"/>
      <c r="R90" s="545"/>
      <c r="S90" s="570"/>
      <c r="T90" s="592"/>
      <c r="U90" s="541"/>
      <c r="W90" s="29"/>
      <c r="X90" s="29"/>
      <c r="Y90" s="29"/>
      <c r="Z90" s="29"/>
      <c r="AA90" s="29"/>
      <c r="AB90" s="29"/>
      <c r="AC90" s="29"/>
      <c r="AD90" s="501"/>
      <c r="AE90" s="501"/>
      <c r="AF90" s="501"/>
      <c r="AG90" s="501"/>
    </row>
    <row r="91" spans="1:35" s="500" customFormat="1" ht="25" customHeight="1">
      <c r="A91" s="498"/>
      <c r="B91" s="546">
        <v>5</v>
      </c>
      <c r="C91" s="549">
        <v>36</v>
      </c>
      <c r="D91" s="549">
        <v>82</v>
      </c>
      <c r="E91" s="549" t="s">
        <v>281</v>
      </c>
      <c r="F91" s="549" t="s">
        <v>284</v>
      </c>
      <c r="G91" s="552">
        <v>2099.61</v>
      </c>
      <c r="H91" s="555" t="s">
        <v>274</v>
      </c>
      <c r="I91" s="558">
        <v>1</v>
      </c>
      <c r="J91" s="499" t="s">
        <v>147</v>
      </c>
      <c r="K91" s="57">
        <f>+$K$13</f>
        <v>801016</v>
      </c>
      <c r="L91" s="499"/>
      <c r="M91" s="57">
        <f>+$M$13</f>
        <v>0</v>
      </c>
      <c r="N91" s="561" t="s">
        <v>151</v>
      </c>
      <c r="O91" s="561" t="s">
        <v>294</v>
      </c>
      <c r="P91" s="564"/>
      <c r="Q91" s="544" t="s">
        <v>153</v>
      </c>
      <c r="R91" s="544" t="s">
        <v>295</v>
      </c>
      <c r="S91" s="568">
        <f t="shared" ref="S91" si="40">IF(COUNTIF(J91:K93,"CUMPLE")&gt;=1,(G91*I91),0)* (IF(N91="PRESENTÓ CERTIFICADO",1,0))* (IF(O91="ACORDE A ITEM 6.2.2.1 (T.R.)",1,0) )* ( IF(OR(Q91="SIN OBSERVACIÓN", Q91="REQUERIMIENTOS SUBSANADOS"),1,0)) *(IF(OR(R91="NINGUNO", R91="CUMPLEN CON LO SOLICITADO"),1,0))</f>
        <v>2099.61</v>
      </c>
      <c r="T91" s="592"/>
      <c r="U91" s="541">
        <f t="shared" si="36"/>
        <v>1</v>
      </c>
      <c r="W91" s="29"/>
      <c r="X91" s="29"/>
      <c r="Y91" s="29"/>
      <c r="Z91" s="29"/>
      <c r="AA91" s="29"/>
      <c r="AB91" s="29"/>
      <c r="AC91" s="29"/>
      <c r="AD91" s="501"/>
      <c r="AE91" s="501"/>
      <c r="AF91" s="501"/>
      <c r="AG91" s="501"/>
    </row>
    <row r="92" spans="1:35" s="500" customFormat="1" ht="25" customHeight="1">
      <c r="A92" s="498"/>
      <c r="B92" s="547"/>
      <c r="C92" s="550"/>
      <c r="D92" s="550"/>
      <c r="E92" s="550"/>
      <c r="F92" s="550"/>
      <c r="G92" s="553"/>
      <c r="H92" s="556"/>
      <c r="I92" s="559"/>
      <c r="J92" s="499" t="s">
        <v>147</v>
      </c>
      <c r="K92" s="57">
        <f>+$K$14</f>
        <v>811015</v>
      </c>
      <c r="L92" s="542"/>
      <c r="M92" s="544">
        <f>+$M$14</f>
        <v>0</v>
      </c>
      <c r="N92" s="562"/>
      <c r="O92" s="562"/>
      <c r="P92" s="565"/>
      <c r="Q92" s="567"/>
      <c r="R92" s="567"/>
      <c r="S92" s="569"/>
      <c r="T92" s="592"/>
      <c r="U92" s="541"/>
      <c r="W92" s="29"/>
      <c r="X92" s="29"/>
      <c r="Y92" s="29"/>
      <c r="Z92" s="29"/>
      <c r="AA92" s="29"/>
      <c r="AB92" s="29"/>
      <c r="AC92" s="29"/>
    </row>
    <row r="93" spans="1:35" s="500" customFormat="1" ht="25" customHeight="1">
      <c r="A93" s="498"/>
      <c r="B93" s="548"/>
      <c r="C93" s="551"/>
      <c r="D93" s="551"/>
      <c r="E93" s="551"/>
      <c r="F93" s="551"/>
      <c r="G93" s="554"/>
      <c r="H93" s="557"/>
      <c r="I93" s="560"/>
      <c r="J93" s="499" t="s">
        <v>290</v>
      </c>
      <c r="K93" s="57">
        <f>+$K$15</f>
        <v>841116</v>
      </c>
      <c r="L93" s="543"/>
      <c r="M93" s="545"/>
      <c r="N93" s="563"/>
      <c r="O93" s="563"/>
      <c r="P93" s="566"/>
      <c r="Q93" s="545"/>
      <c r="R93" s="545"/>
      <c r="S93" s="570"/>
      <c r="T93" s="593"/>
      <c r="U93" s="541"/>
      <c r="W93" s="29"/>
      <c r="X93" s="29"/>
      <c r="Y93" s="29"/>
      <c r="Z93" s="29"/>
      <c r="AA93" s="29"/>
      <c r="AB93" s="29"/>
      <c r="AC93" s="29"/>
    </row>
    <row r="94" spans="1:35" ht="25" customHeight="1">
      <c r="A94" s="13"/>
      <c r="B94" s="580" t="str">
        <f>IF(S95=" "," ",IF(S95&gt;=$H$6,"CUMPLE CON LA EXPERIENCIA REQUERIDA","NO CUMPLE CON LA EXPERIENCIA REQUERIDA"))</f>
        <v>CUMPLE CON LA EXPERIENCIA REQUERIDA</v>
      </c>
      <c r="C94" s="581"/>
      <c r="D94" s="581"/>
      <c r="E94" s="581"/>
      <c r="F94" s="581"/>
      <c r="G94" s="581"/>
      <c r="H94" s="581"/>
      <c r="I94" s="581"/>
      <c r="J94" s="581"/>
      <c r="K94" s="581"/>
      <c r="L94" s="581"/>
      <c r="M94" s="581"/>
      <c r="N94" s="581"/>
      <c r="O94" s="582"/>
      <c r="P94" s="586" t="s">
        <v>46</v>
      </c>
      <c r="Q94" s="587"/>
      <c r="R94" s="588"/>
      <c r="S94" s="503">
        <f>IF(T79="SI",SUM(S79:S93),0)</f>
        <v>8965.77</v>
      </c>
      <c r="T94" s="589" t="str">
        <f>IF(S95=" "," ",IF(S95&gt;=$H$6,"CUMPLE","NO CUMPLE"))</f>
        <v>CUMPLE</v>
      </c>
      <c r="AA94" s="29"/>
      <c r="AB94" s="29"/>
      <c r="AC94" s="29"/>
      <c r="AD94" s="500"/>
      <c r="AE94" s="500"/>
      <c r="AF94" s="500"/>
      <c r="AG94" s="500"/>
      <c r="AH94" s="500"/>
    </row>
    <row r="95" spans="1:35" s="500" customFormat="1" ht="25" customHeight="1">
      <c r="B95" s="583"/>
      <c r="C95" s="584"/>
      <c r="D95" s="584"/>
      <c r="E95" s="584"/>
      <c r="F95" s="584"/>
      <c r="G95" s="584"/>
      <c r="H95" s="584"/>
      <c r="I95" s="584"/>
      <c r="J95" s="584"/>
      <c r="K95" s="584"/>
      <c r="L95" s="584"/>
      <c r="M95" s="584"/>
      <c r="N95" s="584"/>
      <c r="O95" s="585"/>
      <c r="P95" s="586" t="s">
        <v>47</v>
      </c>
      <c r="Q95" s="587"/>
      <c r="R95" s="588"/>
      <c r="S95" s="503">
        <f>IFERROR((S94/$P$6)," ")</f>
        <v>12.115905405405407</v>
      </c>
      <c r="T95" s="590"/>
      <c r="W95" s="29"/>
      <c r="X95" s="29"/>
      <c r="Y95" s="29"/>
      <c r="Z95" s="29"/>
      <c r="AA95" s="29"/>
      <c r="AB95" s="29"/>
      <c r="AC95" s="29"/>
    </row>
    <row r="96" spans="1:35" ht="30" customHeight="1">
      <c r="AA96" s="29"/>
      <c r="AB96" s="29"/>
      <c r="AC96" s="29"/>
      <c r="AD96" s="500"/>
      <c r="AE96" s="500"/>
      <c r="AF96" s="500"/>
      <c r="AG96" s="500"/>
    </row>
    <row r="97" spans="1:35" ht="30" customHeight="1">
      <c r="AA97" s="29"/>
      <c r="AB97" s="29"/>
      <c r="AC97" s="29"/>
      <c r="AD97" s="500"/>
      <c r="AE97" s="500"/>
      <c r="AF97" s="500"/>
      <c r="AG97" s="500"/>
      <c r="AH97" s="500"/>
    </row>
    <row r="98" spans="1:35" ht="63.75" hidden="1" customHeight="1">
      <c r="B98" s="465">
        <v>5</v>
      </c>
      <c r="C98" s="601" t="s">
        <v>25</v>
      </c>
      <c r="D98" s="602"/>
      <c r="E98" s="603"/>
      <c r="F98" s="604">
        <f>IFERROR(VLOOKUP(B98,LISTA_OFERENTES,2,FALSE)," ")</f>
        <v>0</v>
      </c>
      <c r="G98" s="605"/>
      <c r="H98" s="605"/>
      <c r="I98" s="605"/>
      <c r="J98" s="605"/>
      <c r="K98" s="605"/>
      <c r="L98" s="605"/>
      <c r="M98" s="605"/>
      <c r="N98" s="605"/>
      <c r="O98" s="606"/>
      <c r="P98" s="607" t="s">
        <v>26</v>
      </c>
      <c r="Q98" s="608"/>
      <c r="R98" s="609"/>
      <c r="S98" s="491">
        <f>5-(INT(COUNTBLANK(C101:C115))-10)</f>
        <v>0</v>
      </c>
      <c r="AA98" s="29"/>
      <c r="AB98" s="29"/>
      <c r="AC98" s="29"/>
      <c r="AD98" s="500"/>
      <c r="AE98" s="500"/>
      <c r="AF98" s="500"/>
      <c r="AG98" s="500"/>
    </row>
    <row r="99" spans="1:35" s="501" customFormat="1" ht="30" hidden="1" customHeight="1">
      <c r="B99" s="610" t="s">
        <v>27</v>
      </c>
      <c r="C99" s="596" t="s">
        <v>28</v>
      </c>
      <c r="D99" s="596" t="s">
        <v>29</v>
      </c>
      <c r="E99" s="596" t="s">
        <v>30</v>
      </c>
      <c r="F99" s="596" t="s">
        <v>31</v>
      </c>
      <c r="G99" s="596" t="s">
        <v>32</v>
      </c>
      <c r="H99" s="596" t="s">
        <v>33</v>
      </c>
      <c r="I99" s="596" t="s">
        <v>34</v>
      </c>
      <c r="J99" s="594" t="s">
        <v>35</v>
      </c>
      <c r="K99" s="612"/>
      <c r="L99" s="612"/>
      <c r="M99" s="595"/>
      <c r="N99" s="596" t="s">
        <v>36</v>
      </c>
      <c r="O99" s="596" t="s">
        <v>37</v>
      </c>
      <c r="P99" s="594" t="s">
        <v>38</v>
      </c>
      <c r="Q99" s="595"/>
      <c r="R99" s="596" t="s">
        <v>39</v>
      </c>
      <c r="S99" s="596" t="s">
        <v>40</v>
      </c>
      <c r="T99"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99" s="596" t="str">
        <f>+$U$11</f>
        <v xml:space="preserve">VERIFICACIÓN CONDICIÓN DE EXPERIENCIA  </v>
      </c>
      <c r="V99" s="504"/>
      <c r="W99" s="29"/>
      <c r="X99" s="29"/>
      <c r="Y99" s="29"/>
      <c r="Z99" s="29"/>
      <c r="AA99" s="29"/>
      <c r="AB99" s="29"/>
      <c r="AC99" s="29"/>
      <c r="AD99" s="500"/>
      <c r="AE99" s="500"/>
      <c r="AF99" s="500"/>
      <c r="AG99" s="500"/>
      <c r="AH99" s="13"/>
    </row>
    <row r="100" spans="1:35" s="501" customFormat="1" ht="90.75" hidden="1" customHeight="1">
      <c r="B100" s="611"/>
      <c r="C100" s="597"/>
      <c r="D100" s="597"/>
      <c r="E100" s="597"/>
      <c r="F100" s="597"/>
      <c r="G100" s="597"/>
      <c r="H100" s="597"/>
      <c r="I100" s="597"/>
      <c r="J100" s="598" t="s">
        <v>43</v>
      </c>
      <c r="K100" s="599"/>
      <c r="L100" s="599"/>
      <c r="M100" s="600"/>
      <c r="N100" s="597"/>
      <c r="O100" s="597"/>
      <c r="P100" s="493" t="s">
        <v>10</v>
      </c>
      <c r="Q100" s="493" t="s">
        <v>44</v>
      </c>
      <c r="R100" s="597"/>
      <c r="S100" s="597"/>
      <c r="T100" s="597"/>
      <c r="U100" s="597"/>
      <c r="V100" s="504"/>
      <c r="W100" s="29"/>
      <c r="X100" s="29"/>
      <c r="Y100" s="29"/>
      <c r="Z100" s="29"/>
      <c r="AA100" s="29"/>
      <c r="AB100" s="29"/>
      <c r="AC100" s="29"/>
      <c r="AD100" s="500"/>
      <c r="AE100" s="500"/>
      <c r="AF100" s="500"/>
      <c r="AG100" s="500"/>
      <c r="AH100" s="13"/>
    </row>
    <row r="101" spans="1:35" s="500" customFormat="1" ht="35" hidden="1" customHeight="1">
      <c r="A101" s="498"/>
      <c r="B101" s="546">
        <v>1</v>
      </c>
      <c r="C101" s="549"/>
      <c r="D101" s="549"/>
      <c r="E101" s="549"/>
      <c r="F101" s="549"/>
      <c r="G101" s="552"/>
      <c r="H101" s="555"/>
      <c r="I101" s="558"/>
      <c r="J101" s="499"/>
      <c r="K101" s="57">
        <f>+$K$13</f>
        <v>801016</v>
      </c>
      <c r="L101" s="499"/>
      <c r="M101" s="57">
        <f>+$M$13</f>
        <v>0</v>
      </c>
      <c r="N101" s="561"/>
      <c r="O101" s="561"/>
      <c r="P101" s="564"/>
      <c r="Q101" s="544"/>
      <c r="R101" s="544"/>
      <c r="S101" s="568">
        <f>IF(COUNTIF(J101:K103,"CUMPLE")&gt;=1,(G101*I101),0)* (IF(N101="PRESENTÓ CERTIFICADO",1,0))* (IF(O101="ACORDE A ITEM 5.2.2 (T.R.)",1,0) )* ( IF(OR(Q101="SIN OBSERVACIÓN", Q101="REQUERIMIENTOS SUBSANADOS"),1,0)) *(IF(OR(R101="NINGUNO", R101="CUMPLEN CON LO SOLICITADO"),1,0))</f>
        <v>0</v>
      </c>
      <c r="T101" s="591"/>
      <c r="U101" s="541">
        <f t="shared" ref="U101:U113" si="41">IF(COUNTIF(J101:K103,"CUMPLE")&gt;=1,1,0)</f>
        <v>0</v>
      </c>
      <c r="W101" s="29"/>
      <c r="X101" s="29"/>
      <c r="Y101" s="29"/>
      <c r="Z101" s="29"/>
      <c r="AD101" s="13"/>
      <c r="AE101" s="13"/>
      <c r="AF101" s="13"/>
      <c r="AG101" s="13"/>
      <c r="AH101" s="13"/>
      <c r="AI101" s="13"/>
    </row>
    <row r="102" spans="1:35" s="500" customFormat="1" ht="35" hidden="1" customHeight="1">
      <c r="A102" s="498"/>
      <c r="B102" s="547"/>
      <c r="C102" s="550"/>
      <c r="D102" s="550"/>
      <c r="E102" s="550"/>
      <c r="F102" s="550"/>
      <c r="G102" s="553"/>
      <c r="H102" s="556"/>
      <c r="I102" s="559"/>
      <c r="J102" s="499"/>
      <c r="K102" s="57">
        <f>+$K$14</f>
        <v>811015</v>
      </c>
      <c r="L102" s="542"/>
      <c r="M102" s="544">
        <f>+$M$14</f>
        <v>0</v>
      </c>
      <c r="N102" s="562"/>
      <c r="O102" s="562"/>
      <c r="P102" s="565"/>
      <c r="Q102" s="567"/>
      <c r="R102" s="567"/>
      <c r="S102" s="569"/>
      <c r="T102" s="592"/>
      <c r="U102" s="541"/>
      <c r="W102" s="29"/>
      <c r="X102" s="29"/>
      <c r="Y102" s="29"/>
      <c r="Z102" s="29"/>
      <c r="AD102" s="13"/>
      <c r="AE102" s="13"/>
      <c r="AF102" s="13"/>
      <c r="AG102" s="13"/>
      <c r="AH102" s="13"/>
      <c r="AI102" s="13"/>
    </row>
    <row r="103" spans="1:35" s="500" customFormat="1" ht="35" hidden="1" customHeight="1">
      <c r="A103" s="498"/>
      <c r="B103" s="548"/>
      <c r="C103" s="551"/>
      <c r="D103" s="551"/>
      <c r="E103" s="551"/>
      <c r="F103" s="551"/>
      <c r="G103" s="554"/>
      <c r="H103" s="557"/>
      <c r="I103" s="560"/>
      <c r="J103" s="499"/>
      <c r="K103" s="57">
        <f>+$K$15</f>
        <v>841116</v>
      </c>
      <c r="L103" s="543"/>
      <c r="M103" s="545"/>
      <c r="N103" s="563"/>
      <c r="O103" s="563"/>
      <c r="P103" s="566"/>
      <c r="Q103" s="545"/>
      <c r="R103" s="545"/>
      <c r="S103" s="570"/>
      <c r="T103" s="592"/>
      <c r="U103" s="541"/>
      <c r="W103" s="29"/>
      <c r="X103" s="29"/>
      <c r="Y103" s="29"/>
      <c r="Z103" s="29"/>
      <c r="AD103" s="13"/>
      <c r="AE103" s="13"/>
      <c r="AF103" s="13"/>
      <c r="AG103" s="13"/>
      <c r="AH103" s="13"/>
      <c r="AI103" s="13"/>
    </row>
    <row r="104" spans="1:35" s="500" customFormat="1" ht="32.25" hidden="1" customHeight="1">
      <c r="A104" s="498"/>
      <c r="B104" s="546">
        <v>2</v>
      </c>
      <c r="C104" s="571"/>
      <c r="D104" s="571"/>
      <c r="E104" s="571"/>
      <c r="F104" s="571"/>
      <c r="G104" s="574"/>
      <c r="H104" s="555"/>
      <c r="I104" s="558"/>
      <c r="J104" s="499"/>
      <c r="K104" s="57">
        <f>+$K$13</f>
        <v>801016</v>
      </c>
      <c r="L104" s="499"/>
      <c r="M104" s="57">
        <f>+$M$13</f>
        <v>0</v>
      </c>
      <c r="N104" s="561"/>
      <c r="O104" s="561"/>
      <c r="P104" s="564"/>
      <c r="Q104" s="544"/>
      <c r="R104" s="544"/>
      <c r="S104" s="568">
        <f>IF(COUNTIF(J104:K106,"CUMPLE")&gt;=1,(G104*I104),0)* (IF(N104="PRESENTÓ CERTIFICADO",1,0))* (IF(O104="ACORDE A ITEM 5.2.2 (T.R.)",1,0) )* ( IF(OR(Q104="SIN OBSERVACIÓN", Q104="REQUERIMIENTOS SUBSANADOS"),1,0)) *(IF(OR(R104="NINGUNO", R104="CUMPLEN CON LO SOLICITADO"),1,0))</f>
        <v>0</v>
      </c>
      <c r="T104" s="592"/>
      <c r="U104" s="541">
        <f t="shared" si="41"/>
        <v>0</v>
      </c>
      <c r="W104" s="29"/>
      <c r="X104" s="29"/>
      <c r="Y104" s="29"/>
      <c r="Z104" s="29"/>
      <c r="AD104" s="13"/>
      <c r="AE104" s="13"/>
      <c r="AF104" s="13"/>
      <c r="AG104" s="13"/>
      <c r="AH104" s="13"/>
      <c r="AI104" s="13"/>
    </row>
    <row r="105" spans="1:35" s="500" customFormat="1" ht="30.75" hidden="1" customHeight="1">
      <c r="A105" s="498"/>
      <c r="B105" s="547"/>
      <c r="C105" s="572"/>
      <c r="D105" s="572"/>
      <c r="E105" s="572"/>
      <c r="F105" s="572"/>
      <c r="G105" s="575"/>
      <c r="H105" s="556"/>
      <c r="I105" s="559"/>
      <c r="J105" s="499"/>
      <c r="K105" s="57">
        <f>+$K$14</f>
        <v>811015</v>
      </c>
      <c r="L105" s="542"/>
      <c r="M105" s="544">
        <f>+$M$14</f>
        <v>0</v>
      </c>
      <c r="N105" s="562"/>
      <c r="O105" s="562"/>
      <c r="P105" s="565"/>
      <c r="Q105" s="567"/>
      <c r="R105" s="567"/>
      <c r="S105" s="569"/>
      <c r="T105" s="592"/>
      <c r="U105" s="541"/>
      <c r="W105" s="29"/>
      <c r="X105" s="29"/>
      <c r="Y105" s="29"/>
      <c r="Z105" s="29"/>
      <c r="AD105" s="13"/>
      <c r="AE105" s="13"/>
      <c r="AF105" s="13"/>
      <c r="AG105" s="13"/>
      <c r="AH105" s="13"/>
      <c r="AI105" s="13"/>
    </row>
    <row r="106" spans="1:35" s="500" customFormat="1" ht="35" hidden="1" customHeight="1">
      <c r="A106" s="498"/>
      <c r="B106" s="548"/>
      <c r="C106" s="573"/>
      <c r="D106" s="573"/>
      <c r="E106" s="573"/>
      <c r="F106" s="573"/>
      <c r="G106" s="576"/>
      <c r="H106" s="557"/>
      <c r="I106" s="560"/>
      <c r="J106" s="499"/>
      <c r="K106" s="57">
        <f>+$K$15</f>
        <v>841116</v>
      </c>
      <c r="L106" s="543"/>
      <c r="M106" s="545"/>
      <c r="N106" s="563"/>
      <c r="O106" s="563"/>
      <c r="P106" s="566"/>
      <c r="Q106" s="545"/>
      <c r="R106" s="545"/>
      <c r="S106" s="570"/>
      <c r="T106" s="592"/>
      <c r="U106" s="541"/>
      <c r="W106" s="29"/>
      <c r="X106" s="29"/>
      <c r="Y106" s="29"/>
      <c r="Z106" s="29"/>
      <c r="AD106" s="13"/>
      <c r="AE106" s="13"/>
      <c r="AF106" s="13"/>
      <c r="AG106" s="13"/>
      <c r="AH106" s="13"/>
      <c r="AI106" s="13"/>
    </row>
    <row r="107" spans="1:35" s="500" customFormat="1" ht="25" hidden="1" customHeight="1">
      <c r="A107" s="498"/>
      <c r="B107" s="546">
        <v>3</v>
      </c>
      <c r="C107" s="549"/>
      <c r="D107" s="549"/>
      <c r="E107" s="549"/>
      <c r="F107" s="549"/>
      <c r="G107" s="552"/>
      <c r="H107" s="555"/>
      <c r="I107" s="558"/>
      <c r="J107" s="499"/>
      <c r="K107" s="57">
        <f>+$K$13</f>
        <v>801016</v>
      </c>
      <c r="L107" s="499"/>
      <c r="M107" s="57">
        <f>+$M$13</f>
        <v>0</v>
      </c>
      <c r="N107" s="561"/>
      <c r="O107" s="561"/>
      <c r="P107" s="564"/>
      <c r="Q107" s="544"/>
      <c r="R107" s="544"/>
      <c r="S107" s="568">
        <f>IF(COUNTIF(J107:K109,"CUMPLE")&gt;=1,(G107*I107),0)* (IF(N107="PRESENTÓ CERTIFICADO",1,0))* (IF(O107="ACORDE A ITEM 5.2.2 (T.R.)",1,0) )* ( IF(OR(Q107="SIN OBSERVACIÓN", Q107="REQUERIMIENTOS SUBSANADOS"),1,0)) *(IF(OR(R107="NINGUNO", R107="CUMPLEN CON LO SOLICITADO"),1,0))</f>
        <v>0</v>
      </c>
      <c r="T107" s="592"/>
      <c r="U107" s="541">
        <f t="shared" si="41"/>
        <v>0</v>
      </c>
      <c r="W107" s="29"/>
      <c r="X107" s="29"/>
      <c r="Y107" s="29"/>
      <c r="Z107" s="29"/>
      <c r="AA107" s="13"/>
      <c r="AB107" s="13"/>
      <c r="AC107" s="13"/>
      <c r="AD107" s="13"/>
      <c r="AE107" s="13"/>
      <c r="AF107" s="13"/>
      <c r="AG107" s="13"/>
      <c r="AH107" s="13"/>
      <c r="AI107" s="13"/>
    </row>
    <row r="108" spans="1:35" s="500" customFormat="1" ht="25" hidden="1" customHeight="1">
      <c r="A108" s="498"/>
      <c r="B108" s="547"/>
      <c r="C108" s="550"/>
      <c r="D108" s="550"/>
      <c r="E108" s="550"/>
      <c r="F108" s="550"/>
      <c r="G108" s="553"/>
      <c r="H108" s="556"/>
      <c r="I108" s="559"/>
      <c r="J108" s="499"/>
      <c r="K108" s="57">
        <f>+$K$14</f>
        <v>811015</v>
      </c>
      <c r="L108" s="542"/>
      <c r="M108" s="544">
        <f>+$M$14</f>
        <v>0</v>
      </c>
      <c r="N108" s="562"/>
      <c r="O108" s="562"/>
      <c r="P108" s="565"/>
      <c r="Q108" s="567"/>
      <c r="R108" s="567"/>
      <c r="S108" s="569"/>
      <c r="T108" s="592"/>
      <c r="U108" s="541"/>
      <c r="W108" s="29"/>
      <c r="X108" s="29"/>
      <c r="Y108" s="29"/>
      <c r="Z108" s="29"/>
      <c r="AH108" s="13"/>
      <c r="AI108" s="13"/>
    </row>
    <row r="109" spans="1:35" s="500" customFormat="1" ht="25" hidden="1" customHeight="1">
      <c r="A109" s="498"/>
      <c r="B109" s="548"/>
      <c r="C109" s="551"/>
      <c r="D109" s="551"/>
      <c r="E109" s="551"/>
      <c r="F109" s="551"/>
      <c r="G109" s="554"/>
      <c r="H109" s="557"/>
      <c r="I109" s="560"/>
      <c r="J109" s="499"/>
      <c r="K109" s="57">
        <f>+$K$15</f>
        <v>841116</v>
      </c>
      <c r="L109" s="543"/>
      <c r="M109" s="545"/>
      <c r="N109" s="563"/>
      <c r="O109" s="563"/>
      <c r="P109" s="566"/>
      <c r="Q109" s="545"/>
      <c r="R109" s="545"/>
      <c r="S109" s="570"/>
      <c r="T109" s="592"/>
      <c r="U109" s="541"/>
      <c r="W109" s="29"/>
      <c r="X109" s="29"/>
      <c r="Y109" s="29"/>
      <c r="Z109" s="29"/>
    </row>
    <row r="110" spans="1:35" s="500" customFormat="1" ht="30" hidden="1" customHeight="1">
      <c r="A110" s="498"/>
      <c r="B110" s="546">
        <v>4</v>
      </c>
      <c r="C110" s="571"/>
      <c r="D110" s="571"/>
      <c r="E110" s="571"/>
      <c r="F110" s="571"/>
      <c r="G110" s="574"/>
      <c r="H110" s="555"/>
      <c r="I110" s="577"/>
      <c r="J110" s="499"/>
      <c r="K110" s="57">
        <f>+$K$13</f>
        <v>801016</v>
      </c>
      <c r="L110" s="499"/>
      <c r="M110" s="57">
        <f>+$M$13</f>
        <v>0</v>
      </c>
      <c r="N110" s="561"/>
      <c r="O110" s="561"/>
      <c r="P110" s="564"/>
      <c r="Q110" s="544"/>
      <c r="R110" s="544"/>
      <c r="S110" s="568">
        <f>IF(COUNTIF(J110:K112,"CUMPLE")&gt;=1,(G110*I110),0)* (IF(N110="PRESENTÓ CERTIFICADO",1,0))* (IF(O110="ACORDE A ITEM 5.2.2 (T.R.)",1,0) )* ( IF(OR(Q110="SIN OBSERVACIÓN", Q110="REQUERIMIENTOS SUBSANADOS"),1,0)) *(IF(OR(R110="NINGUNO", R110="CUMPLEN CON LO SOLICITADO"),1,0))</f>
        <v>0</v>
      </c>
      <c r="T110" s="592"/>
      <c r="U110" s="541">
        <f t="shared" si="41"/>
        <v>0</v>
      </c>
      <c r="W110" s="29"/>
      <c r="X110" s="29"/>
      <c r="Y110" s="29"/>
      <c r="Z110" s="29"/>
      <c r="AA110" s="13"/>
      <c r="AB110" s="13"/>
      <c r="AC110" s="13"/>
      <c r="AD110" s="13"/>
      <c r="AE110" s="13"/>
      <c r="AF110" s="13"/>
      <c r="AG110" s="13"/>
    </row>
    <row r="111" spans="1:35" s="500" customFormat="1" ht="35" hidden="1" customHeight="1">
      <c r="A111" s="498"/>
      <c r="B111" s="547"/>
      <c r="C111" s="572"/>
      <c r="D111" s="572"/>
      <c r="E111" s="572"/>
      <c r="F111" s="572"/>
      <c r="G111" s="575"/>
      <c r="H111" s="556"/>
      <c r="I111" s="578"/>
      <c r="J111" s="499"/>
      <c r="K111" s="57">
        <f>+$K$14</f>
        <v>811015</v>
      </c>
      <c r="L111" s="542"/>
      <c r="M111" s="544">
        <f>+$M$14</f>
        <v>0</v>
      </c>
      <c r="N111" s="562"/>
      <c r="O111" s="562"/>
      <c r="P111" s="565"/>
      <c r="Q111" s="567"/>
      <c r="R111" s="567"/>
      <c r="S111" s="569"/>
      <c r="T111" s="592"/>
      <c r="U111" s="541"/>
      <c r="W111" s="29"/>
      <c r="X111" s="29"/>
      <c r="Y111" s="29"/>
      <c r="Z111" s="29"/>
      <c r="AA111" s="13"/>
      <c r="AB111" s="13"/>
      <c r="AC111" s="13"/>
      <c r="AD111" s="13"/>
      <c r="AE111" s="13"/>
      <c r="AF111" s="13"/>
      <c r="AG111" s="13"/>
    </row>
    <row r="112" spans="1:35" s="500" customFormat="1" ht="35" hidden="1" customHeight="1">
      <c r="A112" s="498"/>
      <c r="B112" s="548"/>
      <c r="C112" s="573"/>
      <c r="D112" s="573"/>
      <c r="E112" s="573"/>
      <c r="F112" s="573"/>
      <c r="G112" s="576"/>
      <c r="H112" s="557"/>
      <c r="I112" s="579"/>
      <c r="J112" s="499"/>
      <c r="K112" s="57">
        <f>+$K$15</f>
        <v>841116</v>
      </c>
      <c r="L112" s="543"/>
      <c r="M112" s="545"/>
      <c r="N112" s="563"/>
      <c r="O112" s="563"/>
      <c r="P112" s="566"/>
      <c r="Q112" s="545"/>
      <c r="R112" s="545"/>
      <c r="S112" s="570"/>
      <c r="T112" s="592"/>
      <c r="U112" s="541"/>
      <c r="W112" s="29"/>
      <c r="X112" s="29"/>
      <c r="Y112" s="29"/>
      <c r="Z112" s="29"/>
      <c r="AA112" s="29"/>
      <c r="AB112" s="29"/>
      <c r="AC112" s="29"/>
      <c r="AD112" s="501"/>
      <c r="AE112" s="501"/>
      <c r="AF112" s="501"/>
      <c r="AG112" s="501"/>
    </row>
    <row r="113" spans="1:35" s="500" customFormat="1" ht="25" hidden="1" customHeight="1">
      <c r="A113" s="498"/>
      <c r="B113" s="546">
        <v>5</v>
      </c>
      <c r="C113" s="549"/>
      <c r="D113" s="549"/>
      <c r="E113" s="549"/>
      <c r="F113" s="549"/>
      <c r="G113" s="552"/>
      <c r="H113" s="555"/>
      <c r="I113" s="558"/>
      <c r="J113" s="499"/>
      <c r="K113" s="57">
        <f>+$K$13</f>
        <v>801016</v>
      </c>
      <c r="L113" s="499"/>
      <c r="M113" s="57">
        <f>+$M$13</f>
        <v>0</v>
      </c>
      <c r="N113" s="561"/>
      <c r="O113" s="561"/>
      <c r="P113" s="564"/>
      <c r="Q113" s="544"/>
      <c r="R113" s="544"/>
      <c r="S113" s="568">
        <f>IF(COUNTIF(J113:K115,"CUMPLE")&gt;=1,(G113*I113),0)* (IF(N113="PRESENTÓ CERTIFICADO",1,0))* (IF(O113="ACORDE A ITEM 5.2.2 (T.R.)",1,0) )* ( IF(OR(Q113="SIN OBSERVACIÓN", Q113="REQUERIMIENTOS SUBSANADOS"),1,0)) *(IF(OR(R113="NINGUNO", R113="CUMPLEN CON LO SOLICITADO"),1,0))</f>
        <v>0</v>
      </c>
      <c r="T113" s="592"/>
      <c r="U113" s="541">
        <f t="shared" si="41"/>
        <v>0</v>
      </c>
      <c r="W113" s="29"/>
      <c r="X113" s="29"/>
      <c r="Y113" s="29"/>
      <c r="Z113" s="29"/>
      <c r="AA113" s="29"/>
      <c r="AB113" s="29"/>
      <c r="AC113" s="29"/>
      <c r="AD113" s="501"/>
      <c r="AE113" s="501"/>
      <c r="AF113" s="501"/>
      <c r="AG113" s="501"/>
    </row>
    <row r="114" spans="1:35" s="500" customFormat="1" ht="25" hidden="1" customHeight="1">
      <c r="A114" s="498"/>
      <c r="B114" s="547"/>
      <c r="C114" s="550"/>
      <c r="D114" s="550"/>
      <c r="E114" s="550"/>
      <c r="F114" s="550"/>
      <c r="G114" s="553"/>
      <c r="H114" s="556"/>
      <c r="I114" s="559"/>
      <c r="J114" s="499"/>
      <c r="K114" s="57">
        <f>+$K$14</f>
        <v>811015</v>
      </c>
      <c r="L114" s="542"/>
      <c r="M114" s="544">
        <f>+$M$14</f>
        <v>0</v>
      </c>
      <c r="N114" s="562"/>
      <c r="O114" s="562"/>
      <c r="P114" s="565"/>
      <c r="Q114" s="567"/>
      <c r="R114" s="567"/>
      <c r="S114" s="569"/>
      <c r="T114" s="592"/>
      <c r="U114" s="541"/>
      <c r="W114" s="29"/>
      <c r="X114" s="29"/>
      <c r="Y114" s="29"/>
      <c r="Z114" s="29"/>
      <c r="AA114" s="29"/>
      <c r="AB114" s="29"/>
      <c r="AC114" s="29"/>
    </row>
    <row r="115" spans="1:35" s="500" customFormat="1" ht="25" hidden="1" customHeight="1">
      <c r="A115" s="498"/>
      <c r="B115" s="548"/>
      <c r="C115" s="551"/>
      <c r="D115" s="551"/>
      <c r="E115" s="551"/>
      <c r="F115" s="551"/>
      <c r="G115" s="554"/>
      <c r="H115" s="557"/>
      <c r="I115" s="560"/>
      <c r="J115" s="499"/>
      <c r="K115" s="57">
        <f>+$K$15</f>
        <v>841116</v>
      </c>
      <c r="L115" s="543"/>
      <c r="M115" s="545"/>
      <c r="N115" s="563"/>
      <c r="O115" s="563"/>
      <c r="P115" s="566"/>
      <c r="Q115" s="545"/>
      <c r="R115" s="545"/>
      <c r="S115" s="570"/>
      <c r="T115" s="593"/>
      <c r="U115" s="541"/>
      <c r="W115" s="29"/>
      <c r="X115" s="29"/>
      <c r="Y115" s="29"/>
      <c r="Z115" s="29"/>
      <c r="AA115" s="29"/>
      <c r="AB115" s="29"/>
      <c r="AC115" s="29"/>
    </row>
    <row r="116" spans="1:35" ht="25" hidden="1" customHeight="1">
      <c r="A116" s="13"/>
      <c r="B116" s="580" t="str">
        <f>IF(S117=" "," ",IF(S117&gt;=$H$6,"CUMPLE CON LA EXPERIENCIA REQUERIDA","NO CUMPLE CON LA EXPERIENCIA REQUERIDA"))</f>
        <v>NO CUMPLE CON LA EXPERIENCIA REQUERIDA</v>
      </c>
      <c r="C116" s="581"/>
      <c r="D116" s="581"/>
      <c r="E116" s="581"/>
      <c r="F116" s="581"/>
      <c r="G116" s="581"/>
      <c r="H116" s="581"/>
      <c r="I116" s="581"/>
      <c r="J116" s="581"/>
      <c r="K116" s="581"/>
      <c r="L116" s="581"/>
      <c r="M116" s="581"/>
      <c r="N116" s="581"/>
      <c r="O116" s="582"/>
      <c r="P116" s="586" t="s">
        <v>46</v>
      </c>
      <c r="Q116" s="587"/>
      <c r="R116" s="588"/>
      <c r="S116" s="503">
        <f>IF(T101="SI",SUM(S101:S115),0)</f>
        <v>0</v>
      </c>
      <c r="T116" s="589" t="str">
        <f>IF(S117=" "," ",IF(S117&gt;=$H$6,"CUMPLE","NO CUMPLE"))</f>
        <v>NO CUMPLE</v>
      </c>
      <c r="AA116" s="29"/>
      <c r="AB116" s="29"/>
      <c r="AC116" s="29"/>
      <c r="AD116" s="500"/>
      <c r="AE116" s="500"/>
      <c r="AF116" s="500"/>
      <c r="AG116" s="500"/>
      <c r="AH116" s="500"/>
    </row>
    <row r="117" spans="1:35" s="500" customFormat="1" ht="25" hidden="1" customHeight="1">
      <c r="B117" s="583"/>
      <c r="C117" s="584"/>
      <c r="D117" s="584"/>
      <c r="E117" s="584"/>
      <c r="F117" s="584"/>
      <c r="G117" s="584"/>
      <c r="H117" s="584"/>
      <c r="I117" s="584"/>
      <c r="J117" s="584"/>
      <c r="K117" s="584"/>
      <c r="L117" s="584"/>
      <c r="M117" s="584"/>
      <c r="N117" s="584"/>
      <c r="O117" s="585"/>
      <c r="P117" s="586" t="s">
        <v>47</v>
      </c>
      <c r="Q117" s="587"/>
      <c r="R117" s="588"/>
      <c r="S117" s="503">
        <f>IFERROR((S116/$P$6)," ")</f>
        <v>0</v>
      </c>
      <c r="T117" s="590"/>
      <c r="W117" s="29"/>
      <c r="X117" s="29"/>
      <c r="Y117" s="29"/>
      <c r="Z117" s="29"/>
      <c r="AA117" s="29"/>
      <c r="AB117" s="29"/>
      <c r="AC117" s="29"/>
    </row>
    <row r="118" spans="1:35" ht="30" hidden="1" customHeight="1">
      <c r="AA118" s="29"/>
      <c r="AB118" s="29"/>
      <c r="AC118" s="29"/>
      <c r="AD118" s="500"/>
      <c r="AE118" s="500"/>
      <c r="AF118" s="500"/>
      <c r="AG118" s="500"/>
    </row>
    <row r="119" spans="1:35" ht="30" hidden="1" customHeight="1">
      <c r="AA119" s="29"/>
      <c r="AB119" s="29"/>
      <c r="AC119" s="29"/>
      <c r="AD119" s="500"/>
      <c r="AE119" s="500"/>
      <c r="AF119" s="500"/>
      <c r="AG119" s="500"/>
      <c r="AH119" s="500"/>
    </row>
    <row r="120" spans="1:35" ht="66" hidden="1" customHeight="1">
      <c r="B120" s="465">
        <v>6</v>
      </c>
      <c r="C120" s="601" t="s">
        <v>25</v>
      </c>
      <c r="D120" s="602"/>
      <c r="E120" s="603"/>
      <c r="F120" s="604">
        <f>IFERROR(VLOOKUP(B120,LISTA_OFERENTES,2,FALSE)," ")</f>
        <v>0</v>
      </c>
      <c r="G120" s="605"/>
      <c r="H120" s="605"/>
      <c r="I120" s="605"/>
      <c r="J120" s="605"/>
      <c r="K120" s="605"/>
      <c r="L120" s="605"/>
      <c r="M120" s="605"/>
      <c r="N120" s="605"/>
      <c r="O120" s="606"/>
      <c r="P120" s="607" t="s">
        <v>26</v>
      </c>
      <c r="Q120" s="608"/>
      <c r="R120" s="609"/>
      <c r="S120" s="491">
        <f>5-(INT(COUNTBLANK(C123:C137))-10)</f>
        <v>0</v>
      </c>
      <c r="AA120" s="29"/>
      <c r="AB120" s="29"/>
      <c r="AC120" s="29"/>
      <c r="AD120" s="500"/>
      <c r="AE120" s="500"/>
      <c r="AF120" s="500"/>
      <c r="AG120" s="500"/>
    </row>
    <row r="121" spans="1:35" s="501" customFormat="1" ht="30" hidden="1" customHeight="1">
      <c r="B121" s="610" t="s">
        <v>27</v>
      </c>
      <c r="C121" s="596" t="s">
        <v>28</v>
      </c>
      <c r="D121" s="596" t="s">
        <v>29</v>
      </c>
      <c r="E121" s="596" t="s">
        <v>30</v>
      </c>
      <c r="F121" s="596" t="s">
        <v>31</v>
      </c>
      <c r="G121" s="596" t="s">
        <v>32</v>
      </c>
      <c r="H121" s="596" t="s">
        <v>33</v>
      </c>
      <c r="I121" s="596" t="s">
        <v>34</v>
      </c>
      <c r="J121" s="594" t="s">
        <v>35</v>
      </c>
      <c r="K121" s="612"/>
      <c r="L121" s="612"/>
      <c r="M121" s="595"/>
      <c r="N121" s="596" t="s">
        <v>36</v>
      </c>
      <c r="O121" s="596" t="s">
        <v>37</v>
      </c>
      <c r="P121" s="594" t="s">
        <v>38</v>
      </c>
      <c r="Q121" s="595"/>
      <c r="R121" s="596" t="s">
        <v>39</v>
      </c>
      <c r="S121" s="596" t="s">
        <v>40</v>
      </c>
      <c r="T121"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121" s="596" t="str">
        <f>+$U$11</f>
        <v xml:space="preserve">VERIFICACIÓN CONDICIÓN DE EXPERIENCIA  </v>
      </c>
      <c r="V121" s="504"/>
      <c r="W121" s="29"/>
      <c r="X121" s="29"/>
      <c r="Y121" s="29"/>
      <c r="Z121" s="29"/>
      <c r="AA121" s="29"/>
      <c r="AB121" s="29"/>
      <c r="AC121" s="29"/>
      <c r="AD121" s="500"/>
      <c r="AE121" s="500"/>
      <c r="AF121" s="500"/>
      <c r="AG121" s="500"/>
      <c r="AH121" s="13"/>
    </row>
    <row r="122" spans="1:35" s="501" customFormat="1" ht="106.5" hidden="1" customHeight="1">
      <c r="B122" s="611"/>
      <c r="C122" s="597"/>
      <c r="D122" s="597"/>
      <c r="E122" s="597"/>
      <c r="F122" s="597"/>
      <c r="G122" s="597"/>
      <c r="H122" s="597"/>
      <c r="I122" s="597"/>
      <c r="J122" s="598" t="s">
        <v>43</v>
      </c>
      <c r="K122" s="599"/>
      <c r="L122" s="599"/>
      <c r="M122" s="600"/>
      <c r="N122" s="597"/>
      <c r="O122" s="597"/>
      <c r="P122" s="493" t="s">
        <v>10</v>
      </c>
      <c r="Q122" s="493" t="s">
        <v>44</v>
      </c>
      <c r="R122" s="597"/>
      <c r="S122" s="597"/>
      <c r="T122" s="597"/>
      <c r="U122" s="597"/>
      <c r="V122" s="504"/>
      <c r="W122" s="29"/>
      <c r="X122" s="29"/>
      <c r="Y122" s="29"/>
      <c r="Z122" s="29"/>
      <c r="AA122" s="29"/>
      <c r="AB122" s="29"/>
      <c r="AC122" s="29"/>
      <c r="AD122" s="500"/>
      <c r="AE122" s="500"/>
      <c r="AF122" s="500"/>
      <c r="AG122" s="500"/>
      <c r="AH122" s="13"/>
    </row>
    <row r="123" spans="1:35" s="500" customFormat="1" ht="35" hidden="1" customHeight="1">
      <c r="A123" s="498"/>
      <c r="B123" s="546">
        <v>1</v>
      </c>
      <c r="C123" s="549"/>
      <c r="D123" s="549"/>
      <c r="E123" s="549"/>
      <c r="F123" s="549"/>
      <c r="G123" s="552"/>
      <c r="H123" s="555"/>
      <c r="I123" s="558"/>
      <c r="J123" s="499"/>
      <c r="K123" s="57">
        <f>+$K$13</f>
        <v>801016</v>
      </c>
      <c r="L123" s="499"/>
      <c r="M123" s="57">
        <f>+$M$13</f>
        <v>0</v>
      </c>
      <c r="N123" s="561"/>
      <c r="O123" s="561"/>
      <c r="P123" s="564"/>
      <c r="Q123" s="544"/>
      <c r="R123" s="544"/>
      <c r="S123" s="568">
        <f>IF(COUNTIF(J123:K125,"CUMPLE")&gt;=1,(G123*I123),0)* (IF(N123="PRESENTÓ CERTIFICADO",1,0))* (IF(O123="ACORDE A ITEM 5.2.2 (T.R.)",1,0) )* ( IF(OR(Q123="SIN OBSERVACIÓN", Q123="REQUERIMIENTOS SUBSANADOS"),1,0)) *(IF(OR(R123="NINGUNO", R123="CUMPLEN CON LO SOLICITADO"),1,0))</f>
        <v>0</v>
      </c>
      <c r="T123" s="591"/>
      <c r="U123" s="541">
        <f t="shared" ref="U123" si="42">IF(COUNTIF(J123:K125,"CUMPLE")&gt;=1,1,0)</f>
        <v>0</v>
      </c>
      <c r="W123" s="29"/>
      <c r="X123" s="29"/>
      <c r="Y123" s="29"/>
      <c r="Z123" s="29"/>
      <c r="AD123" s="13"/>
      <c r="AE123" s="13"/>
      <c r="AF123" s="13"/>
      <c r="AG123" s="13"/>
      <c r="AH123" s="13"/>
      <c r="AI123" s="13"/>
    </row>
    <row r="124" spans="1:35" s="500" customFormat="1" ht="35" hidden="1" customHeight="1">
      <c r="A124" s="498"/>
      <c r="B124" s="547"/>
      <c r="C124" s="550"/>
      <c r="D124" s="550"/>
      <c r="E124" s="550"/>
      <c r="F124" s="550"/>
      <c r="G124" s="553"/>
      <c r="H124" s="556"/>
      <c r="I124" s="559"/>
      <c r="J124" s="499"/>
      <c r="K124" s="57">
        <f>+$K$14</f>
        <v>811015</v>
      </c>
      <c r="L124" s="542"/>
      <c r="M124" s="544">
        <f>+$M$14</f>
        <v>0</v>
      </c>
      <c r="N124" s="562"/>
      <c r="O124" s="562"/>
      <c r="P124" s="565"/>
      <c r="Q124" s="567"/>
      <c r="R124" s="567"/>
      <c r="S124" s="569"/>
      <c r="T124" s="592"/>
      <c r="U124" s="541"/>
      <c r="W124" s="29"/>
      <c r="X124" s="29"/>
      <c r="Y124" s="29"/>
      <c r="Z124" s="29"/>
      <c r="AD124" s="13"/>
      <c r="AE124" s="13"/>
      <c r="AF124" s="13"/>
      <c r="AG124" s="13"/>
      <c r="AH124" s="13"/>
      <c r="AI124" s="13"/>
    </row>
    <row r="125" spans="1:35" s="500" customFormat="1" ht="35" hidden="1" customHeight="1">
      <c r="A125" s="498"/>
      <c r="B125" s="548"/>
      <c r="C125" s="551"/>
      <c r="D125" s="551"/>
      <c r="E125" s="551"/>
      <c r="F125" s="551"/>
      <c r="G125" s="554"/>
      <c r="H125" s="557"/>
      <c r="I125" s="560"/>
      <c r="J125" s="499"/>
      <c r="K125" s="57">
        <f>+$K$15</f>
        <v>841116</v>
      </c>
      <c r="L125" s="543"/>
      <c r="M125" s="545"/>
      <c r="N125" s="563"/>
      <c r="O125" s="563"/>
      <c r="P125" s="566"/>
      <c r="Q125" s="545"/>
      <c r="R125" s="545"/>
      <c r="S125" s="570"/>
      <c r="T125" s="592"/>
      <c r="U125" s="541"/>
      <c r="W125" s="29"/>
      <c r="X125" s="29"/>
      <c r="Y125" s="29"/>
      <c r="Z125" s="29"/>
      <c r="AD125" s="13"/>
      <c r="AE125" s="13"/>
      <c r="AF125" s="13"/>
      <c r="AG125" s="13"/>
      <c r="AH125" s="13"/>
      <c r="AI125" s="13"/>
    </row>
    <row r="126" spans="1:35" s="500" customFormat="1" ht="35" hidden="1" customHeight="1">
      <c r="A126" s="498"/>
      <c r="B126" s="546">
        <v>2</v>
      </c>
      <c r="C126" s="571"/>
      <c r="D126" s="571"/>
      <c r="E126" s="571"/>
      <c r="F126" s="571"/>
      <c r="G126" s="574"/>
      <c r="H126" s="555"/>
      <c r="I126" s="558"/>
      <c r="J126" s="499"/>
      <c r="K126" s="57">
        <f>+$K$13</f>
        <v>801016</v>
      </c>
      <c r="L126" s="499"/>
      <c r="M126" s="57">
        <f>+$M$13</f>
        <v>0</v>
      </c>
      <c r="N126" s="561"/>
      <c r="O126" s="561"/>
      <c r="P126" s="564"/>
      <c r="Q126" s="544"/>
      <c r="R126" s="544"/>
      <c r="S126" s="568">
        <f>IF(COUNTIF(J126:K128,"CUMPLE")&gt;=1,(G126*I126),0)* (IF(N126="PRESENTÓ CERTIFICADO",1,0))* (IF(O126="ACORDE A ITEM 5.2.2 (T.R.)",1,0) )* ( IF(OR(Q126="SIN OBSERVACIÓN", Q126="REQUERIMIENTOS SUBSANADOS"),1,0)) *(IF(OR(R126="NINGUNO", R126="CUMPLEN CON LO SOLICITADO"),1,0))</f>
        <v>0</v>
      </c>
      <c r="T126" s="592"/>
      <c r="U126" s="541">
        <f t="shared" ref="U126" si="43">IF(COUNTIF(J126:K128,"CUMPLE")&gt;=1,1,0)</f>
        <v>0</v>
      </c>
      <c r="W126" s="29"/>
      <c r="X126" s="29"/>
      <c r="Y126" s="29"/>
      <c r="Z126" s="29"/>
      <c r="AD126" s="13"/>
      <c r="AE126" s="13"/>
      <c r="AF126" s="13"/>
      <c r="AG126" s="13"/>
      <c r="AH126" s="13"/>
      <c r="AI126" s="13"/>
    </row>
    <row r="127" spans="1:35" s="500" customFormat="1" ht="35" hidden="1" customHeight="1">
      <c r="A127" s="498"/>
      <c r="B127" s="547"/>
      <c r="C127" s="572"/>
      <c r="D127" s="572"/>
      <c r="E127" s="572"/>
      <c r="F127" s="572"/>
      <c r="G127" s="575"/>
      <c r="H127" s="556"/>
      <c r="I127" s="559"/>
      <c r="J127" s="499"/>
      <c r="K127" s="57">
        <f>+$K$14</f>
        <v>811015</v>
      </c>
      <c r="L127" s="542"/>
      <c r="M127" s="544">
        <f>+$M$14</f>
        <v>0</v>
      </c>
      <c r="N127" s="562"/>
      <c r="O127" s="562"/>
      <c r="P127" s="565"/>
      <c r="Q127" s="567"/>
      <c r="R127" s="567"/>
      <c r="S127" s="569"/>
      <c r="T127" s="592"/>
      <c r="U127" s="541"/>
      <c r="W127" s="29"/>
      <c r="X127" s="29"/>
      <c r="Y127" s="29"/>
      <c r="Z127" s="29"/>
      <c r="AD127" s="13"/>
      <c r="AE127" s="13"/>
      <c r="AF127" s="13"/>
      <c r="AG127" s="13"/>
      <c r="AH127" s="13"/>
      <c r="AI127" s="13"/>
    </row>
    <row r="128" spans="1:35" s="500" customFormat="1" ht="35" hidden="1" customHeight="1">
      <c r="A128" s="498"/>
      <c r="B128" s="548"/>
      <c r="C128" s="573"/>
      <c r="D128" s="573"/>
      <c r="E128" s="573"/>
      <c r="F128" s="573"/>
      <c r="G128" s="576"/>
      <c r="H128" s="557"/>
      <c r="I128" s="560"/>
      <c r="J128" s="499"/>
      <c r="K128" s="57">
        <f>+$K$15</f>
        <v>841116</v>
      </c>
      <c r="L128" s="543"/>
      <c r="M128" s="545"/>
      <c r="N128" s="563"/>
      <c r="O128" s="563"/>
      <c r="P128" s="566"/>
      <c r="Q128" s="545"/>
      <c r="R128" s="545"/>
      <c r="S128" s="570"/>
      <c r="T128" s="592"/>
      <c r="U128" s="541"/>
      <c r="W128" s="29"/>
      <c r="X128" s="29"/>
      <c r="Y128" s="29"/>
      <c r="Z128" s="29"/>
      <c r="AD128" s="13"/>
      <c r="AE128" s="13"/>
      <c r="AF128" s="13"/>
      <c r="AG128" s="13"/>
      <c r="AH128" s="13"/>
      <c r="AI128" s="13"/>
    </row>
    <row r="129" spans="1:35" s="500" customFormat="1" ht="35" hidden="1" customHeight="1">
      <c r="A129" s="498"/>
      <c r="B129" s="546">
        <v>3</v>
      </c>
      <c r="C129" s="549"/>
      <c r="D129" s="549"/>
      <c r="E129" s="549"/>
      <c r="F129" s="549"/>
      <c r="G129" s="552"/>
      <c r="H129" s="555"/>
      <c r="I129" s="558"/>
      <c r="J129" s="499"/>
      <c r="K129" s="57">
        <f>+$K$13</f>
        <v>801016</v>
      </c>
      <c r="L129" s="499"/>
      <c r="M129" s="57">
        <f>+$M$13</f>
        <v>0</v>
      </c>
      <c r="N129" s="561"/>
      <c r="O129" s="561"/>
      <c r="P129" s="564"/>
      <c r="Q129" s="544"/>
      <c r="R129" s="544"/>
      <c r="S129" s="568">
        <f>IF(COUNTIF(J129:K131,"CUMPLE")&gt;=1,(G129*I129),0)* (IF(N129="PRESENTÓ CERTIFICADO",1,0))* (IF(O129="ACORDE A ITEM 5.2.2 (T.R.)",1,0) )* ( IF(OR(Q129="SIN OBSERVACIÓN", Q129="REQUERIMIENTOS SUBSANADOS"),1,0)) *(IF(OR(R129="NINGUNO", R129="CUMPLEN CON LO SOLICITADO"),1,0))</f>
        <v>0</v>
      </c>
      <c r="T129" s="592"/>
      <c r="U129" s="541">
        <f t="shared" ref="U129" si="44">IF(COUNTIF(J129:K131,"CUMPLE")&gt;=1,1,0)</f>
        <v>0</v>
      </c>
      <c r="W129" s="29"/>
      <c r="X129" s="29"/>
      <c r="Y129" s="29"/>
      <c r="Z129" s="29"/>
      <c r="AA129" s="13"/>
      <c r="AB129" s="13"/>
      <c r="AC129" s="13"/>
      <c r="AD129" s="13"/>
      <c r="AE129" s="13"/>
      <c r="AF129" s="13"/>
      <c r="AG129" s="13"/>
      <c r="AH129" s="13"/>
      <c r="AI129" s="13"/>
    </row>
    <row r="130" spans="1:35" s="500" customFormat="1" ht="35" hidden="1" customHeight="1">
      <c r="A130" s="498"/>
      <c r="B130" s="547"/>
      <c r="C130" s="550"/>
      <c r="D130" s="550"/>
      <c r="E130" s="550"/>
      <c r="F130" s="550"/>
      <c r="G130" s="553"/>
      <c r="H130" s="556"/>
      <c r="I130" s="559"/>
      <c r="J130" s="499"/>
      <c r="K130" s="57">
        <f>+$K$14</f>
        <v>811015</v>
      </c>
      <c r="L130" s="542"/>
      <c r="M130" s="544">
        <f>+$M$14</f>
        <v>0</v>
      </c>
      <c r="N130" s="562"/>
      <c r="O130" s="562"/>
      <c r="P130" s="565"/>
      <c r="Q130" s="567"/>
      <c r="R130" s="567"/>
      <c r="S130" s="569"/>
      <c r="T130" s="592"/>
      <c r="U130" s="541"/>
      <c r="W130" s="29"/>
      <c r="X130" s="29"/>
      <c r="Y130" s="29"/>
      <c r="Z130" s="29"/>
      <c r="AH130" s="13"/>
      <c r="AI130" s="13"/>
    </row>
    <row r="131" spans="1:35" s="500" customFormat="1" ht="35" hidden="1" customHeight="1">
      <c r="A131" s="498"/>
      <c r="B131" s="548"/>
      <c r="C131" s="551"/>
      <c r="D131" s="551"/>
      <c r="E131" s="551"/>
      <c r="F131" s="551"/>
      <c r="G131" s="554"/>
      <c r="H131" s="557"/>
      <c r="I131" s="560"/>
      <c r="J131" s="499"/>
      <c r="K131" s="57">
        <f>+$K$15</f>
        <v>841116</v>
      </c>
      <c r="L131" s="543"/>
      <c r="M131" s="545"/>
      <c r="N131" s="563"/>
      <c r="O131" s="563"/>
      <c r="P131" s="566"/>
      <c r="Q131" s="545"/>
      <c r="R131" s="545"/>
      <c r="S131" s="570"/>
      <c r="T131" s="592"/>
      <c r="U131" s="541"/>
      <c r="W131" s="29"/>
      <c r="X131" s="29"/>
      <c r="Y131" s="29"/>
      <c r="Z131" s="29"/>
    </row>
    <row r="132" spans="1:35" s="500" customFormat="1" ht="35" hidden="1" customHeight="1">
      <c r="A132" s="498"/>
      <c r="B132" s="546">
        <v>4</v>
      </c>
      <c r="C132" s="571"/>
      <c r="D132" s="571"/>
      <c r="E132" s="571"/>
      <c r="F132" s="571"/>
      <c r="G132" s="574"/>
      <c r="H132" s="555"/>
      <c r="I132" s="577"/>
      <c r="J132" s="499"/>
      <c r="K132" s="57">
        <f>+$K$13</f>
        <v>801016</v>
      </c>
      <c r="L132" s="499"/>
      <c r="M132" s="57">
        <f>+$M$13</f>
        <v>0</v>
      </c>
      <c r="N132" s="561"/>
      <c r="O132" s="561"/>
      <c r="P132" s="564"/>
      <c r="Q132" s="544"/>
      <c r="R132" s="544"/>
      <c r="S132" s="568">
        <f>IF(COUNTIF(J132:K134,"CUMPLE")&gt;=1,(G132*I132),0)* (IF(N132="PRESENTÓ CERTIFICADO",1,0))* (IF(O132="ACORDE A ITEM 5.2.2 (T.R.)",1,0) )* ( IF(OR(Q132="SIN OBSERVACIÓN", Q132="REQUERIMIENTOS SUBSANADOS"),1,0)) *(IF(OR(R132="NINGUNO", R132="CUMPLEN CON LO SOLICITADO"),1,0))</f>
        <v>0</v>
      </c>
      <c r="T132" s="592"/>
      <c r="U132" s="541">
        <f t="shared" ref="U132" si="45">IF(COUNTIF(J132:K134,"CUMPLE")&gt;=1,1,0)</f>
        <v>0</v>
      </c>
      <c r="W132" s="29"/>
      <c r="X132" s="29"/>
      <c r="Y132" s="29"/>
      <c r="Z132" s="29"/>
      <c r="AA132" s="13"/>
      <c r="AB132" s="13"/>
      <c r="AC132" s="13"/>
      <c r="AD132" s="13"/>
      <c r="AE132" s="13"/>
      <c r="AF132" s="13"/>
      <c r="AG132" s="13"/>
    </row>
    <row r="133" spans="1:35" s="500" customFormat="1" ht="35" hidden="1" customHeight="1">
      <c r="A133" s="498"/>
      <c r="B133" s="547"/>
      <c r="C133" s="572"/>
      <c r="D133" s="572"/>
      <c r="E133" s="572"/>
      <c r="F133" s="572"/>
      <c r="G133" s="575"/>
      <c r="H133" s="556"/>
      <c r="I133" s="578"/>
      <c r="J133" s="499"/>
      <c r="K133" s="57">
        <f>+$K$14</f>
        <v>811015</v>
      </c>
      <c r="L133" s="542"/>
      <c r="M133" s="544">
        <f>+$M$14</f>
        <v>0</v>
      </c>
      <c r="N133" s="562"/>
      <c r="O133" s="562"/>
      <c r="P133" s="565"/>
      <c r="Q133" s="567"/>
      <c r="R133" s="567"/>
      <c r="S133" s="569"/>
      <c r="T133" s="592"/>
      <c r="U133" s="541"/>
      <c r="W133" s="29"/>
      <c r="X133" s="29"/>
      <c r="Y133" s="29"/>
      <c r="Z133" s="29"/>
      <c r="AA133" s="13"/>
      <c r="AB133" s="13"/>
      <c r="AC133" s="13"/>
      <c r="AD133" s="13"/>
      <c r="AE133" s="13"/>
      <c r="AF133" s="13"/>
      <c r="AG133" s="13"/>
    </row>
    <row r="134" spans="1:35" s="500" customFormat="1" ht="35" hidden="1" customHeight="1">
      <c r="A134" s="498"/>
      <c r="B134" s="548"/>
      <c r="C134" s="573"/>
      <c r="D134" s="573"/>
      <c r="E134" s="573"/>
      <c r="F134" s="573"/>
      <c r="G134" s="576"/>
      <c r="H134" s="557"/>
      <c r="I134" s="579"/>
      <c r="J134" s="499"/>
      <c r="K134" s="57">
        <f>+$K$15</f>
        <v>841116</v>
      </c>
      <c r="L134" s="543"/>
      <c r="M134" s="545"/>
      <c r="N134" s="563"/>
      <c r="O134" s="563"/>
      <c r="P134" s="566"/>
      <c r="Q134" s="545"/>
      <c r="R134" s="545"/>
      <c r="S134" s="570"/>
      <c r="T134" s="592"/>
      <c r="U134" s="541"/>
      <c r="W134" s="29"/>
      <c r="X134" s="29"/>
      <c r="Y134" s="29"/>
      <c r="Z134" s="29"/>
      <c r="AA134" s="29"/>
      <c r="AB134" s="29"/>
      <c r="AC134" s="29"/>
      <c r="AD134" s="501"/>
      <c r="AE134" s="501"/>
      <c r="AF134" s="501"/>
      <c r="AG134" s="501"/>
    </row>
    <row r="135" spans="1:35" s="500" customFormat="1" ht="25" hidden="1" customHeight="1">
      <c r="A135" s="498"/>
      <c r="B135" s="546">
        <v>5</v>
      </c>
      <c r="C135" s="549"/>
      <c r="D135" s="549"/>
      <c r="E135" s="549"/>
      <c r="F135" s="549"/>
      <c r="G135" s="552"/>
      <c r="H135" s="555"/>
      <c r="I135" s="558"/>
      <c r="J135" s="499"/>
      <c r="K135" s="57">
        <f>+$K$13</f>
        <v>801016</v>
      </c>
      <c r="L135" s="499"/>
      <c r="M135" s="57">
        <f>+$M$13</f>
        <v>0</v>
      </c>
      <c r="N135" s="561"/>
      <c r="O135" s="561"/>
      <c r="P135" s="564"/>
      <c r="Q135" s="544"/>
      <c r="R135" s="544"/>
      <c r="S135" s="568">
        <f>IF(COUNTIF(J135:K137,"CUMPLE")&gt;=1,(G135*I135),0)* (IF(N135="PRESENTÓ CERTIFICADO",1,0))* (IF(O135="ACORDE A ITEM 5.2.2 (T.R.)",1,0) )* ( IF(OR(Q135="SIN OBSERVACIÓN", Q135="REQUERIMIENTOS SUBSANADOS"),1,0)) *(IF(OR(R135="NINGUNO", R135="CUMPLEN CON LO SOLICITADO"),1,0))</f>
        <v>0</v>
      </c>
      <c r="T135" s="592"/>
      <c r="U135" s="541">
        <f t="shared" ref="U135" si="46">IF(COUNTIF(J135:K137,"CUMPLE")&gt;=1,1,0)</f>
        <v>0</v>
      </c>
      <c r="W135" s="29"/>
      <c r="X135" s="29"/>
      <c r="Y135" s="29"/>
      <c r="Z135" s="29"/>
      <c r="AA135" s="29"/>
      <c r="AB135" s="29"/>
      <c r="AC135" s="29"/>
      <c r="AD135" s="501"/>
      <c r="AE135" s="501"/>
      <c r="AF135" s="501"/>
      <c r="AG135" s="501"/>
    </row>
    <row r="136" spans="1:35" s="500" customFormat="1" ht="25" hidden="1" customHeight="1">
      <c r="A136" s="498"/>
      <c r="B136" s="547"/>
      <c r="C136" s="550"/>
      <c r="D136" s="550"/>
      <c r="E136" s="550"/>
      <c r="F136" s="550"/>
      <c r="G136" s="553"/>
      <c r="H136" s="556"/>
      <c r="I136" s="559"/>
      <c r="J136" s="499"/>
      <c r="K136" s="57">
        <f>+$K$14</f>
        <v>811015</v>
      </c>
      <c r="L136" s="542"/>
      <c r="M136" s="544">
        <f>+$M$14</f>
        <v>0</v>
      </c>
      <c r="N136" s="562"/>
      <c r="O136" s="562"/>
      <c r="P136" s="565"/>
      <c r="Q136" s="567"/>
      <c r="R136" s="567"/>
      <c r="S136" s="569"/>
      <c r="T136" s="592"/>
      <c r="U136" s="541"/>
      <c r="W136" s="29"/>
      <c r="X136" s="29"/>
      <c r="Y136" s="29"/>
      <c r="Z136" s="29"/>
      <c r="AA136" s="29"/>
      <c r="AB136" s="29"/>
      <c r="AC136" s="29"/>
    </row>
    <row r="137" spans="1:35" s="500" customFormat="1" ht="25" hidden="1" customHeight="1">
      <c r="A137" s="498"/>
      <c r="B137" s="548"/>
      <c r="C137" s="551"/>
      <c r="D137" s="551"/>
      <c r="E137" s="551"/>
      <c r="F137" s="551"/>
      <c r="G137" s="554"/>
      <c r="H137" s="557"/>
      <c r="I137" s="560"/>
      <c r="J137" s="499"/>
      <c r="K137" s="57">
        <f>+$K$15</f>
        <v>841116</v>
      </c>
      <c r="L137" s="543"/>
      <c r="M137" s="545"/>
      <c r="N137" s="563"/>
      <c r="O137" s="563"/>
      <c r="P137" s="566"/>
      <c r="Q137" s="545"/>
      <c r="R137" s="545"/>
      <c r="S137" s="570"/>
      <c r="T137" s="593"/>
      <c r="U137" s="541"/>
      <c r="W137" s="29"/>
      <c r="X137" s="29"/>
      <c r="Y137" s="29"/>
      <c r="Z137" s="29"/>
      <c r="AA137" s="29"/>
      <c r="AB137" s="29"/>
      <c r="AC137" s="29"/>
    </row>
    <row r="138" spans="1:35" ht="25" hidden="1" customHeight="1">
      <c r="A138" s="13"/>
      <c r="B138" s="580" t="str">
        <f>IF(S139=" "," ",IF(S139&gt;=$H$6,"CUMPLE CON LA EXPERIENCIA REQUERIDA","NO CUMPLE CON LA EXPERIENCIA REQUERIDA"))</f>
        <v>NO CUMPLE CON LA EXPERIENCIA REQUERIDA</v>
      </c>
      <c r="C138" s="581"/>
      <c r="D138" s="581"/>
      <c r="E138" s="581"/>
      <c r="F138" s="581"/>
      <c r="G138" s="581"/>
      <c r="H138" s="581"/>
      <c r="I138" s="581"/>
      <c r="J138" s="581"/>
      <c r="K138" s="581"/>
      <c r="L138" s="581"/>
      <c r="M138" s="581"/>
      <c r="N138" s="581"/>
      <c r="O138" s="582"/>
      <c r="P138" s="586" t="s">
        <v>46</v>
      </c>
      <c r="Q138" s="587"/>
      <c r="R138" s="588"/>
      <c r="S138" s="503">
        <f>IF(T123="SI",SUM(S123:S137),0)</f>
        <v>0</v>
      </c>
      <c r="T138" s="589" t="str">
        <f>IF(S139=" "," ",IF(S139&gt;=$H$6,"CUMPLE","NO CUMPLE"))</f>
        <v>NO CUMPLE</v>
      </c>
      <c r="AA138" s="29"/>
      <c r="AB138" s="29"/>
      <c r="AC138" s="29"/>
      <c r="AD138" s="500"/>
      <c r="AE138" s="500"/>
      <c r="AF138" s="500"/>
      <c r="AG138" s="500"/>
      <c r="AH138" s="500"/>
    </row>
    <row r="139" spans="1:35" s="500" customFormat="1" ht="25" hidden="1" customHeight="1">
      <c r="B139" s="583"/>
      <c r="C139" s="584"/>
      <c r="D139" s="584"/>
      <c r="E139" s="584"/>
      <c r="F139" s="584"/>
      <c r="G139" s="584"/>
      <c r="H139" s="584"/>
      <c r="I139" s="584"/>
      <c r="J139" s="584"/>
      <c r="K139" s="584"/>
      <c r="L139" s="584"/>
      <c r="M139" s="584"/>
      <c r="N139" s="584"/>
      <c r="O139" s="585"/>
      <c r="P139" s="586" t="s">
        <v>47</v>
      </c>
      <c r="Q139" s="587"/>
      <c r="R139" s="588"/>
      <c r="S139" s="503">
        <f>IFERROR((S138/$P$6)," ")</f>
        <v>0</v>
      </c>
      <c r="T139" s="590"/>
      <c r="W139" s="29"/>
      <c r="X139" s="29"/>
      <c r="Y139" s="29"/>
      <c r="Z139" s="29"/>
      <c r="AA139" s="29"/>
      <c r="AB139" s="29"/>
      <c r="AC139" s="29"/>
    </row>
    <row r="140" spans="1:35" ht="30" hidden="1" customHeight="1">
      <c r="AA140" s="29"/>
      <c r="AB140" s="29"/>
      <c r="AC140" s="29"/>
      <c r="AD140" s="500"/>
      <c r="AE140" s="500"/>
      <c r="AF140" s="500"/>
      <c r="AG140" s="500"/>
    </row>
    <row r="141" spans="1:35" ht="30" hidden="1" customHeight="1">
      <c r="AA141" s="29"/>
      <c r="AB141" s="29"/>
      <c r="AC141" s="29"/>
      <c r="AD141" s="500"/>
      <c r="AE141" s="500"/>
      <c r="AF141" s="500"/>
      <c r="AG141" s="500"/>
      <c r="AH141" s="500"/>
    </row>
    <row r="142" spans="1:35" ht="64.5" hidden="1" customHeight="1">
      <c r="B142" s="465">
        <v>7</v>
      </c>
      <c r="C142" s="601" t="s">
        <v>25</v>
      </c>
      <c r="D142" s="602"/>
      <c r="E142" s="603"/>
      <c r="F142" s="604">
        <f>IFERROR(VLOOKUP(B142,LISTA_OFERENTES,2,FALSE)," ")</f>
        <v>0</v>
      </c>
      <c r="G142" s="605"/>
      <c r="H142" s="605"/>
      <c r="I142" s="605"/>
      <c r="J142" s="605"/>
      <c r="K142" s="605"/>
      <c r="L142" s="605"/>
      <c r="M142" s="605"/>
      <c r="N142" s="605"/>
      <c r="O142" s="606"/>
      <c r="P142" s="607" t="s">
        <v>26</v>
      </c>
      <c r="Q142" s="608"/>
      <c r="R142" s="609"/>
      <c r="S142" s="491">
        <f>5-(INT(COUNTBLANK(C145:C159))-10)</f>
        <v>0</v>
      </c>
      <c r="AA142" s="29"/>
      <c r="AB142" s="29"/>
      <c r="AC142" s="29"/>
      <c r="AD142" s="500"/>
      <c r="AE142" s="500"/>
      <c r="AF142" s="500"/>
      <c r="AG142" s="500"/>
    </row>
    <row r="143" spans="1:35" s="501" customFormat="1" ht="30" hidden="1" customHeight="1">
      <c r="B143" s="610" t="s">
        <v>27</v>
      </c>
      <c r="C143" s="596" t="s">
        <v>28</v>
      </c>
      <c r="D143" s="596" t="s">
        <v>29</v>
      </c>
      <c r="E143" s="596" t="s">
        <v>30</v>
      </c>
      <c r="F143" s="596" t="s">
        <v>31</v>
      </c>
      <c r="G143" s="596" t="s">
        <v>32</v>
      </c>
      <c r="H143" s="596" t="s">
        <v>33</v>
      </c>
      <c r="I143" s="596" t="s">
        <v>34</v>
      </c>
      <c r="J143" s="594" t="s">
        <v>35</v>
      </c>
      <c r="K143" s="612"/>
      <c r="L143" s="612"/>
      <c r="M143" s="595"/>
      <c r="N143" s="596" t="s">
        <v>36</v>
      </c>
      <c r="O143" s="596" t="s">
        <v>37</v>
      </c>
      <c r="P143" s="594" t="s">
        <v>38</v>
      </c>
      <c r="Q143" s="595"/>
      <c r="R143" s="596" t="s">
        <v>39</v>
      </c>
      <c r="S143" s="596" t="s">
        <v>40</v>
      </c>
      <c r="T143"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143" s="596" t="str">
        <f>+$U$11</f>
        <v xml:space="preserve">VERIFICACIÓN CONDICIÓN DE EXPERIENCIA  </v>
      </c>
      <c r="V143" s="504"/>
      <c r="W143" s="29"/>
      <c r="X143" s="29"/>
      <c r="Y143" s="29"/>
      <c r="Z143" s="29"/>
      <c r="AA143" s="29"/>
      <c r="AB143" s="29"/>
      <c r="AC143" s="29"/>
      <c r="AD143" s="500"/>
      <c r="AE143" s="500"/>
      <c r="AF143" s="500"/>
      <c r="AG143" s="500"/>
      <c r="AH143" s="13"/>
    </row>
    <row r="144" spans="1:35" s="501" customFormat="1" ht="113.25" hidden="1" customHeight="1">
      <c r="B144" s="611"/>
      <c r="C144" s="597"/>
      <c r="D144" s="597"/>
      <c r="E144" s="597"/>
      <c r="F144" s="597"/>
      <c r="G144" s="597"/>
      <c r="H144" s="597"/>
      <c r="I144" s="597"/>
      <c r="J144" s="598" t="s">
        <v>43</v>
      </c>
      <c r="K144" s="599"/>
      <c r="L144" s="599"/>
      <c r="M144" s="600"/>
      <c r="N144" s="597"/>
      <c r="O144" s="597"/>
      <c r="P144" s="493" t="s">
        <v>10</v>
      </c>
      <c r="Q144" s="493" t="s">
        <v>44</v>
      </c>
      <c r="R144" s="597"/>
      <c r="S144" s="597"/>
      <c r="T144" s="597"/>
      <c r="U144" s="597"/>
      <c r="V144" s="504"/>
      <c r="W144" s="29"/>
      <c r="X144" s="29"/>
      <c r="Y144" s="29"/>
      <c r="Z144" s="29"/>
      <c r="AA144" s="29"/>
      <c r="AB144" s="29"/>
      <c r="AC144" s="29"/>
      <c r="AD144" s="500"/>
      <c r="AE144" s="500"/>
      <c r="AF144" s="500"/>
      <c r="AG144" s="500"/>
      <c r="AH144" s="13"/>
    </row>
    <row r="145" spans="1:35" s="500" customFormat="1" ht="25" hidden="1" customHeight="1">
      <c r="A145" s="498"/>
      <c r="B145" s="546">
        <v>1</v>
      </c>
      <c r="C145" s="549"/>
      <c r="D145" s="549"/>
      <c r="E145" s="549"/>
      <c r="F145" s="549"/>
      <c r="G145" s="552"/>
      <c r="H145" s="555"/>
      <c r="I145" s="558"/>
      <c r="J145" s="499"/>
      <c r="K145" s="57">
        <f>+$K$13</f>
        <v>801016</v>
      </c>
      <c r="L145" s="499"/>
      <c r="M145" s="57">
        <f>+$M$13</f>
        <v>0</v>
      </c>
      <c r="N145" s="561"/>
      <c r="O145" s="561"/>
      <c r="P145" s="564"/>
      <c r="Q145" s="544"/>
      <c r="R145" s="544"/>
      <c r="S145" s="568">
        <f>IF(COUNTIF(J145:K147,"CUMPLE")&gt;=1,(G145*I145),0)* (IF(N145="PRESENTÓ CERTIFICADO",1,0))* (IF(O145="ACORDE A ITEM 5.2.2 (T.R.)",1,0) )* ( IF(OR(Q145="SIN OBSERVACIÓN", Q145="REQUERIMIENTOS SUBSANADOS"),1,0)) *(IF(OR(R145="NINGUNO", R145="CUMPLEN CON LO SOLICITADO"),1,0))</f>
        <v>0</v>
      </c>
      <c r="T145" s="591"/>
      <c r="U145" s="541">
        <f>IF(COUNTIF(J145:K147,"CUMPLE")&gt;=1,1,0)</f>
        <v>0</v>
      </c>
      <c r="W145" s="29"/>
      <c r="X145" s="29"/>
      <c r="Y145" s="29"/>
      <c r="Z145" s="29"/>
      <c r="AD145" s="13"/>
      <c r="AE145" s="13"/>
      <c r="AF145" s="13"/>
      <c r="AG145" s="13"/>
      <c r="AH145" s="13"/>
      <c r="AI145" s="13"/>
    </row>
    <row r="146" spans="1:35" s="500" customFormat="1" ht="25" hidden="1" customHeight="1">
      <c r="A146" s="498"/>
      <c r="B146" s="547"/>
      <c r="C146" s="550"/>
      <c r="D146" s="550"/>
      <c r="E146" s="550"/>
      <c r="F146" s="550"/>
      <c r="G146" s="553"/>
      <c r="H146" s="556"/>
      <c r="I146" s="559"/>
      <c r="J146" s="499"/>
      <c r="K146" s="57">
        <f>+$K$14</f>
        <v>811015</v>
      </c>
      <c r="L146" s="542"/>
      <c r="M146" s="544">
        <f>+$M$14</f>
        <v>0</v>
      </c>
      <c r="N146" s="562"/>
      <c r="O146" s="562"/>
      <c r="P146" s="565"/>
      <c r="Q146" s="567"/>
      <c r="R146" s="567"/>
      <c r="S146" s="569"/>
      <c r="T146" s="592"/>
      <c r="U146" s="541"/>
      <c r="W146" s="29"/>
      <c r="X146" s="29"/>
      <c r="Y146" s="29"/>
      <c r="Z146" s="29"/>
      <c r="AD146" s="13"/>
      <c r="AE146" s="13"/>
      <c r="AF146" s="13"/>
      <c r="AG146" s="13"/>
      <c r="AH146" s="13"/>
      <c r="AI146" s="13"/>
    </row>
    <row r="147" spans="1:35" s="500" customFormat="1" ht="36" hidden="1" customHeight="1">
      <c r="A147" s="498"/>
      <c r="B147" s="548"/>
      <c r="C147" s="551"/>
      <c r="D147" s="551"/>
      <c r="E147" s="551"/>
      <c r="F147" s="551"/>
      <c r="G147" s="554"/>
      <c r="H147" s="557"/>
      <c r="I147" s="560"/>
      <c r="J147" s="499"/>
      <c r="K147" s="57">
        <f>+$K$15</f>
        <v>841116</v>
      </c>
      <c r="L147" s="543"/>
      <c r="M147" s="545"/>
      <c r="N147" s="563"/>
      <c r="O147" s="563"/>
      <c r="P147" s="566"/>
      <c r="Q147" s="545"/>
      <c r="R147" s="545"/>
      <c r="S147" s="570"/>
      <c r="T147" s="592"/>
      <c r="U147" s="541"/>
      <c r="W147" s="29"/>
      <c r="X147" s="29"/>
      <c r="Y147" s="29"/>
      <c r="Z147" s="29"/>
      <c r="AD147" s="13"/>
      <c r="AE147" s="13"/>
      <c r="AF147" s="13"/>
      <c r="AG147" s="13"/>
      <c r="AH147" s="13"/>
      <c r="AI147" s="13"/>
    </row>
    <row r="148" spans="1:35" s="500" customFormat="1" ht="25" hidden="1" customHeight="1">
      <c r="A148" s="498"/>
      <c r="B148" s="546">
        <v>2</v>
      </c>
      <c r="C148" s="571"/>
      <c r="D148" s="571"/>
      <c r="E148" s="571"/>
      <c r="F148" s="549"/>
      <c r="G148" s="574"/>
      <c r="H148" s="555"/>
      <c r="I148" s="577"/>
      <c r="J148" s="499"/>
      <c r="K148" s="57">
        <f>+$K$13</f>
        <v>801016</v>
      </c>
      <c r="L148" s="499"/>
      <c r="M148" s="57">
        <f>+$M$13</f>
        <v>0</v>
      </c>
      <c r="N148" s="561"/>
      <c r="O148" s="561"/>
      <c r="P148" s="564"/>
      <c r="Q148" s="544"/>
      <c r="R148" s="544"/>
      <c r="S148" s="568">
        <f>IF(COUNTIF(J148:K150,"CUMPLE")&gt;=1,(G148*I148),0)* (IF(N148="PRESENTÓ CERTIFICADO",1,0))* (IF(O148="ACORDE A ITEM 5.2.2 (T.R.)",1,0) )* ( IF(OR(Q148="SIN OBSERVACIÓN", Q148="REQUERIMIENTOS SUBSANADOS"),1,0)) *(IF(OR(R148="NINGUNO", R148="CUMPLEN CON LO SOLICITADO"),1,0))</f>
        <v>0</v>
      </c>
      <c r="T148" s="592"/>
      <c r="U148" s="541">
        <f>IF(COUNTIF(J148:K150,"CUMPLE")&gt;=1,1,0)</f>
        <v>0</v>
      </c>
      <c r="W148" s="29"/>
      <c r="X148" s="29"/>
      <c r="Y148" s="29"/>
      <c r="Z148" s="29"/>
      <c r="AD148" s="13"/>
      <c r="AE148" s="13"/>
      <c r="AF148" s="13"/>
      <c r="AG148" s="13"/>
      <c r="AH148" s="13"/>
      <c r="AI148" s="13"/>
    </row>
    <row r="149" spans="1:35" s="500" customFormat="1" ht="25" hidden="1" customHeight="1">
      <c r="A149" s="498"/>
      <c r="B149" s="547"/>
      <c r="C149" s="572"/>
      <c r="D149" s="572"/>
      <c r="E149" s="572"/>
      <c r="F149" s="550"/>
      <c r="G149" s="575"/>
      <c r="H149" s="556"/>
      <c r="I149" s="578"/>
      <c r="J149" s="499"/>
      <c r="K149" s="57">
        <f>+$K$14</f>
        <v>811015</v>
      </c>
      <c r="L149" s="542"/>
      <c r="M149" s="544">
        <f>+$M$14</f>
        <v>0</v>
      </c>
      <c r="N149" s="562"/>
      <c r="O149" s="562"/>
      <c r="P149" s="565"/>
      <c r="Q149" s="567"/>
      <c r="R149" s="567"/>
      <c r="S149" s="569"/>
      <c r="T149" s="592"/>
      <c r="U149" s="541"/>
      <c r="W149" s="29"/>
      <c r="X149" s="29"/>
      <c r="Y149" s="29"/>
      <c r="Z149" s="29"/>
      <c r="AD149" s="13"/>
      <c r="AE149" s="13"/>
      <c r="AF149" s="13"/>
      <c r="AG149" s="13"/>
      <c r="AH149" s="13"/>
      <c r="AI149" s="13"/>
    </row>
    <row r="150" spans="1:35" s="500" customFormat="1" ht="40.5" hidden="1" customHeight="1">
      <c r="A150" s="498"/>
      <c r="B150" s="548"/>
      <c r="C150" s="573"/>
      <c r="D150" s="573"/>
      <c r="E150" s="573"/>
      <c r="F150" s="551"/>
      <c r="G150" s="576"/>
      <c r="H150" s="557"/>
      <c r="I150" s="579"/>
      <c r="J150" s="499"/>
      <c r="K150" s="57">
        <f>+$K$15</f>
        <v>841116</v>
      </c>
      <c r="L150" s="543"/>
      <c r="M150" s="545"/>
      <c r="N150" s="563"/>
      <c r="O150" s="563"/>
      <c r="P150" s="566"/>
      <c r="Q150" s="545"/>
      <c r="R150" s="545"/>
      <c r="S150" s="570"/>
      <c r="T150" s="592"/>
      <c r="U150" s="541"/>
      <c r="W150" s="29"/>
      <c r="X150" s="29"/>
      <c r="Y150" s="29"/>
      <c r="Z150" s="29"/>
      <c r="AD150" s="13"/>
      <c r="AE150" s="13"/>
      <c r="AF150" s="13"/>
      <c r="AG150" s="13"/>
      <c r="AH150" s="13"/>
      <c r="AI150" s="13"/>
    </row>
    <row r="151" spans="1:35" s="500" customFormat="1" ht="25" hidden="1" customHeight="1">
      <c r="A151" s="498"/>
      <c r="B151" s="546">
        <v>3</v>
      </c>
      <c r="C151" s="549"/>
      <c r="D151" s="549"/>
      <c r="E151" s="549"/>
      <c r="F151" s="549"/>
      <c r="G151" s="552"/>
      <c r="H151" s="555"/>
      <c r="I151" s="558"/>
      <c r="J151" s="499"/>
      <c r="K151" s="57">
        <f>+$K$13</f>
        <v>801016</v>
      </c>
      <c r="L151" s="499"/>
      <c r="M151" s="57">
        <f>+$M$13</f>
        <v>0</v>
      </c>
      <c r="N151" s="561"/>
      <c r="O151" s="561"/>
      <c r="P151" s="564"/>
      <c r="Q151" s="544"/>
      <c r="R151" s="544"/>
      <c r="S151" s="568">
        <f>IF(COUNTIF(J151:K153,"CUMPLE")&gt;=1,(G151*I151),0)* (IF(N151="PRESENTÓ CERTIFICADO",1,0))* (IF(O151="ACORDE A ITEM 5.2.2 (T.R.)",1,0) )* ( IF(OR(Q151="SIN OBSERVACIÓN", Q151="REQUERIMIENTOS SUBSANADOS"),1,0)) *(IF(OR(R151="NINGUNO", R151="CUMPLEN CON LO SOLICITADO"),1,0))</f>
        <v>0</v>
      </c>
      <c r="T151" s="592"/>
      <c r="U151" s="541">
        <f>IF(COUNTIF(L151:M153,"CUMPLE")&gt;=1,1,0)</f>
        <v>0</v>
      </c>
      <c r="W151" s="29"/>
      <c r="X151" s="29"/>
      <c r="Y151" s="29"/>
      <c r="Z151" s="29"/>
      <c r="AA151" s="13"/>
      <c r="AB151" s="13"/>
      <c r="AC151" s="13"/>
      <c r="AD151" s="13"/>
      <c r="AE151" s="13"/>
      <c r="AF151" s="13"/>
      <c r="AG151" s="13"/>
      <c r="AH151" s="13"/>
      <c r="AI151" s="13"/>
    </row>
    <row r="152" spans="1:35" s="500" customFormat="1" ht="25" hidden="1" customHeight="1">
      <c r="A152" s="498"/>
      <c r="B152" s="547"/>
      <c r="C152" s="550"/>
      <c r="D152" s="550"/>
      <c r="E152" s="550"/>
      <c r="F152" s="550"/>
      <c r="G152" s="553"/>
      <c r="H152" s="556"/>
      <c r="I152" s="559"/>
      <c r="J152" s="499"/>
      <c r="K152" s="57">
        <f>+$K$14</f>
        <v>811015</v>
      </c>
      <c r="L152" s="542"/>
      <c r="M152" s="544">
        <f>+$M$14</f>
        <v>0</v>
      </c>
      <c r="N152" s="562"/>
      <c r="O152" s="562"/>
      <c r="P152" s="565"/>
      <c r="Q152" s="567"/>
      <c r="R152" s="567"/>
      <c r="S152" s="569"/>
      <c r="T152" s="592"/>
      <c r="U152" s="541"/>
      <c r="W152" s="29"/>
      <c r="X152" s="29"/>
      <c r="Y152" s="29"/>
      <c r="Z152" s="29"/>
      <c r="AH152" s="13"/>
      <c r="AI152" s="13"/>
    </row>
    <row r="153" spans="1:35" s="500" customFormat="1" ht="35.25" hidden="1" customHeight="1">
      <c r="A153" s="498"/>
      <c r="B153" s="548"/>
      <c r="C153" s="551"/>
      <c r="D153" s="551"/>
      <c r="E153" s="551"/>
      <c r="F153" s="551"/>
      <c r="G153" s="554"/>
      <c r="H153" s="557"/>
      <c r="I153" s="560"/>
      <c r="J153" s="499"/>
      <c r="K153" s="57">
        <f>+$K$15</f>
        <v>841116</v>
      </c>
      <c r="L153" s="543"/>
      <c r="M153" s="545"/>
      <c r="N153" s="563"/>
      <c r="O153" s="563"/>
      <c r="P153" s="566"/>
      <c r="Q153" s="545"/>
      <c r="R153" s="545"/>
      <c r="S153" s="570"/>
      <c r="T153" s="592"/>
      <c r="U153" s="541"/>
      <c r="W153" s="29"/>
      <c r="X153" s="29"/>
      <c r="Y153" s="29"/>
      <c r="Z153" s="29"/>
    </row>
    <row r="154" spans="1:35" s="500" customFormat="1" ht="25" hidden="1" customHeight="1">
      <c r="A154" s="498"/>
      <c r="B154" s="546">
        <v>4</v>
      </c>
      <c r="C154" s="571"/>
      <c r="D154" s="571"/>
      <c r="E154" s="571"/>
      <c r="F154" s="571"/>
      <c r="G154" s="574"/>
      <c r="H154" s="555"/>
      <c r="I154" s="577"/>
      <c r="J154" s="499"/>
      <c r="K154" s="57">
        <f>+$K$13</f>
        <v>801016</v>
      </c>
      <c r="L154" s="499"/>
      <c r="M154" s="57">
        <f>+$M$13</f>
        <v>0</v>
      </c>
      <c r="N154" s="561"/>
      <c r="O154" s="561"/>
      <c r="P154" s="564"/>
      <c r="Q154" s="544"/>
      <c r="R154" s="544"/>
      <c r="S154" s="568">
        <f>IF(COUNTIF(J154:K156,"CUMPLE")&gt;=1,(G154*I154),0)* (IF(N154="PRESENTÓ CERTIFICADO",1,0))* (IF(O154="ACORDE A ITEM 5.2.2 (T.R.)",1,0) )* ( IF(OR(Q154="SIN OBSERVACIÓN", Q154="REQUERIMIENTOS SUBSANADOS"),1,0)) *(IF(OR(R154="NINGUNO", R154="CUMPLEN CON LO SOLICITADO"),1,0))</f>
        <v>0</v>
      </c>
      <c r="T154" s="592"/>
      <c r="U154" s="541">
        <f>IF(COUNTIF(L154:M156,"CUMPLE")&gt;=1,1,0)</f>
        <v>0</v>
      </c>
      <c r="W154" s="29"/>
      <c r="X154" s="29"/>
      <c r="Y154" s="29"/>
      <c r="Z154" s="29"/>
      <c r="AA154" s="13"/>
      <c r="AB154" s="13"/>
      <c r="AC154" s="13"/>
      <c r="AD154" s="13"/>
      <c r="AE154" s="13"/>
      <c r="AF154" s="13"/>
      <c r="AG154" s="13"/>
    </row>
    <row r="155" spans="1:35" s="500" customFormat="1" ht="25" hidden="1" customHeight="1">
      <c r="A155" s="498"/>
      <c r="B155" s="547"/>
      <c r="C155" s="572"/>
      <c r="D155" s="572"/>
      <c r="E155" s="572"/>
      <c r="F155" s="572"/>
      <c r="G155" s="575"/>
      <c r="H155" s="556"/>
      <c r="I155" s="578"/>
      <c r="J155" s="499"/>
      <c r="K155" s="57">
        <f>+$K$14</f>
        <v>811015</v>
      </c>
      <c r="L155" s="542"/>
      <c r="M155" s="544">
        <f>+$M$14</f>
        <v>0</v>
      </c>
      <c r="N155" s="562"/>
      <c r="O155" s="562"/>
      <c r="P155" s="565"/>
      <c r="Q155" s="567"/>
      <c r="R155" s="567"/>
      <c r="S155" s="569"/>
      <c r="T155" s="592"/>
      <c r="U155" s="541"/>
      <c r="W155" s="29"/>
      <c r="X155" s="29"/>
      <c r="Y155" s="29"/>
      <c r="Z155" s="29"/>
      <c r="AA155" s="13"/>
      <c r="AB155" s="13"/>
      <c r="AC155" s="13"/>
      <c r="AD155" s="13"/>
      <c r="AE155" s="13"/>
      <c r="AF155" s="13"/>
      <c r="AG155" s="13"/>
    </row>
    <row r="156" spans="1:35" s="500" customFormat="1" ht="25" hidden="1" customHeight="1">
      <c r="A156" s="498"/>
      <c r="B156" s="548"/>
      <c r="C156" s="573"/>
      <c r="D156" s="573"/>
      <c r="E156" s="573"/>
      <c r="F156" s="573"/>
      <c r="G156" s="576"/>
      <c r="H156" s="557"/>
      <c r="I156" s="579"/>
      <c r="J156" s="499"/>
      <c r="K156" s="57">
        <f>+$K$15</f>
        <v>841116</v>
      </c>
      <c r="L156" s="543"/>
      <c r="M156" s="545"/>
      <c r="N156" s="563"/>
      <c r="O156" s="563"/>
      <c r="P156" s="566"/>
      <c r="Q156" s="545"/>
      <c r="R156" s="545"/>
      <c r="S156" s="570"/>
      <c r="T156" s="592"/>
      <c r="U156" s="541"/>
      <c r="W156" s="29"/>
      <c r="X156" s="29"/>
      <c r="Y156" s="29"/>
      <c r="Z156" s="29"/>
      <c r="AA156" s="29"/>
      <c r="AB156" s="29"/>
      <c r="AC156" s="29"/>
      <c r="AD156" s="501"/>
      <c r="AE156" s="501"/>
      <c r="AF156" s="501"/>
      <c r="AG156" s="501"/>
    </row>
    <row r="157" spans="1:35" s="500" customFormat="1" ht="25" hidden="1" customHeight="1">
      <c r="A157" s="498"/>
      <c r="B157" s="546">
        <v>5</v>
      </c>
      <c r="C157" s="549"/>
      <c r="D157" s="549"/>
      <c r="E157" s="549"/>
      <c r="F157" s="549"/>
      <c r="G157" s="552"/>
      <c r="H157" s="555"/>
      <c r="I157" s="558"/>
      <c r="J157" s="499"/>
      <c r="K157" s="57">
        <f>+$K$13</f>
        <v>801016</v>
      </c>
      <c r="L157" s="499"/>
      <c r="M157" s="57">
        <f>+$M$13</f>
        <v>0</v>
      </c>
      <c r="N157" s="561"/>
      <c r="O157" s="561"/>
      <c r="P157" s="564"/>
      <c r="Q157" s="544"/>
      <c r="R157" s="544"/>
      <c r="S157" s="568">
        <f>IF(COUNTIF(J157:K159,"CUMPLE")&gt;=1,(G157*I157),0)* (IF(N157="PRESENTÓ CERTIFICADO",1,0))* (IF(O157="ACORDE A ITEM 5.2.2 (T.R.)",1,0) )* ( IF(OR(Q157="SIN OBSERVACIÓN", Q157="REQUERIMIENTOS SUBSANADOS"),1,0)) *(IF(OR(R157="NINGUNO", R157="CUMPLEN CON LO SOLICITADO"),1,0))</f>
        <v>0</v>
      </c>
      <c r="T157" s="592"/>
      <c r="U157" s="541">
        <f>IF(COUNTIF(L157:M159,"CUMPLE")&gt;=1,1,0)</f>
        <v>0</v>
      </c>
      <c r="W157" s="29"/>
      <c r="X157" s="29"/>
      <c r="Y157" s="29"/>
      <c r="Z157" s="29"/>
      <c r="AA157" s="29"/>
      <c r="AB157" s="29"/>
      <c r="AC157" s="29"/>
      <c r="AD157" s="501"/>
      <c r="AE157" s="501"/>
      <c r="AF157" s="501"/>
      <c r="AG157" s="501"/>
    </row>
    <row r="158" spans="1:35" s="500" customFormat="1" ht="25" hidden="1" customHeight="1">
      <c r="A158" s="498"/>
      <c r="B158" s="547"/>
      <c r="C158" s="550"/>
      <c r="D158" s="550"/>
      <c r="E158" s="550"/>
      <c r="F158" s="550"/>
      <c r="G158" s="553"/>
      <c r="H158" s="556"/>
      <c r="I158" s="559"/>
      <c r="J158" s="499"/>
      <c r="K158" s="57">
        <f>+$K$14</f>
        <v>811015</v>
      </c>
      <c r="L158" s="542"/>
      <c r="M158" s="544">
        <f>+$M$14</f>
        <v>0</v>
      </c>
      <c r="N158" s="562"/>
      <c r="O158" s="562"/>
      <c r="P158" s="565"/>
      <c r="Q158" s="567"/>
      <c r="R158" s="567"/>
      <c r="S158" s="569"/>
      <c r="T158" s="592"/>
      <c r="U158" s="541"/>
      <c r="W158" s="29"/>
      <c r="X158" s="29"/>
      <c r="Y158" s="29"/>
      <c r="Z158" s="29"/>
      <c r="AA158" s="29"/>
      <c r="AB158" s="29"/>
      <c r="AC158" s="29"/>
    </row>
    <row r="159" spans="1:35" s="500" customFormat="1" ht="25" hidden="1" customHeight="1">
      <c r="A159" s="498"/>
      <c r="B159" s="548"/>
      <c r="C159" s="551"/>
      <c r="D159" s="551"/>
      <c r="E159" s="551"/>
      <c r="F159" s="551"/>
      <c r="G159" s="554"/>
      <c r="H159" s="557"/>
      <c r="I159" s="560"/>
      <c r="J159" s="499"/>
      <c r="K159" s="57">
        <f>+$K$15</f>
        <v>841116</v>
      </c>
      <c r="L159" s="543"/>
      <c r="M159" s="545"/>
      <c r="N159" s="563"/>
      <c r="O159" s="563"/>
      <c r="P159" s="566"/>
      <c r="Q159" s="545"/>
      <c r="R159" s="545"/>
      <c r="S159" s="570"/>
      <c r="T159" s="593"/>
      <c r="U159" s="541"/>
      <c r="W159" s="29"/>
      <c r="X159" s="29"/>
      <c r="Y159" s="29"/>
      <c r="Z159" s="29"/>
      <c r="AA159" s="29"/>
      <c r="AB159" s="29"/>
      <c r="AC159" s="29"/>
    </row>
    <row r="160" spans="1:35" ht="25" hidden="1" customHeight="1">
      <c r="A160" s="13"/>
      <c r="B160" s="580" t="str">
        <f>IF(S161=" "," ",IF(S161&gt;=$H$6,"CUMPLE CON LA EXPERIENCIA REQUERIDA","NO CUMPLE CON LA EXPERIENCIA REQUERIDA"))</f>
        <v>NO CUMPLE CON LA EXPERIENCIA REQUERIDA</v>
      </c>
      <c r="C160" s="581"/>
      <c r="D160" s="581"/>
      <c r="E160" s="581"/>
      <c r="F160" s="581"/>
      <c r="G160" s="581"/>
      <c r="H160" s="581"/>
      <c r="I160" s="581"/>
      <c r="J160" s="581"/>
      <c r="K160" s="581"/>
      <c r="L160" s="581"/>
      <c r="M160" s="581"/>
      <c r="N160" s="581"/>
      <c r="O160" s="582"/>
      <c r="P160" s="586" t="s">
        <v>46</v>
      </c>
      <c r="Q160" s="587"/>
      <c r="R160" s="588"/>
      <c r="S160" s="503">
        <f>IF(T145="SI",SUM(S145:S159),0)</f>
        <v>0</v>
      </c>
      <c r="T160" s="589" t="str">
        <f>IF(S161=" "," ",IF(S161&gt;=$H$6,"CUMPLE","NO CUMPLE"))</f>
        <v>NO CUMPLE</v>
      </c>
      <c r="AA160" s="29"/>
      <c r="AB160" s="29"/>
      <c r="AC160" s="29"/>
      <c r="AD160" s="500"/>
      <c r="AE160" s="500"/>
      <c r="AF160" s="500"/>
      <c r="AG160" s="500"/>
      <c r="AH160" s="500"/>
    </row>
    <row r="161" spans="1:35" s="500" customFormat="1" ht="25" hidden="1" customHeight="1">
      <c r="B161" s="583"/>
      <c r="C161" s="584"/>
      <c r="D161" s="584"/>
      <c r="E161" s="584"/>
      <c r="F161" s="584"/>
      <c r="G161" s="584"/>
      <c r="H161" s="584"/>
      <c r="I161" s="584"/>
      <c r="J161" s="584"/>
      <c r="K161" s="584"/>
      <c r="L161" s="584"/>
      <c r="M161" s="584"/>
      <c r="N161" s="584"/>
      <c r="O161" s="585"/>
      <c r="P161" s="586" t="s">
        <v>47</v>
      </c>
      <c r="Q161" s="587"/>
      <c r="R161" s="588"/>
      <c r="S161" s="503">
        <f>IFERROR((S160/$P$6)," ")</f>
        <v>0</v>
      </c>
      <c r="T161" s="590"/>
      <c r="W161" s="29"/>
      <c r="X161" s="29"/>
      <c r="Y161" s="29"/>
      <c r="Z161" s="29"/>
      <c r="AA161" s="29"/>
      <c r="AB161" s="29"/>
      <c r="AC161" s="29"/>
    </row>
    <row r="162" spans="1:35" ht="30" hidden="1" customHeight="1">
      <c r="AA162" s="29"/>
      <c r="AB162" s="29"/>
      <c r="AC162" s="29"/>
      <c r="AD162" s="500"/>
      <c r="AE162" s="500"/>
      <c r="AF162" s="500"/>
      <c r="AG162" s="500"/>
    </row>
    <row r="163" spans="1:35" ht="30" hidden="1" customHeight="1">
      <c r="AA163" s="29"/>
      <c r="AB163" s="29"/>
      <c r="AC163" s="29"/>
      <c r="AD163" s="500"/>
      <c r="AE163" s="500"/>
      <c r="AF163" s="500"/>
      <c r="AG163" s="500"/>
      <c r="AH163" s="500"/>
    </row>
    <row r="164" spans="1:35" ht="64.5" hidden="1" customHeight="1">
      <c r="B164" s="465">
        <v>8</v>
      </c>
      <c r="C164" s="601" t="s">
        <v>25</v>
      </c>
      <c r="D164" s="602"/>
      <c r="E164" s="603"/>
      <c r="F164" s="604">
        <f>IFERROR(VLOOKUP(B164,LISTA_OFERENTES,2,FALSE)," ")</f>
        <v>0</v>
      </c>
      <c r="G164" s="605"/>
      <c r="H164" s="605"/>
      <c r="I164" s="605"/>
      <c r="J164" s="605"/>
      <c r="K164" s="605"/>
      <c r="L164" s="605"/>
      <c r="M164" s="605"/>
      <c r="N164" s="605"/>
      <c r="O164" s="606"/>
      <c r="P164" s="607" t="s">
        <v>26</v>
      </c>
      <c r="Q164" s="608"/>
      <c r="R164" s="609"/>
      <c r="S164" s="491">
        <f>5-(INT(COUNTBLANK(C167:C181))-10)</f>
        <v>0</v>
      </c>
      <c r="AA164" s="29"/>
      <c r="AB164" s="29"/>
      <c r="AC164" s="29"/>
      <c r="AD164" s="500"/>
      <c r="AE164" s="500"/>
      <c r="AF164" s="500"/>
      <c r="AG164" s="500"/>
    </row>
    <row r="165" spans="1:35" s="501" customFormat="1" ht="30" hidden="1" customHeight="1">
      <c r="B165" s="610" t="s">
        <v>27</v>
      </c>
      <c r="C165" s="596" t="s">
        <v>28</v>
      </c>
      <c r="D165" s="596" t="s">
        <v>29</v>
      </c>
      <c r="E165" s="596" t="s">
        <v>30</v>
      </c>
      <c r="F165" s="596" t="s">
        <v>31</v>
      </c>
      <c r="G165" s="596" t="s">
        <v>32</v>
      </c>
      <c r="H165" s="596" t="s">
        <v>33</v>
      </c>
      <c r="I165" s="596" t="s">
        <v>34</v>
      </c>
      <c r="J165" s="594" t="s">
        <v>35</v>
      </c>
      <c r="K165" s="612"/>
      <c r="L165" s="612"/>
      <c r="M165" s="595"/>
      <c r="N165" s="596" t="s">
        <v>36</v>
      </c>
      <c r="O165" s="596" t="s">
        <v>37</v>
      </c>
      <c r="P165" s="594" t="s">
        <v>38</v>
      </c>
      <c r="Q165" s="595"/>
      <c r="R165" s="596" t="s">
        <v>39</v>
      </c>
      <c r="S165" s="596" t="s">
        <v>40</v>
      </c>
      <c r="T165"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165" s="596" t="str">
        <f>+$U$11</f>
        <v xml:space="preserve">VERIFICACIÓN CONDICIÓN DE EXPERIENCIA  </v>
      </c>
      <c r="V165" s="504"/>
      <c r="W165" s="29"/>
      <c r="X165" s="29"/>
      <c r="Y165" s="29"/>
      <c r="Z165" s="29"/>
      <c r="AA165" s="29"/>
      <c r="AB165" s="29"/>
      <c r="AC165" s="29"/>
      <c r="AD165" s="500"/>
      <c r="AE165" s="500"/>
      <c r="AF165" s="500"/>
      <c r="AG165" s="500"/>
      <c r="AH165" s="13"/>
    </row>
    <row r="166" spans="1:35" s="501" customFormat="1" ht="63" hidden="1" customHeight="1">
      <c r="B166" s="611"/>
      <c r="C166" s="597"/>
      <c r="D166" s="597"/>
      <c r="E166" s="597"/>
      <c r="F166" s="597"/>
      <c r="G166" s="597"/>
      <c r="H166" s="597"/>
      <c r="I166" s="597"/>
      <c r="J166" s="598" t="s">
        <v>43</v>
      </c>
      <c r="K166" s="599"/>
      <c r="L166" s="599"/>
      <c r="M166" s="600"/>
      <c r="N166" s="597"/>
      <c r="O166" s="597"/>
      <c r="P166" s="493" t="s">
        <v>10</v>
      </c>
      <c r="Q166" s="493" t="s">
        <v>44</v>
      </c>
      <c r="R166" s="597"/>
      <c r="S166" s="597"/>
      <c r="T166" s="597"/>
      <c r="U166" s="597"/>
      <c r="V166" s="504"/>
      <c r="W166" s="29"/>
      <c r="X166" s="29"/>
      <c r="Y166" s="29"/>
      <c r="Z166" s="29"/>
      <c r="AA166" s="29"/>
      <c r="AB166" s="29"/>
      <c r="AC166" s="29"/>
      <c r="AD166" s="500"/>
      <c r="AE166" s="500"/>
      <c r="AF166" s="500"/>
      <c r="AG166" s="500"/>
      <c r="AH166" s="13"/>
    </row>
    <row r="167" spans="1:35" s="500" customFormat="1" ht="25" hidden="1" customHeight="1">
      <c r="A167" s="498"/>
      <c r="B167" s="546">
        <v>1</v>
      </c>
      <c r="C167" s="549"/>
      <c r="D167" s="549"/>
      <c r="E167" s="549"/>
      <c r="F167" s="549"/>
      <c r="G167" s="552"/>
      <c r="H167" s="555"/>
      <c r="I167" s="558"/>
      <c r="J167" s="499"/>
      <c r="K167" s="57">
        <f>+$K$13</f>
        <v>801016</v>
      </c>
      <c r="L167" s="499"/>
      <c r="M167" s="57">
        <f>+$M$13</f>
        <v>0</v>
      </c>
      <c r="N167" s="561"/>
      <c r="O167" s="561"/>
      <c r="P167" s="564"/>
      <c r="Q167" s="544"/>
      <c r="R167" s="544"/>
      <c r="S167" s="568">
        <f>IF(COUNTIF(J167:K169,"CUMPLE")&gt;=1,(G167*I167),0)* (IF(N167="PRESENTÓ CERTIFICADO",1,0))* (IF(O167="ACORDE A ITEM 5.2.2 (T.R.)",1,0) )* ( IF(OR(Q167="SIN OBSERVACIÓN", Q167="REQUERIMIENTOS SUBSANADOS"),1,0)) *(IF(OR(R167="NINGUNO", R167="CUMPLEN CON LO SOLICITADO"),1,0))</f>
        <v>0</v>
      </c>
      <c r="T167" s="591"/>
      <c r="U167" s="541">
        <f>IF(COUNTIF(J167:K169,"CUMPLE")&gt;=1,1,0)</f>
        <v>0</v>
      </c>
      <c r="W167" s="29"/>
      <c r="X167" s="29"/>
      <c r="Y167" s="29"/>
      <c r="Z167" s="29"/>
      <c r="AD167" s="13"/>
      <c r="AE167" s="13"/>
      <c r="AF167" s="13"/>
      <c r="AG167" s="13"/>
      <c r="AH167" s="13"/>
      <c r="AI167" s="13"/>
    </row>
    <row r="168" spans="1:35" s="500" customFormat="1" ht="25" hidden="1" customHeight="1">
      <c r="A168" s="498"/>
      <c r="B168" s="547"/>
      <c r="C168" s="550"/>
      <c r="D168" s="550"/>
      <c r="E168" s="550"/>
      <c r="F168" s="550"/>
      <c r="G168" s="553"/>
      <c r="H168" s="556"/>
      <c r="I168" s="559"/>
      <c r="J168" s="499"/>
      <c r="K168" s="57">
        <f>+$K$14</f>
        <v>811015</v>
      </c>
      <c r="L168" s="542"/>
      <c r="M168" s="544">
        <f>+$M$14</f>
        <v>0</v>
      </c>
      <c r="N168" s="562"/>
      <c r="O168" s="562"/>
      <c r="P168" s="565"/>
      <c r="Q168" s="567"/>
      <c r="R168" s="567"/>
      <c r="S168" s="569"/>
      <c r="T168" s="592"/>
      <c r="U168" s="541"/>
      <c r="W168" s="29"/>
      <c r="X168" s="29"/>
      <c r="Y168" s="29"/>
      <c r="Z168" s="29"/>
      <c r="AD168" s="13"/>
      <c r="AE168" s="13"/>
      <c r="AF168" s="13"/>
      <c r="AG168" s="13"/>
      <c r="AH168" s="13"/>
      <c r="AI168" s="13"/>
    </row>
    <row r="169" spans="1:35" s="500" customFormat="1" ht="25" hidden="1" customHeight="1">
      <c r="A169" s="498"/>
      <c r="B169" s="548"/>
      <c r="C169" s="551"/>
      <c r="D169" s="551"/>
      <c r="E169" s="551"/>
      <c r="F169" s="551"/>
      <c r="G169" s="554"/>
      <c r="H169" s="557"/>
      <c r="I169" s="560"/>
      <c r="J169" s="499"/>
      <c r="K169" s="57">
        <f>+$K$15</f>
        <v>841116</v>
      </c>
      <c r="L169" s="543"/>
      <c r="M169" s="545"/>
      <c r="N169" s="563"/>
      <c r="O169" s="563"/>
      <c r="P169" s="566"/>
      <c r="Q169" s="545"/>
      <c r="R169" s="545"/>
      <c r="S169" s="570"/>
      <c r="T169" s="592"/>
      <c r="U169" s="541"/>
      <c r="W169" s="29"/>
      <c r="X169" s="29"/>
      <c r="Y169" s="29"/>
      <c r="Z169" s="29"/>
      <c r="AD169" s="13"/>
      <c r="AE169" s="13"/>
      <c r="AF169" s="13"/>
      <c r="AG169" s="13"/>
      <c r="AH169" s="13"/>
      <c r="AI169" s="13"/>
    </row>
    <row r="170" spans="1:35" s="500" customFormat="1" ht="25" hidden="1" customHeight="1">
      <c r="A170" s="498"/>
      <c r="B170" s="546">
        <v>2</v>
      </c>
      <c r="C170" s="571"/>
      <c r="D170" s="571"/>
      <c r="E170" s="571"/>
      <c r="F170" s="571"/>
      <c r="G170" s="574"/>
      <c r="H170" s="555"/>
      <c r="I170" s="577"/>
      <c r="J170" s="499"/>
      <c r="K170" s="57">
        <f>+$K$13</f>
        <v>801016</v>
      </c>
      <c r="L170" s="499"/>
      <c r="M170" s="57">
        <f>+$M$13</f>
        <v>0</v>
      </c>
      <c r="N170" s="561"/>
      <c r="O170" s="561"/>
      <c r="P170" s="564"/>
      <c r="Q170" s="544"/>
      <c r="R170" s="544"/>
      <c r="S170" s="568">
        <f>IF(COUNTIF(J170:K172,"CUMPLE")&gt;=1,(G170*I170),0)* (IF(N170="PRESENTÓ CERTIFICADO",1,0))* (IF(O170="ACORDE A ITEM 5.2.2 (T.R.)",1,0) )* ( IF(OR(Q170="SIN OBSERVACIÓN", Q170="REQUERIMIENTOS SUBSANADOS"),1,0)) *(IF(OR(R170="NINGUNO", R170="CUMPLEN CON LO SOLICITADO"),1,0))</f>
        <v>0</v>
      </c>
      <c r="T170" s="592"/>
      <c r="U170" s="541">
        <f t="shared" ref="U170" si="47">IF(COUNTIF(J170:K172,"CUMPLE")&gt;=1,1,0)</f>
        <v>0</v>
      </c>
      <c r="W170" s="29"/>
      <c r="X170" s="29"/>
      <c r="Y170" s="29"/>
      <c r="Z170" s="29"/>
      <c r="AD170" s="13"/>
      <c r="AE170" s="13"/>
      <c r="AF170" s="13"/>
      <c r="AG170" s="13"/>
      <c r="AH170" s="13"/>
      <c r="AI170" s="13"/>
    </row>
    <row r="171" spans="1:35" s="500" customFormat="1" ht="25" hidden="1" customHeight="1">
      <c r="A171" s="498"/>
      <c r="B171" s="547"/>
      <c r="C171" s="572"/>
      <c r="D171" s="572"/>
      <c r="E171" s="572"/>
      <c r="F171" s="572"/>
      <c r="G171" s="575"/>
      <c r="H171" s="556"/>
      <c r="I171" s="578"/>
      <c r="J171" s="499"/>
      <c r="K171" s="57">
        <f>+$K$14</f>
        <v>811015</v>
      </c>
      <c r="L171" s="542"/>
      <c r="M171" s="544">
        <f>+$M$14</f>
        <v>0</v>
      </c>
      <c r="N171" s="562"/>
      <c r="O171" s="562"/>
      <c r="P171" s="565"/>
      <c r="Q171" s="567"/>
      <c r="R171" s="567"/>
      <c r="S171" s="569"/>
      <c r="T171" s="592"/>
      <c r="U171" s="541"/>
      <c r="W171" s="29"/>
      <c r="X171" s="29"/>
      <c r="Y171" s="29"/>
      <c r="Z171" s="29"/>
      <c r="AD171" s="13"/>
      <c r="AE171" s="13"/>
      <c r="AF171" s="13"/>
      <c r="AG171" s="13"/>
      <c r="AH171" s="13"/>
      <c r="AI171" s="13"/>
    </row>
    <row r="172" spans="1:35" s="500" customFormat="1" ht="25" hidden="1" customHeight="1">
      <c r="A172" s="498"/>
      <c r="B172" s="548"/>
      <c r="C172" s="573"/>
      <c r="D172" s="573"/>
      <c r="E172" s="573"/>
      <c r="F172" s="573"/>
      <c r="G172" s="576"/>
      <c r="H172" s="557"/>
      <c r="I172" s="579"/>
      <c r="J172" s="499"/>
      <c r="K172" s="57">
        <f>+$K$15</f>
        <v>841116</v>
      </c>
      <c r="L172" s="543"/>
      <c r="M172" s="545"/>
      <c r="N172" s="563"/>
      <c r="O172" s="563"/>
      <c r="P172" s="566"/>
      <c r="Q172" s="545"/>
      <c r="R172" s="545"/>
      <c r="S172" s="570"/>
      <c r="T172" s="592"/>
      <c r="U172" s="541"/>
      <c r="W172" s="29"/>
      <c r="X172" s="29"/>
      <c r="Y172" s="29"/>
      <c r="Z172" s="29"/>
      <c r="AD172" s="13"/>
      <c r="AE172" s="13"/>
      <c r="AF172" s="13"/>
      <c r="AG172" s="13"/>
      <c r="AH172" s="13"/>
      <c r="AI172" s="13"/>
    </row>
    <row r="173" spans="1:35" s="500" customFormat="1" ht="25" hidden="1" customHeight="1">
      <c r="A173" s="498"/>
      <c r="B173" s="546">
        <v>3</v>
      </c>
      <c r="C173" s="549"/>
      <c r="D173" s="549"/>
      <c r="E173" s="549"/>
      <c r="F173" s="549"/>
      <c r="G173" s="552"/>
      <c r="H173" s="555"/>
      <c r="I173" s="558"/>
      <c r="J173" s="499"/>
      <c r="K173" s="57">
        <f>+$K$13</f>
        <v>801016</v>
      </c>
      <c r="L173" s="499"/>
      <c r="M173" s="57">
        <f>+$M$13</f>
        <v>0</v>
      </c>
      <c r="N173" s="561"/>
      <c r="O173" s="561"/>
      <c r="P173" s="564"/>
      <c r="Q173" s="544"/>
      <c r="R173" s="544"/>
      <c r="S173" s="568">
        <f>IF(COUNTIF(J173:K175,"CUMPLE")&gt;=1,(G173*I173),0)* (IF(N173="PRESENTÓ CERTIFICADO",1,0))* (IF(O173="ACORDE A ITEM 5.2.2 (T.R.)",1,0) )* ( IF(OR(Q173="SIN OBSERVACIÓN", Q173="REQUERIMIENTOS SUBSANADOS"),1,0)) *(IF(OR(R173="NINGUNO", R173="CUMPLEN CON LO SOLICITADO"),1,0))</f>
        <v>0</v>
      </c>
      <c r="T173" s="592"/>
      <c r="U173" s="541">
        <f t="shared" ref="U173" si="48">IF(COUNTIF(J173:K175,"CUMPLE")&gt;=1,1,0)</f>
        <v>0</v>
      </c>
      <c r="W173" s="29"/>
      <c r="X173" s="29"/>
      <c r="Y173" s="29"/>
      <c r="Z173" s="29"/>
      <c r="AA173" s="13"/>
      <c r="AB173" s="13"/>
      <c r="AC173" s="13"/>
      <c r="AD173" s="13"/>
      <c r="AE173" s="13"/>
      <c r="AF173" s="13"/>
      <c r="AG173" s="13"/>
      <c r="AH173" s="13"/>
      <c r="AI173" s="13"/>
    </row>
    <row r="174" spans="1:35" s="500" customFormat="1" ht="25" hidden="1" customHeight="1">
      <c r="A174" s="498"/>
      <c r="B174" s="547"/>
      <c r="C174" s="550"/>
      <c r="D174" s="550"/>
      <c r="E174" s="550"/>
      <c r="F174" s="550"/>
      <c r="G174" s="553"/>
      <c r="H174" s="556"/>
      <c r="I174" s="559"/>
      <c r="J174" s="499"/>
      <c r="K174" s="57">
        <f>+$K$14</f>
        <v>811015</v>
      </c>
      <c r="L174" s="542"/>
      <c r="M174" s="544">
        <f>+$M$14</f>
        <v>0</v>
      </c>
      <c r="N174" s="562"/>
      <c r="O174" s="562"/>
      <c r="P174" s="565"/>
      <c r="Q174" s="567"/>
      <c r="R174" s="567"/>
      <c r="S174" s="569"/>
      <c r="T174" s="592"/>
      <c r="U174" s="541"/>
      <c r="W174" s="29"/>
      <c r="X174" s="29"/>
      <c r="Y174" s="29"/>
      <c r="Z174" s="29"/>
      <c r="AH174" s="13"/>
      <c r="AI174" s="13"/>
    </row>
    <row r="175" spans="1:35" s="500" customFormat="1" ht="25" hidden="1" customHeight="1">
      <c r="A175" s="498"/>
      <c r="B175" s="548"/>
      <c r="C175" s="551"/>
      <c r="D175" s="551"/>
      <c r="E175" s="551"/>
      <c r="F175" s="551"/>
      <c r="G175" s="554"/>
      <c r="H175" s="557"/>
      <c r="I175" s="560"/>
      <c r="J175" s="499"/>
      <c r="K175" s="57">
        <f>+$K$15</f>
        <v>841116</v>
      </c>
      <c r="L175" s="543"/>
      <c r="M175" s="545"/>
      <c r="N175" s="563"/>
      <c r="O175" s="563"/>
      <c r="P175" s="566"/>
      <c r="Q175" s="545"/>
      <c r="R175" s="545"/>
      <c r="S175" s="570"/>
      <c r="T175" s="592"/>
      <c r="U175" s="541"/>
      <c r="W175" s="29"/>
      <c r="X175" s="29"/>
      <c r="Y175" s="29"/>
      <c r="Z175" s="29"/>
    </row>
    <row r="176" spans="1:35" s="500" customFormat="1" ht="25" hidden="1" customHeight="1">
      <c r="A176" s="498"/>
      <c r="B176" s="546">
        <v>4</v>
      </c>
      <c r="C176" s="571"/>
      <c r="D176" s="571"/>
      <c r="E176" s="571"/>
      <c r="F176" s="571"/>
      <c r="G176" s="574"/>
      <c r="H176" s="555"/>
      <c r="I176" s="577"/>
      <c r="J176" s="499"/>
      <c r="K176" s="57">
        <f>+$K$13</f>
        <v>801016</v>
      </c>
      <c r="L176" s="499"/>
      <c r="M176" s="57">
        <f>+$M$13</f>
        <v>0</v>
      </c>
      <c r="N176" s="561"/>
      <c r="O176" s="561"/>
      <c r="P176" s="564"/>
      <c r="Q176" s="544"/>
      <c r="R176" s="544"/>
      <c r="S176" s="568">
        <f>IF(COUNTIF(J176:K178,"CUMPLE")&gt;=1,(G176*I176),0)* (IF(N176="PRESENTÓ CERTIFICADO",1,0))* (IF(O176="ACORDE A ITEM 5.2.2 (T.R.)",1,0) )* ( IF(OR(Q176="SIN OBSERVACIÓN", Q176="REQUERIMIENTOS SUBSANADOS"),1,0)) *(IF(OR(R176="NINGUNO", R176="CUMPLEN CON LO SOLICITADO"),1,0))</f>
        <v>0</v>
      </c>
      <c r="T176" s="592"/>
      <c r="U176" s="541">
        <f t="shared" ref="U176" si="49">IF(COUNTIF(J176:K178,"CUMPLE")&gt;=1,1,0)</f>
        <v>0</v>
      </c>
      <c r="W176" s="29"/>
      <c r="X176" s="29"/>
      <c r="Y176" s="29"/>
      <c r="Z176" s="29"/>
      <c r="AA176" s="13"/>
      <c r="AB176" s="13"/>
      <c r="AC176" s="13"/>
      <c r="AD176" s="13"/>
      <c r="AE176" s="13"/>
      <c r="AF176" s="13"/>
      <c r="AG176" s="13"/>
    </row>
    <row r="177" spans="1:35" s="500" customFormat="1" ht="25" hidden="1" customHeight="1">
      <c r="A177" s="498"/>
      <c r="B177" s="547"/>
      <c r="C177" s="572"/>
      <c r="D177" s="572"/>
      <c r="E177" s="572"/>
      <c r="F177" s="572"/>
      <c r="G177" s="575"/>
      <c r="H177" s="556"/>
      <c r="I177" s="578"/>
      <c r="J177" s="499"/>
      <c r="K177" s="57">
        <f>+$K$14</f>
        <v>811015</v>
      </c>
      <c r="L177" s="542"/>
      <c r="M177" s="544">
        <f>+$M$14</f>
        <v>0</v>
      </c>
      <c r="N177" s="562"/>
      <c r="O177" s="562"/>
      <c r="P177" s="565"/>
      <c r="Q177" s="567"/>
      <c r="R177" s="567"/>
      <c r="S177" s="569"/>
      <c r="T177" s="592"/>
      <c r="U177" s="541"/>
      <c r="W177" s="29"/>
      <c r="X177" s="29"/>
      <c r="Y177" s="29"/>
      <c r="Z177" s="29"/>
      <c r="AA177" s="13"/>
      <c r="AB177" s="13"/>
      <c r="AC177" s="13"/>
      <c r="AD177" s="13"/>
      <c r="AE177" s="13"/>
      <c r="AF177" s="13"/>
      <c r="AG177" s="13"/>
    </row>
    <row r="178" spans="1:35" s="500" customFormat="1" ht="25" hidden="1" customHeight="1">
      <c r="A178" s="498"/>
      <c r="B178" s="548"/>
      <c r="C178" s="573"/>
      <c r="D178" s="573"/>
      <c r="E178" s="573"/>
      <c r="F178" s="573"/>
      <c r="G178" s="576"/>
      <c r="H178" s="557"/>
      <c r="I178" s="579"/>
      <c r="J178" s="499"/>
      <c r="K178" s="57">
        <f>+$K$15</f>
        <v>841116</v>
      </c>
      <c r="L178" s="543"/>
      <c r="M178" s="545"/>
      <c r="N178" s="563"/>
      <c r="O178" s="563"/>
      <c r="P178" s="566"/>
      <c r="Q178" s="545"/>
      <c r="R178" s="545"/>
      <c r="S178" s="570"/>
      <c r="T178" s="592"/>
      <c r="U178" s="541"/>
      <c r="W178" s="29"/>
      <c r="X178" s="29"/>
      <c r="Y178" s="29"/>
      <c r="Z178" s="29"/>
      <c r="AA178" s="29"/>
      <c r="AB178" s="29"/>
      <c r="AC178" s="29"/>
      <c r="AD178" s="501"/>
      <c r="AE178" s="501"/>
      <c r="AF178" s="501"/>
      <c r="AG178" s="501"/>
    </row>
    <row r="179" spans="1:35" s="500" customFormat="1" ht="25" hidden="1" customHeight="1">
      <c r="A179" s="498"/>
      <c r="B179" s="546">
        <v>5</v>
      </c>
      <c r="C179" s="549"/>
      <c r="D179" s="549"/>
      <c r="E179" s="549"/>
      <c r="F179" s="549"/>
      <c r="G179" s="552"/>
      <c r="H179" s="555"/>
      <c r="I179" s="558"/>
      <c r="J179" s="499"/>
      <c r="K179" s="57">
        <f>+$K$13</f>
        <v>801016</v>
      </c>
      <c r="L179" s="499"/>
      <c r="M179" s="57">
        <f>+$M$13</f>
        <v>0</v>
      </c>
      <c r="N179" s="561"/>
      <c r="O179" s="561"/>
      <c r="P179" s="564"/>
      <c r="Q179" s="544"/>
      <c r="R179" s="544"/>
      <c r="S179" s="568">
        <f>IF(COUNTIF(J179:K181,"CUMPLE")&gt;=1,(G179*I179),0)* (IF(N179="PRESENTÓ CERTIFICADO",1,0))* (IF(O179="ACORDE A ITEM 5.2.2 (T.R.)",1,0) )* ( IF(OR(Q179="SIN OBSERVACIÓN", Q179="REQUERIMIENTOS SUBSANADOS"),1,0)) *(IF(OR(R179="NINGUNO", R179="CUMPLEN CON LO SOLICITADO"),1,0))</f>
        <v>0</v>
      </c>
      <c r="T179" s="592"/>
      <c r="U179" s="541">
        <f t="shared" ref="U179" si="50">IF(COUNTIF(J179:K181,"CUMPLE")&gt;=1,1,0)</f>
        <v>0</v>
      </c>
      <c r="W179" s="29"/>
      <c r="X179" s="29"/>
      <c r="Y179" s="29"/>
      <c r="Z179" s="29"/>
      <c r="AA179" s="29"/>
      <c r="AB179" s="29"/>
      <c r="AC179" s="29"/>
      <c r="AD179" s="501"/>
      <c r="AE179" s="501"/>
      <c r="AF179" s="501"/>
      <c r="AG179" s="501"/>
    </row>
    <row r="180" spans="1:35" s="500" customFormat="1" ht="25" hidden="1" customHeight="1">
      <c r="A180" s="498"/>
      <c r="B180" s="547"/>
      <c r="C180" s="550"/>
      <c r="D180" s="550"/>
      <c r="E180" s="550"/>
      <c r="F180" s="550"/>
      <c r="G180" s="553"/>
      <c r="H180" s="556"/>
      <c r="I180" s="559"/>
      <c r="J180" s="499"/>
      <c r="K180" s="57">
        <f>+$K$14</f>
        <v>811015</v>
      </c>
      <c r="L180" s="542"/>
      <c r="M180" s="544">
        <f>+$M$14</f>
        <v>0</v>
      </c>
      <c r="N180" s="562"/>
      <c r="O180" s="562"/>
      <c r="P180" s="565"/>
      <c r="Q180" s="567"/>
      <c r="R180" s="567"/>
      <c r="S180" s="569"/>
      <c r="T180" s="592"/>
      <c r="U180" s="541"/>
      <c r="W180" s="29"/>
      <c r="X180" s="29"/>
      <c r="Y180" s="29"/>
      <c r="Z180" s="29"/>
      <c r="AA180" s="29"/>
      <c r="AB180" s="29"/>
      <c r="AC180" s="29"/>
    </row>
    <row r="181" spans="1:35" s="500" customFormat="1" ht="25" hidden="1" customHeight="1">
      <c r="A181" s="498"/>
      <c r="B181" s="548"/>
      <c r="C181" s="551"/>
      <c r="D181" s="551"/>
      <c r="E181" s="551"/>
      <c r="F181" s="551"/>
      <c r="G181" s="554"/>
      <c r="H181" s="557"/>
      <c r="I181" s="560"/>
      <c r="J181" s="499"/>
      <c r="K181" s="57">
        <f>+$K$15</f>
        <v>841116</v>
      </c>
      <c r="L181" s="543"/>
      <c r="M181" s="545"/>
      <c r="N181" s="563"/>
      <c r="O181" s="563"/>
      <c r="P181" s="566"/>
      <c r="Q181" s="545"/>
      <c r="R181" s="545"/>
      <c r="S181" s="570"/>
      <c r="T181" s="593"/>
      <c r="U181" s="541"/>
      <c r="W181" s="29"/>
      <c r="X181" s="29"/>
      <c r="Y181" s="29"/>
      <c r="Z181" s="29"/>
      <c r="AA181" s="29"/>
      <c r="AB181" s="29"/>
      <c r="AC181" s="29"/>
    </row>
    <row r="182" spans="1:35" ht="25" hidden="1" customHeight="1">
      <c r="A182" s="13"/>
      <c r="B182" s="580" t="str">
        <f>IF(S183=" "," ",IF(S183&gt;=$H$6,"CUMPLE CON LA EXPERIENCIA REQUERIDA","NO CUMPLE CON LA EXPERIENCIA REQUERIDA"))</f>
        <v>NO CUMPLE CON LA EXPERIENCIA REQUERIDA</v>
      </c>
      <c r="C182" s="581"/>
      <c r="D182" s="581"/>
      <c r="E182" s="581"/>
      <c r="F182" s="581"/>
      <c r="G182" s="581"/>
      <c r="H182" s="581"/>
      <c r="I182" s="581"/>
      <c r="J182" s="581"/>
      <c r="K182" s="581"/>
      <c r="L182" s="581"/>
      <c r="M182" s="581"/>
      <c r="N182" s="581"/>
      <c r="O182" s="582"/>
      <c r="P182" s="586" t="s">
        <v>46</v>
      </c>
      <c r="Q182" s="587"/>
      <c r="R182" s="588"/>
      <c r="S182" s="503">
        <f>IF(T167="SI",SUM(S167:S181),0)</f>
        <v>0</v>
      </c>
      <c r="T182" s="589" t="str">
        <f>IF(S183=" "," ",IF(S183&gt;=$H$6,"CUMPLE","NO CUMPLE"))</f>
        <v>NO CUMPLE</v>
      </c>
      <c r="AA182" s="29"/>
      <c r="AB182" s="29"/>
      <c r="AC182" s="29"/>
      <c r="AD182" s="500"/>
      <c r="AE182" s="500"/>
      <c r="AF182" s="500"/>
      <c r="AG182" s="500"/>
      <c r="AH182" s="500"/>
    </row>
    <row r="183" spans="1:35" s="500" customFormat="1" ht="25" hidden="1" customHeight="1">
      <c r="B183" s="583"/>
      <c r="C183" s="584"/>
      <c r="D183" s="584"/>
      <c r="E183" s="584"/>
      <c r="F183" s="584"/>
      <c r="G183" s="584"/>
      <c r="H183" s="584"/>
      <c r="I183" s="584"/>
      <c r="J183" s="584"/>
      <c r="K183" s="584"/>
      <c r="L183" s="584"/>
      <c r="M183" s="584"/>
      <c r="N183" s="584"/>
      <c r="O183" s="585"/>
      <c r="P183" s="586" t="s">
        <v>47</v>
      </c>
      <c r="Q183" s="587"/>
      <c r="R183" s="588"/>
      <c r="S183" s="503">
        <f>IFERROR((S182/$P$6)," ")</f>
        <v>0</v>
      </c>
      <c r="T183" s="590"/>
      <c r="W183" s="29"/>
      <c r="X183" s="29"/>
      <c r="Y183" s="29"/>
      <c r="Z183" s="29"/>
      <c r="AA183" s="29"/>
      <c r="AB183" s="29"/>
      <c r="AC183" s="29"/>
    </row>
    <row r="184" spans="1:35" ht="30" hidden="1" customHeight="1">
      <c r="AA184" s="29"/>
      <c r="AB184" s="29"/>
      <c r="AC184" s="29"/>
      <c r="AD184" s="500"/>
      <c r="AE184" s="500"/>
      <c r="AF184" s="500"/>
      <c r="AG184" s="500"/>
    </row>
    <row r="185" spans="1:35" ht="30" hidden="1" customHeight="1">
      <c r="AA185" s="29"/>
      <c r="AB185" s="29"/>
      <c r="AC185" s="29"/>
      <c r="AD185" s="500"/>
      <c r="AE185" s="500"/>
      <c r="AF185" s="500"/>
      <c r="AG185" s="500"/>
      <c r="AH185" s="500"/>
    </row>
    <row r="186" spans="1:35" ht="73.5" hidden="1" customHeight="1">
      <c r="B186" s="465">
        <v>9</v>
      </c>
      <c r="C186" s="601" t="s">
        <v>25</v>
      </c>
      <c r="D186" s="602"/>
      <c r="E186" s="603"/>
      <c r="F186" s="604">
        <f>IFERROR(VLOOKUP(B186,LISTA_OFERENTES,2,FALSE)," ")</f>
        <v>0</v>
      </c>
      <c r="G186" s="605"/>
      <c r="H186" s="605"/>
      <c r="I186" s="605"/>
      <c r="J186" s="605"/>
      <c r="K186" s="605"/>
      <c r="L186" s="605"/>
      <c r="M186" s="605"/>
      <c r="N186" s="605"/>
      <c r="O186" s="606"/>
      <c r="P186" s="607" t="s">
        <v>26</v>
      </c>
      <c r="Q186" s="608"/>
      <c r="R186" s="609"/>
      <c r="S186" s="491">
        <f>5-(INT(COUNTBLANK(C189:C203))-10)</f>
        <v>1</v>
      </c>
      <c r="AA186" s="29"/>
      <c r="AB186" s="29"/>
      <c r="AC186" s="29"/>
      <c r="AD186" s="500"/>
      <c r="AE186" s="500"/>
      <c r="AF186" s="500"/>
      <c r="AG186" s="500"/>
    </row>
    <row r="187" spans="1:35" s="501" customFormat="1" ht="30" hidden="1" customHeight="1">
      <c r="B187" s="610" t="s">
        <v>27</v>
      </c>
      <c r="C187" s="596" t="s">
        <v>28</v>
      </c>
      <c r="D187" s="596" t="s">
        <v>29</v>
      </c>
      <c r="E187" s="596" t="s">
        <v>30</v>
      </c>
      <c r="F187" s="596" t="s">
        <v>31</v>
      </c>
      <c r="G187" s="596" t="s">
        <v>32</v>
      </c>
      <c r="H187" s="596" t="s">
        <v>33</v>
      </c>
      <c r="I187" s="596" t="s">
        <v>34</v>
      </c>
      <c r="J187" s="594" t="s">
        <v>35</v>
      </c>
      <c r="K187" s="612"/>
      <c r="L187" s="612"/>
      <c r="M187" s="595"/>
      <c r="N187" s="596" t="s">
        <v>36</v>
      </c>
      <c r="O187" s="596" t="s">
        <v>37</v>
      </c>
      <c r="P187" s="594" t="s">
        <v>38</v>
      </c>
      <c r="Q187" s="595"/>
      <c r="R187" s="596" t="s">
        <v>39</v>
      </c>
      <c r="S187" s="596" t="s">
        <v>40</v>
      </c>
      <c r="T187"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187" s="596" t="str">
        <f>+$U$11</f>
        <v xml:space="preserve">VERIFICACIÓN CONDICIÓN DE EXPERIENCIA  </v>
      </c>
      <c r="V187" s="504"/>
      <c r="W187" s="29"/>
      <c r="X187" s="29"/>
      <c r="Y187" s="29"/>
      <c r="Z187" s="29"/>
      <c r="AA187" s="29"/>
      <c r="AB187" s="29"/>
      <c r="AC187" s="29"/>
      <c r="AD187" s="500"/>
      <c r="AE187" s="500"/>
      <c r="AF187" s="500"/>
      <c r="AG187" s="500"/>
      <c r="AH187" s="13"/>
    </row>
    <row r="188" spans="1:35" s="501" customFormat="1" ht="118.5" hidden="1" customHeight="1">
      <c r="B188" s="611"/>
      <c r="C188" s="597"/>
      <c r="D188" s="597"/>
      <c r="E188" s="597"/>
      <c r="F188" s="597"/>
      <c r="G188" s="597"/>
      <c r="H188" s="597"/>
      <c r="I188" s="597"/>
      <c r="J188" s="598" t="s">
        <v>43</v>
      </c>
      <c r="K188" s="599"/>
      <c r="L188" s="599"/>
      <c r="M188" s="600"/>
      <c r="N188" s="597"/>
      <c r="O188" s="597"/>
      <c r="P188" s="493" t="s">
        <v>10</v>
      </c>
      <c r="Q188" s="493" t="s">
        <v>44</v>
      </c>
      <c r="R188" s="597"/>
      <c r="S188" s="597"/>
      <c r="T188" s="597"/>
      <c r="U188" s="597"/>
      <c r="V188" s="504"/>
      <c r="W188" s="29"/>
      <c r="X188" s="29"/>
      <c r="Y188" s="29"/>
      <c r="Z188" s="29"/>
      <c r="AA188" s="29"/>
      <c r="AB188" s="29"/>
      <c r="AC188" s="29"/>
      <c r="AD188" s="500"/>
      <c r="AE188" s="500"/>
      <c r="AF188" s="500"/>
      <c r="AG188" s="500"/>
      <c r="AH188" s="13"/>
    </row>
    <row r="189" spans="1:35" s="500" customFormat="1" ht="25" hidden="1" customHeight="1">
      <c r="A189" s="498"/>
      <c r="B189" s="546">
        <v>1</v>
      </c>
      <c r="C189" s="549">
        <v>41</v>
      </c>
      <c r="D189" s="549">
        <v>115</v>
      </c>
      <c r="E189" s="549" t="s">
        <v>156</v>
      </c>
      <c r="F189" s="549" t="s">
        <v>157</v>
      </c>
      <c r="G189" s="552">
        <v>6155.56</v>
      </c>
      <c r="H189" s="555" t="s">
        <v>150</v>
      </c>
      <c r="I189" s="558">
        <v>0.5</v>
      </c>
      <c r="J189" s="499" t="s">
        <v>147</v>
      </c>
      <c r="K189" s="57">
        <f>+$K$13</f>
        <v>801016</v>
      </c>
      <c r="L189" s="499"/>
      <c r="M189" s="57">
        <f>+$M$13</f>
        <v>0</v>
      </c>
      <c r="N189" s="561" t="s">
        <v>151</v>
      </c>
      <c r="O189" s="561" t="s">
        <v>152</v>
      </c>
      <c r="P189" s="564"/>
      <c r="Q189" s="544" t="s">
        <v>153</v>
      </c>
      <c r="R189" s="544" t="s">
        <v>154</v>
      </c>
      <c r="S189" s="568">
        <f>IF(COUNTIF(J189:K191,"CUMPLE")&gt;=1,(G189*I189),0)* (IF(N189="PRESENTÓ CERTIFICADO",1,0))* (IF(O189="ACORDE A ITEM 5.2.2 (T.R.)",1,0) )* ( IF(OR(Q189="SIN OBSERVACIÓN", Q189="REQUERIMIENTOS SUBSANADOS"),1,0)) *(IF(OR(R189="NINGUNO", R189="CUMPLEN CON LO SOLICITADO"),1,0))</f>
        <v>3077.78</v>
      </c>
      <c r="T189" s="591" t="s">
        <v>155</v>
      </c>
      <c r="U189" s="541">
        <f>IF(COUNTIF(J189:K191,"CUMPLE")&gt;=1,1,0)</f>
        <v>1</v>
      </c>
      <c r="W189" s="29"/>
      <c r="X189" s="29"/>
      <c r="Y189" s="29"/>
      <c r="Z189" s="29"/>
      <c r="AD189" s="13"/>
      <c r="AE189" s="13"/>
      <c r="AF189" s="13"/>
      <c r="AG189" s="13"/>
      <c r="AH189" s="13"/>
      <c r="AI189" s="13"/>
    </row>
    <row r="190" spans="1:35" s="500" customFormat="1" ht="25" hidden="1" customHeight="1">
      <c r="A190" s="498"/>
      <c r="B190" s="547"/>
      <c r="C190" s="550"/>
      <c r="D190" s="550"/>
      <c r="E190" s="550"/>
      <c r="F190" s="550"/>
      <c r="G190" s="553"/>
      <c r="H190" s="556"/>
      <c r="I190" s="559"/>
      <c r="J190" s="499" t="s">
        <v>147</v>
      </c>
      <c r="K190" s="57">
        <f>+$K$14</f>
        <v>811015</v>
      </c>
      <c r="L190" s="542"/>
      <c r="M190" s="544">
        <f>+$M$14</f>
        <v>0</v>
      </c>
      <c r="N190" s="562"/>
      <c r="O190" s="562"/>
      <c r="P190" s="565"/>
      <c r="Q190" s="567"/>
      <c r="R190" s="567"/>
      <c r="S190" s="569"/>
      <c r="T190" s="592"/>
      <c r="U190" s="541"/>
      <c r="W190" s="29"/>
      <c r="X190" s="29"/>
      <c r="Y190" s="29"/>
      <c r="Z190" s="29"/>
      <c r="AD190" s="13"/>
      <c r="AE190" s="13"/>
      <c r="AF190" s="13"/>
      <c r="AG190" s="13"/>
      <c r="AH190" s="13"/>
      <c r="AI190" s="13"/>
    </row>
    <row r="191" spans="1:35" s="500" customFormat="1" ht="25" hidden="1" customHeight="1">
      <c r="A191" s="498"/>
      <c r="B191" s="548"/>
      <c r="C191" s="551"/>
      <c r="D191" s="551"/>
      <c r="E191" s="551"/>
      <c r="F191" s="551"/>
      <c r="G191" s="554"/>
      <c r="H191" s="557"/>
      <c r="I191" s="560"/>
      <c r="J191" s="499" t="s">
        <v>147</v>
      </c>
      <c r="K191" s="57">
        <f>+$K$15</f>
        <v>841116</v>
      </c>
      <c r="L191" s="543"/>
      <c r="M191" s="545"/>
      <c r="N191" s="563"/>
      <c r="O191" s="563"/>
      <c r="P191" s="566"/>
      <c r="Q191" s="545"/>
      <c r="R191" s="545"/>
      <c r="S191" s="570"/>
      <c r="T191" s="592"/>
      <c r="U191" s="541"/>
      <c r="W191" s="29"/>
      <c r="X191" s="29"/>
      <c r="Y191" s="29"/>
      <c r="Z191" s="29"/>
      <c r="AD191" s="13"/>
      <c r="AE191" s="13"/>
      <c r="AF191" s="13"/>
      <c r="AG191" s="13"/>
      <c r="AH191" s="13"/>
      <c r="AI191" s="13"/>
    </row>
    <row r="192" spans="1:35" s="500" customFormat="1" ht="25" hidden="1" customHeight="1">
      <c r="A192" s="498"/>
      <c r="B192" s="546">
        <v>2</v>
      </c>
      <c r="C192" s="571"/>
      <c r="D192" s="571"/>
      <c r="E192" s="571"/>
      <c r="F192" s="571"/>
      <c r="G192" s="574"/>
      <c r="H192" s="555"/>
      <c r="I192" s="577"/>
      <c r="J192" s="499"/>
      <c r="K192" s="57">
        <f>+$K$13</f>
        <v>801016</v>
      </c>
      <c r="L192" s="499"/>
      <c r="M192" s="57">
        <f>+$M$13</f>
        <v>0</v>
      </c>
      <c r="N192" s="561"/>
      <c r="O192" s="561"/>
      <c r="P192" s="564"/>
      <c r="Q192" s="544"/>
      <c r="R192" s="544"/>
      <c r="S192" s="568">
        <f>IF(COUNTIF(J192:K194,"CUMPLE")&gt;=1,(G192*I192),0)* (IF(N192="PRESENTÓ CERTIFICADO",1,0))* (IF(O192="ACORDE A ITEM 5.2.2 (T.R.)",1,0) )* ( IF(OR(Q192="SIN OBSERVACIÓN", Q192="REQUERIMIENTOS SUBSANADOS"),1,0)) *(IF(OR(R192="NINGUNO", R192="CUMPLEN CON LO SOLICITADO"),1,0))</f>
        <v>0</v>
      </c>
      <c r="T192" s="592"/>
      <c r="U192" s="541">
        <f>IF(COUNTIF(L192:M194,"CUMPLE")&gt;=1,1,0)</f>
        <v>0</v>
      </c>
      <c r="W192" s="29"/>
      <c r="X192" s="29"/>
      <c r="Y192" s="29"/>
      <c r="Z192" s="29"/>
      <c r="AD192" s="13"/>
      <c r="AE192" s="13"/>
      <c r="AF192" s="13"/>
      <c r="AG192" s="13"/>
      <c r="AH192" s="13"/>
      <c r="AI192" s="13"/>
    </row>
    <row r="193" spans="1:35" s="500" customFormat="1" ht="25" hidden="1" customHeight="1">
      <c r="A193" s="498"/>
      <c r="B193" s="547"/>
      <c r="C193" s="572"/>
      <c r="D193" s="572"/>
      <c r="E193" s="572"/>
      <c r="F193" s="572"/>
      <c r="G193" s="575"/>
      <c r="H193" s="556"/>
      <c r="I193" s="578"/>
      <c r="J193" s="499"/>
      <c r="K193" s="57">
        <f>+$K$14</f>
        <v>811015</v>
      </c>
      <c r="L193" s="542"/>
      <c r="M193" s="544">
        <f>+$M$14</f>
        <v>0</v>
      </c>
      <c r="N193" s="562"/>
      <c r="O193" s="562"/>
      <c r="P193" s="565"/>
      <c r="Q193" s="567"/>
      <c r="R193" s="567"/>
      <c r="S193" s="569"/>
      <c r="T193" s="592"/>
      <c r="U193" s="541"/>
      <c r="W193" s="29"/>
      <c r="X193" s="29"/>
      <c r="Y193" s="29"/>
      <c r="Z193" s="29"/>
      <c r="AD193" s="13"/>
      <c r="AE193" s="13"/>
      <c r="AF193" s="13"/>
      <c r="AG193" s="13"/>
      <c r="AH193" s="13"/>
      <c r="AI193" s="13"/>
    </row>
    <row r="194" spans="1:35" s="500" customFormat="1" ht="25" hidden="1" customHeight="1">
      <c r="A194" s="498"/>
      <c r="B194" s="548"/>
      <c r="C194" s="573"/>
      <c r="D194" s="573"/>
      <c r="E194" s="573"/>
      <c r="F194" s="573"/>
      <c r="G194" s="576"/>
      <c r="H194" s="557"/>
      <c r="I194" s="579"/>
      <c r="J194" s="499"/>
      <c r="K194" s="57">
        <f>+$K$15</f>
        <v>841116</v>
      </c>
      <c r="L194" s="543"/>
      <c r="M194" s="545"/>
      <c r="N194" s="563"/>
      <c r="O194" s="563"/>
      <c r="P194" s="566"/>
      <c r="Q194" s="545"/>
      <c r="R194" s="545"/>
      <c r="S194" s="570"/>
      <c r="T194" s="592"/>
      <c r="U194" s="541"/>
      <c r="W194" s="29"/>
      <c r="X194" s="29"/>
      <c r="Y194" s="29"/>
      <c r="Z194" s="29"/>
      <c r="AD194" s="13"/>
      <c r="AE194" s="13"/>
      <c r="AF194" s="13"/>
      <c r="AG194" s="13"/>
      <c r="AH194" s="13"/>
      <c r="AI194" s="13"/>
    </row>
    <row r="195" spans="1:35" s="500" customFormat="1" ht="25" hidden="1" customHeight="1">
      <c r="A195" s="498"/>
      <c r="B195" s="546">
        <v>3</v>
      </c>
      <c r="C195" s="549"/>
      <c r="D195" s="549"/>
      <c r="E195" s="549"/>
      <c r="F195" s="549"/>
      <c r="G195" s="552"/>
      <c r="H195" s="555"/>
      <c r="I195" s="558"/>
      <c r="J195" s="499"/>
      <c r="K195" s="57">
        <f>+$K$13</f>
        <v>801016</v>
      </c>
      <c r="L195" s="499"/>
      <c r="M195" s="57">
        <f>+$M$13</f>
        <v>0</v>
      </c>
      <c r="N195" s="561"/>
      <c r="O195" s="561"/>
      <c r="P195" s="564"/>
      <c r="Q195" s="544"/>
      <c r="R195" s="544"/>
      <c r="S195" s="568">
        <f>IF(COUNTIF(J195:K197,"CUMPLE")&gt;=1,(G195*I195),0)* (IF(N195="PRESENTÓ CERTIFICADO",1,0))* (IF(O195="ACORDE A ITEM 5.2.2 (T.R.)",1,0) )* ( IF(OR(Q195="SIN OBSERVACIÓN", Q195="REQUERIMIENTOS SUBSANADOS"),1,0)) *(IF(OR(R195="NINGUNO", R195="CUMPLEN CON LO SOLICITADO"),1,0))</f>
        <v>0</v>
      </c>
      <c r="T195" s="592"/>
      <c r="U195" s="541">
        <f>IF(COUNTIF(L195:M197,"CUMPLE")&gt;=1,1,0)</f>
        <v>0</v>
      </c>
      <c r="W195" s="29"/>
      <c r="X195" s="29"/>
      <c r="Y195" s="29"/>
      <c r="Z195" s="29"/>
      <c r="AA195" s="13"/>
      <c r="AB195" s="13"/>
      <c r="AC195" s="13"/>
      <c r="AD195" s="13"/>
      <c r="AE195" s="13"/>
      <c r="AF195" s="13"/>
      <c r="AG195" s="13"/>
      <c r="AH195" s="13"/>
      <c r="AI195" s="13"/>
    </row>
    <row r="196" spans="1:35" s="500" customFormat="1" ht="25" hidden="1" customHeight="1">
      <c r="A196" s="498"/>
      <c r="B196" s="547"/>
      <c r="C196" s="550"/>
      <c r="D196" s="550"/>
      <c r="E196" s="550"/>
      <c r="F196" s="550"/>
      <c r="G196" s="553"/>
      <c r="H196" s="556"/>
      <c r="I196" s="559"/>
      <c r="J196" s="499"/>
      <c r="K196" s="57">
        <f>+$K$14</f>
        <v>811015</v>
      </c>
      <c r="L196" s="542"/>
      <c r="M196" s="544">
        <f>+$M$14</f>
        <v>0</v>
      </c>
      <c r="N196" s="562"/>
      <c r="O196" s="562"/>
      <c r="P196" s="565"/>
      <c r="Q196" s="567"/>
      <c r="R196" s="567"/>
      <c r="S196" s="569"/>
      <c r="T196" s="592"/>
      <c r="U196" s="541"/>
      <c r="W196" s="29"/>
      <c r="X196" s="29"/>
      <c r="Y196" s="29"/>
      <c r="Z196" s="29"/>
      <c r="AH196" s="13"/>
      <c r="AI196" s="13"/>
    </row>
    <row r="197" spans="1:35" s="500" customFormat="1" ht="25" hidden="1" customHeight="1">
      <c r="A197" s="498"/>
      <c r="B197" s="548"/>
      <c r="C197" s="551"/>
      <c r="D197" s="551"/>
      <c r="E197" s="551"/>
      <c r="F197" s="551"/>
      <c r="G197" s="554"/>
      <c r="H197" s="557"/>
      <c r="I197" s="560"/>
      <c r="J197" s="499"/>
      <c r="K197" s="57">
        <f>+$K$15</f>
        <v>841116</v>
      </c>
      <c r="L197" s="543"/>
      <c r="M197" s="545"/>
      <c r="N197" s="563"/>
      <c r="O197" s="563"/>
      <c r="P197" s="566"/>
      <c r="Q197" s="545"/>
      <c r="R197" s="545"/>
      <c r="S197" s="570"/>
      <c r="T197" s="592"/>
      <c r="U197" s="541"/>
      <c r="W197" s="29"/>
      <c r="X197" s="29"/>
      <c r="Y197" s="29"/>
      <c r="Z197" s="29"/>
    </row>
    <row r="198" spans="1:35" s="500" customFormat="1" ht="25" hidden="1" customHeight="1">
      <c r="A198" s="498"/>
      <c r="B198" s="546">
        <v>4</v>
      </c>
      <c r="C198" s="571"/>
      <c r="D198" s="571"/>
      <c r="E198" s="571"/>
      <c r="F198" s="571"/>
      <c r="G198" s="574"/>
      <c r="H198" s="555"/>
      <c r="I198" s="577"/>
      <c r="J198" s="499"/>
      <c r="K198" s="57">
        <f>+$K$13</f>
        <v>801016</v>
      </c>
      <c r="L198" s="499"/>
      <c r="M198" s="57">
        <f>+$M$13</f>
        <v>0</v>
      </c>
      <c r="N198" s="561"/>
      <c r="O198" s="561"/>
      <c r="P198" s="564"/>
      <c r="Q198" s="544"/>
      <c r="R198" s="544"/>
      <c r="S198" s="568">
        <f>IF(COUNTIF(J198:K200,"CUMPLE")&gt;=1,(G198*I198),0)* (IF(N198="PRESENTÓ CERTIFICADO",1,0))* (IF(O198="ACORDE A ITEM 5.2.2 (T.R.)",1,0) )* ( IF(OR(Q198="SIN OBSERVACIÓN", Q198="REQUERIMIENTOS SUBSANADOS"),1,0)) *(IF(OR(R198="NINGUNO", R198="CUMPLEN CON LO SOLICITADO"),1,0))</f>
        <v>0</v>
      </c>
      <c r="T198" s="592"/>
      <c r="U198" s="541">
        <f>IF(COUNTIF(L198:M200,"CUMPLE")&gt;=1,1,0)</f>
        <v>0</v>
      </c>
      <c r="W198" s="29"/>
      <c r="X198" s="29"/>
      <c r="Y198" s="29"/>
      <c r="Z198" s="29"/>
      <c r="AA198" s="13"/>
      <c r="AB198" s="13"/>
      <c r="AC198" s="13"/>
      <c r="AD198" s="13"/>
      <c r="AE198" s="13"/>
      <c r="AF198" s="13"/>
      <c r="AG198" s="13"/>
    </row>
    <row r="199" spans="1:35" s="500" customFormat="1" ht="25" hidden="1" customHeight="1">
      <c r="A199" s="498"/>
      <c r="B199" s="547"/>
      <c r="C199" s="572"/>
      <c r="D199" s="572"/>
      <c r="E199" s="572"/>
      <c r="F199" s="572"/>
      <c r="G199" s="575"/>
      <c r="H199" s="556"/>
      <c r="I199" s="578"/>
      <c r="J199" s="499"/>
      <c r="K199" s="57">
        <f>+$K$14</f>
        <v>811015</v>
      </c>
      <c r="L199" s="542"/>
      <c r="M199" s="544">
        <f>+$M$14</f>
        <v>0</v>
      </c>
      <c r="N199" s="562"/>
      <c r="O199" s="562"/>
      <c r="P199" s="565"/>
      <c r="Q199" s="567"/>
      <c r="R199" s="567"/>
      <c r="S199" s="569"/>
      <c r="T199" s="592"/>
      <c r="U199" s="541"/>
      <c r="W199" s="29"/>
      <c r="X199" s="29"/>
      <c r="Y199" s="29"/>
      <c r="Z199" s="29"/>
      <c r="AA199" s="13"/>
      <c r="AB199" s="13"/>
      <c r="AC199" s="13"/>
      <c r="AD199" s="13"/>
      <c r="AE199" s="13"/>
      <c r="AF199" s="13"/>
      <c r="AG199" s="13"/>
    </row>
    <row r="200" spans="1:35" s="500" customFormat="1" ht="25" hidden="1" customHeight="1">
      <c r="A200" s="498"/>
      <c r="B200" s="548"/>
      <c r="C200" s="573"/>
      <c r="D200" s="573"/>
      <c r="E200" s="573"/>
      <c r="F200" s="573"/>
      <c r="G200" s="576"/>
      <c r="H200" s="557"/>
      <c r="I200" s="579"/>
      <c r="J200" s="499"/>
      <c r="K200" s="57">
        <f>+$K$15</f>
        <v>841116</v>
      </c>
      <c r="L200" s="543"/>
      <c r="M200" s="545"/>
      <c r="N200" s="563"/>
      <c r="O200" s="563"/>
      <c r="P200" s="566"/>
      <c r="Q200" s="545"/>
      <c r="R200" s="545"/>
      <c r="S200" s="570"/>
      <c r="T200" s="592"/>
      <c r="U200" s="541"/>
      <c r="W200" s="29"/>
      <c r="X200" s="29"/>
      <c r="Y200" s="29"/>
      <c r="Z200" s="29"/>
      <c r="AA200" s="29"/>
      <c r="AB200" s="29"/>
      <c r="AC200" s="29"/>
      <c r="AD200" s="501"/>
      <c r="AE200" s="501"/>
      <c r="AF200" s="501"/>
      <c r="AG200" s="501"/>
    </row>
    <row r="201" spans="1:35" s="500" customFormat="1" ht="25" hidden="1" customHeight="1">
      <c r="A201" s="498"/>
      <c r="B201" s="546">
        <v>5</v>
      </c>
      <c r="C201" s="549"/>
      <c r="D201" s="549"/>
      <c r="E201" s="549"/>
      <c r="F201" s="549"/>
      <c r="G201" s="552"/>
      <c r="H201" s="555"/>
      <c r="I201" s="558"/>
      <c r="J201" s="499"/>
      <c r="K201" s="57">
        <f>+$K$13</f>
        <v>801016</v>
      </c>
      <c r="L201" s="499"/>
      <c r="M201" s="57">
        <f>+$M$13</f>
        <v>0</v>
      </c>
      <c r="N201" s="561"/>
      <c r="O201" s="561"/>
      <c r="P201" s="564"/>
      <c r="Q201" s="544"/>
      <c r="R201" s="544"/>
      <c r="S201" s="568">
        <f>IF(COUNTIF(J201:K203,"CUMPLE")&gt;=1,(G201*I201),0)* (IF(N201="PRESENTÓ CERTIFICADO",1,0))* (IF(O201="ACORDE A ITEM 5.2.2 (T.R.)",1,0) )* ( IF(OR(Q201="SIN OBSERVACIÓN", Q201="REQUERIMIENTOS SUBSANADOS"),1,0)) *(IF(OR(R201="NINGUNO", R201="CUMPLEN CON LO SOLICITADO"),1,0))</f>
        <v>0</v>
      </c>
      <c r="T201" s="592"/>
      <c r="U201" s="541">
        <f>IF(COUNTIF(L201:M203,"CUMPLE")&gt;=1,1,0)</f>
        <v>0</v>
      </c>
      <c r="W201" s="29"/>
      <c r="X201" s="29"/>
      <c r="Y201" s="29"/>
      <c r="Z201" s="29"/>
      <c r="AA201" s="29"/>
      <c r="AB201" s="29"/>
      <c r="AC201" s="29"/>
      <c r="AD201" s="501"/>
      <c r="AE201" s="501"/>
      <c r="AF201" s="501"/>
      <c r="AG201" s="501"/>
    </row>
    <row r="202" spans="1:35" s="500" customFormat="1" ht="25" hidden="1" customHeight="1">
      <c r="A202" s="498"/>
      <c r="B202" s="547"/>
      <c r="C202" s="550"/>
      <c r="D202" s="550"/>
      <c r="E202" s="550"/>
      <c r="F202" s="550"/>
      <c r="G202" s="553"/>
      <c r="H202" s="556"/>
      <c r="I202" s="559"/>
      <c r="J202" s="499"/>
      <c r="K202" s="57">
        <f>+$K$14</f>
        <v>811015</v>
      </c>
      <c r="L202" s="542"/>
      <c r="M202" s="544">
        <f>+$M$14</f>
        <v>0</v>
      </c>
      <c r="N202" s="562"/>
      <c r="O202" s="562"/>
      <c r="P202" s="565"/>
      <c r="Q202" s="567"/>
      <c r="R202" s="567"/>
      <c r="S202" s="569"/>
      <c r="T202" s="592"/>
      <c r="U202" s="541"/>
      <c r="W202" s="29"/>
      <c r="X202" s="29"/>
      <c r="Y202" s="29"/>
      <c r="Z202" s="29"/>
      <c r="AA202" s="29"/>
      <c r="AB202" s="29"/>
      <c r="AC202" s="29"/>
    </row>
    <row r="203" spans="1:35" s="500" customFormat="1" ht="25" hidden="1" customHeight="1">
      <c r="A203" s="498"/>
      <c r="B203" s="548"/>
      <c r="C203" s="551"/>
      <c r="D203" s="551"/>
      <c r="E203" s="551"/>
      <c r="F203" s="551"/>
      <c r="G203" s="554"/>
      <c r="H203" s="557"/>
      <c r="I203" s="560"/>
      <c r="J203" s="499"/>
      <c r="K203" s="57">
        <f>+$K$15</f>
        <v>841116</v>
      </c>
      <c r="L203" s="543"/>
      <c r="M203" s="545"/>
      <c r="N203" s="563"/>
      <c r="O203" s="563"/>
      <c r="P203" s="566"/>
      <c r="Q203" s="545"/>
      <c r="R203" s="545"/>
      <c r="S203" s="570"/>
      <c r="T203" s="593"/>
      <c r="U203" s="541"/>
      <c r="W203" s="29"/>
      <c r="X203" s="29"/>
      <c r="Y203" s="29"/>
      <c r="Z203" s="29"/>
      <c r="AA203" s="29"/>
      <c r="AB203" s="29"/>
      <c r="AC203" s="29"/>
    </row>
    <row r="204" spans="1:35" ht="25" hidden="1" customHeight="1">
      <c r="A204" s="13"/>
      <c r="B204" s="580" t="str">
        <f>IF(S205=" "," ",IF(S205&gt;=$H$6,"CUMPLE CON LA EXPERIENCIA REQUERIDA","NO CUMPLE CON LA EXPERIENCIA REQUERIDA"))</f>
        <v>CUMPLE CON LA EXPERIENCIA REQUERIDA</v>
      </c>
      <c r="C204" s="581"/>
      <c r="D204" s="581"/>
      <c r="E204" s="581"/>
      <c r="F204" s="581"/>
      <c r="G204" s="581"/>
      <c r="H204" s="581"/>
      <c r="I204" s="581"/>
      <c r="J204" s="581"/>
      <c r="K204" s="581"/>
      <c r="L204" s="581"/>
      <c r="M204" s="581"/>
      <c r="N204" s="581"/>
      <c r="O204" s="582"/>
      <c r="P204" s="586" t="s">
        <v>46</v>
      </c>
      <c r="Q204" s="587"/>
      <c r="R204" s="588"/>
      <c r="S204" s="503">
        <f>IF(T189="SI",SUM(S189:S203),0)</f>
        <v>3077.78</v>
      </c>
      <c r="T204" s="589" t="str">
        <f>IF(S205=" "," ",IF(S205&gt;=$H$6,"CUMPLE","NO CUMPLE"))</f>
        <v>CUMPLE</v>
      </c>
      <c r="AA204" s="29"/>
      <c r="AB204" s="29"/>
      <c r="AC204" s="29"/>
      <c r="AD204" s="500"/>
      <c r="AE204" s="500"/>
      <c r="AF204" s="500"/>
      <c r="AG204" s="500"/>
      <c r="AH204" s="500"/>
    </row>
    <row r="205" spans="1:35" s="500" customFormat="1" ht="25" hidden="1" customHeight="1">
      <c r="B205" s="583"/>
      <c r="C205" s="584"/>
      <c r="D205" s="584"/>
      <c r="E205" s="584"/>
      <c r="F205" s="584"/>
      <c r="G205" s="584"/>
      <c r="H205" s="584"/>
      <c r="I205" s="584"/>
      <c r="J205" s="584"/>
      <c r="K205" s="584"/>
      <c r="L205" s="584"/>
      <c r="M205" s="584"/>
      <c r="N205" s="584"/>
      <c r="O205" s="585"/>
      <c r="P205" s="586" t="s">
        <v>47</v>
      </c>
      <c r="Q205" s="587"/>
      <c r="R205" s="588"/>
      <c r="S205" s="503">
        <f>IFERROR((S204/$P$6)," ")</f>
        <v>4.1591621621621622</v>
      </c>
      <c r="T205" s="590"/>
      <c r="W205" s="29"/>
      <c r="X205" s="29"/>
      <c r="Y205" s="29"/>
      <c r="Z205" s="29"/>
      <c r="AA205" s="29"/>
      <c r="AB205" s="29"/>
      <c r="AC205" s="29"/>
    </row>
    <row r="206" spans="1:35" ht="30" hidden="1" customHeight="1">
      <c r="AA206" s="29"/>
      <c r="AB206" s="29"/>
      <c r="AC206" s="29"/>
      <c r="AD206" s="500"/>
      <c r="AE206" s="500"/>
      <c r="AF206" s="500"/>
      <c r="AG206" s="500"/>
    </row>
    <row r="207" spans="1:35" ht="30" hidden="1" customHeight="1">
      <c r="AA207" s="29"/>
      <c r="AB207" s="29"/>
      <c r="AC207" s="29"/>
      <c r="AD207" s="500"/>
      <c r="AE207" s="500"/>
      <c r="AF207" s="500"/>
      <c r="AG207" s="500"/>
      <c r="AH207" s="500"/>
    </row>
    <row r="208" spans="1:35" hidden="1">
      <c r="B208" s="465">
        <v>10</v>
      </c>
      <c r="C208" s="601" t="s">
        <v>25</v>
      </c>
      <c r="D208" s="602"/>
      <c r="E208" s="603"/>
      <c r="F208" s="604">
        <f>IFERROR(VLOOKUP(B208,LISTA_OFERENTES,2,FALSE)," ")</f>
        <v>0</v>
      </c>
      <c r="G208" s="605"/>
      <c r="H208" s="605"/>
      <c r="I208" s="605"/>
      <c r="J208" s="605"/>
      <c r="K208" s="605"/>
      <c r="L208" s="605"/>
      <c r="M208" s="605"/>
      <c r="N208" s="605"/>
      <c r="O208" s="606"/>
      <c r="P208" s="607" t="s">
        <v>26</v>
      </c>
      <c r="Q208" s="608"/>
      <c r="R208" s="609"/>
      <c r="S208" s="491">
        <f>5-(INT(COUNTBLANK(C211:C225))-10)</f>
        <v>0</v>
      </c>
    </row>
    <row r="209" spans="2:21" ht="54" hidden="1" customHeight="1">
      <c r="B209" s="610" t="s">
        <v>27</v>
      </c>
      <c r="C209" s="596" t="s">
        <v>28</v>
      </c>
      <c r="D209" s="596" t="s">
        <v>29</v>
      </c>
      <c r="E209" s="596" t="s">
        <v>30</v>
      </c>
      <c r="F209" s="596" t="s">
        <v>31</v>
      </c>
      <c r="G209" s="596" t="s">
        <v>32</v>
      </c>
      <c r="H209" s="596" t="s">
        <v>33</v>
      </c>
      <c r="I209" s="596" t="s">
        <v>34</v>
      </c>
      <c r="J209" s="594" t="s">
        <v>35</v>
      </c>
      <c r="K209" s="612"/>
      <c r="L209" s="612"/>
      <c r="M209" s="595"/>
      <c r="N209" s="596" t="s">
        <v>36</v>
      </c>
      <c r="O209" s="596" t="s">
        <v>37</v>
      </c>
      <c r="P209" s="594" t="s">
        <v>38</v>
      </c>
      <c r="Q209" s="595"/>
      <c r="R209" s="596" t="s">
        <v>39</v>
      </c>
      <c r="S209" s="596" t="s">
        <v>40</v>
      </c>
      <c r="T209"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209" s="596" t="str">
        <f>+$U$11</f>
        <v xml:space="preserve">VERIFICACIÓN CONDICIÓN DE EXPERIENCIA  </v>
      </c>
    </row>
    <row r="210" spans="2:21" ht="51" hidden="1" customHeight="1">
      <c r="B210" s="611"/>
      <c r="C210" s="597"/>
      <c r="D210" s="597"/>
      <c r="E210" s="597"/>
      <c r="F210" s="597"/>
      <c r="G210" s="597"/>
      <c r="H210" s="597"/>
      <c r="I210" s="597"/>
      <c r="J210" s="598" t="s">
        <v>43</v>
      </c>
      <c r="K210" s="599"/>
      <c r="L210" s="599"/>
      <c r="M210" s="600"/>
      <c r="N210" s="597"/>
      <c r="O210" s="597"/>
      <c r="P210" s="493" t="s">
        <v>10</v>
      </c>
      <c r="Q210" s="493" t="s">
        <v>44</v>
      </c>
      <c r="R210" s="597"/>
      <c r="S210" s="597"/>
      <c r="T210" s="597"/>
      <c r="U210" s="597"/>
    </row>
    <row r="211" spans="2:21" ht="25.5" hidden="1" customHeight="1">
      <c r="B211" s="546">
        <v>1</v>
      </c>
      <c r="C211" s="549"/>
      <c r="D211" s="549"/>
      <c r="E211" s="549"/>
      <c r="F211" s="549"/>
      <c r="G211" s="552"/>
      <c r="H211" s="555"/>
      <c r="I211" s="558"/>
      <c r="J211" s="499"/>
      <c r="K211" s="57">
        <f>+$K$13</f>
        <v>801016</v>
      </c>
      <c r="L211" s="499"/>
      <c r="M211" s="57">
        <f>+$M$13</f>
        <v>0</v>
      </c>
      <c r="N211" s="561"/>
      <c r="O211" s="561"/>
      <c r="P211" s="564"/>
      <c r="Q211" s="544"/>
      <c r="R211" s="544"/>
      <c r="S211" s="568">
        <f>IF(COUNTIF(J211:K213,"CUMPLE")&gt;=1,(G211*I211),0)* (IF(N211="PRESENTÓ CERTIFICADO",1,0))* (IF(O211="ACORDE A ITEM 5.2.2 (T.R.)",1,0) )* ( IF(OR(Q211="SIN OBSERVACIÓN", Q211="REQUERIMIENTOS SUBSANADOS"),1,0)) *(IF(OR(R211="NINGUNO", R211="CUMPLEN CON LO SOLICITADO"),1,0))</f>
        <v>0</v>
      </c>
      <c r="T211" s="591"/>
      <c r="U211" s="541">
        <f>IF(COUNTIF(J211:K213,"CUMPLE")&gt;=1,1,0)</f>
        <v>0</v>
      </c>
    </row>
    <row r="212" spans="2:21" ht="25.5" hidden="1" customHeight="1">
      <c r="B212" s="547"/>
      <c r="C212" s="550"/>
      <c r="D212" s="550"/>
      <c r="E212" s="550"/>
      <c r="F212" s="550"/>
      <c r="G212" s="553"/>
      <c r="H212" s="556"/>
      <c r="I212" s="559"/>
      <c r="J212" s="499"/>
      <c r="K212" s="57">
        <f>+$K$14</f>
        <v>811015</v>
      </c>
      <c r="L212" s="542"/>
      <c r="M212" s="544">
        <f>+$M$14</f>
        <v>0</v>
      </c>
      <c r="N212" s="562"/>
      <c r="O212" s="562"/>
      <c r="P212" s="565"/>
      <c r="Q212" s="567"/>
      <c r="R212" s="567"/>
      <c r="S212" s="569"/>
      <c r="T212" s="592"/>
      <c r="U212" s="541"/>
    </row>
    <row r="213" spans="2:21" ht="25.5" hidden="1" customHeight="1">
      <c r="B213" s="548"/>
      <c r="C213" s="551"/>
      <c r="D213" s="551"/>
      <c r="E213" s="551"/>
      <c r="F213" s="551"/>
      <c r="G213" s="554"/>
      <c r="H213" s="557"/>
      <c r="I213" s="560"/>
      <c r="J213" s="499"/>
      <c r="K213" s="57">
        <f>+$K$15</f>
        <v>841116</v>
      </c>
      <c r="L213" s="543"/>
      <c r="M213" s="545"/>
      <c r="N213" s="563"/>
      <c r="O213" s="563"/>
      <c r="P213" s="566"/>
      <c r="Q213" s="545"/>
      <c r="R213" s="545"/>
      <c r="S213" s="570"/>
      <c r="T213" s="592"/>
      <c r="U213" s="541"/>
    </row>
    <row r="214" spans="2:21" ht="25.5" hidden="1" customHeight="1">
      <c r="B214" s="546">
        <v>2</v>
      </c>
      <c r="C214" s="571"/>
      <c r="D214" s="571"/>
      <c r="E214" s="571"/>
      <c r="F214" s="571"/>
      <c r="G214" s="574"/>
      <c r="H214" s="555"/>
      <c r="I214" s="577"/>
      <c r="J214" s="499"/>
      <c r="K214" s="57">
        <f>+$K$13</f>
        <v>801016</v>
      </c>
      <c r="L214" s="499"/>
      <c r="M214" s="57">
        <f>+$M$13</f>
        <v>0</v>
      </c>
      <c r="N214" s="561"/>
      <c r="O214" s="561"/>
      <c r="P214" s="564"/>
      <c r="Q214" s="544"/>
      <c r="R214" s="544"/>
      <c r="S214" s="568">
        <f>IF(COUNTIF(J214:K216,"CUMPLE")&gt;=1,(G214*I214),0)* (IF(N214="PRESENTÓ CERTIFICADO",1,0))* (IF(O214="ACORDE A ITEM 5.2.2 (T.R.)",1,0) )* ( IF(OR(Q214="SIN OBSERVACIÓN", Q214="REQUERIMIENTOS SUBSANADOS"),1,0)) *(IF(OR(R214="NINGUNO", R214="CUMPLEN CON LO SOLICITADO"),1,0))</f>
        <v>0</v>
      </c>
      <c r="T214" s="592"/>
      <c r="U214" s="541">
        <f>IF(COUNTIF(L214:M216,"CUMPLE")&gt;=1,1,0)</f>
        <v>0</v>
      </c>
    </row>
    <row r="215" spans="2:21" ht="25.5" hidden="1" customHeight="1">
      <c r="B215" s="547"/>
      <c r="C215" s="572"/>
      <c r="D215" s="572"/>
      <c r="E215" s="572"/>
      <c r="F215" s="572"/>
      <c r="G215" s="575"/>
      <c r="H215" s="556"/>
      <c r="I215" s="578"/>
      <c r="J215" s="499"/>
      <c r="K215" s="57">
        <f>+$K$14</f>
        <v>811015</v>
      </c>
      <c r="L215" s="542"/>
      <c r="M215" s="544">
        <f>+$M$14</f>
        <v>0</v>
      </c>
      <c r="N215" s="562"/>
      <c r="O215" s="562"/>
      <c r="P215" s="565"/>
      <c r="Q215" s="567"/>
      <c r="R215" s="567"/>
      <c r="S215" s="569"/>
      <c r="T215" s="592"/>
      <c r="U215" s="541"/>
    </row>
    <row r="216" spans="2:21" ht="25.5" hidden="1" customHeight="1">
      <c r="B216" s="548"/>
      <c r="C216" s="573"/>
      <c r="D216" s="573"/>
      <c r="E216" s="573"/>
      <c r="F216" s="573"/>
      <c r="G216" s="576"/>
      <c r="H216" s="557"/>
      <c r="I216" s="579"/>
      <c r="J216" s="499"/>
      <c r="K216" s="57">
        <f>+$K$15</f>
        <v>841116</v>
      </c>
      <c r="L216" s="543"/>
      <c r="M216" s="545"/>
      <c r="N216" s="563"/>
      <c r="O216" s="563"/>
      <c r="P216" s="566"/>
      <c r="Q216" s="545"/>
      <c r="R216" s="545"/>
      <c r="S216" s="570"/>
      <c r="T216" s="592"/>
      <c r="U216" s="541"/>
    </row>
    <row r="217" spans="2:21" ht="25.5" hidden="1" customHeight="1">
      <c r="B217" s="546">
        <v>3</v>
      </c>
      <c r="C217" s="549"/>
      <c r="D217" s="549"/>
      <c r="E217" s="549"/>
      <c r="F217" s="549"/>
      <c r="G217" s="552"/>
      <c r="H217" s="555"/>
      <c r="I217" s="558"/>
      <c r="J217" s="499"/>
      <c r="K217" s="57">
        <f>+$K$13</f>
        <v>801016</v>
      </c>
      <c r="L217" s="499"/>
      <c r="M217" s="57">
        <f>+$M$13</f>
        <v>0</v>
      </c>
      <c r="N217" s="561"/>
      <c r="O217" s="561"/>
      <c r="P217" s="564"/>
      <c r="Q217" s="544"/>
      <c r="R217" s="544"/>
      <c r="S217" s="568">
        <f>IF(COUNTIF(J217:K219,"CUMPLE")&gt;=1,(G217*I217),0)* (IF(N217="PRESENTÓ CERTIFICADO",1,0))* (IF(O217="ACORDE A ITEM 5.2.2 (T.R.)",1,0) )* ( IF(OR(Q217="SIN OBSERVACIÓN", Q217="REQUERIMIENTOS SUBSANADOS"),1,0)) *(IF(OR(R217="NINGUNO", R217="CUMPLEN CON LO SOLICITADO"),1,0))</f>
        <v>0</v>
      </c>
      <c r="T217" s="592"/>
      <c r="U217" s="541">
        <f>IF(COUNTIF(L217:M219,"CUMPLE")&gt;=1,1,0)</f>
        <v>0</v>
      </c>
    </row>
    <row r="218" spans="2:21" ht="25.5" hidden="1" customHeight="1">
      <c r="B218" s="547"/>
      <c r="C218" s="550"/>
      <c r="D218" s="550"/>
      <c r="E218" s="550"/>
      <c r="F218" s="550"/>
      <c r="G218" s="553"/>
      <c r="H218" s="556"/>
      <c r="I218" s="559"/>
      <c r="J218" s="499"/>
      <c r="K218" s="57">
        <f>+$K$14</f>
        <v>811015</v>
      </c>
      <c r="L218" s="542"/>
      <c r="M218" s="544">
        <f>+$M$14</f>
        <v>0</v>
      </c>
      <c r="N218" s="562"/>
      <c r="O218" s="562"/>
      <c r="P218" s="565"/>
      <c r="Q218" s="567"/>
      <c r="R218" s="567"/>
      <c r="S218" s="569"/>
      <c r="T218" s="592"/>
      <c r="U218" s="541"/>
    </row>
    <row r="219" spans="2:21" ht="25.5" hidden="1" customHeight="1">
      <c r="B219" s="548"/>
      <c r="C219" s="551"/>
      <c r="D219" s="551"/>
      <c r="E219" s="551"/>
      <c r="F219" s="551"/>
      <c r="G219" s="554"/>
      <c r="H219" s="557"/>
      <c r="I219" s="560"/>
      <c r="J219" s="499"/>
      <c r="K219" s="57">
        <f>+$K$15</f>
        <v>841116</v>
      </c>
      <c r="L219" s="543"/>
      <c r="M219" s="545"/>
      <c r="N219" s="563"/>
      <c r="O219" s="563"/>
      <c r="P219" s="566"/>
      <c r="Q219" s="545"/>
      <c r="R219" s="545"/>
      <c r="S219" s="570"/>
      <c r="T219" s="592"/>
      <c r="U219" s="541"/>
    </row>
    <row r="220" spans="2:21" ht="25.5" hidden="1" customHeight="1">
      <c r="B220" s="546">
        <v>4</v>
      </c>
      <c r="C220" s="571"/>
      <c r="D220" s="571"/>
      <c r="E220" s="571"/>
      <c r="F220" s="571"/>
      <c r="G220" s="574"/>
      <c r="H220" s="555"/>
      <c r="I220" s="577"/>
      <c r="J220" s="499"/>
      <c r="K220" s="57">
        <f>+$K$13</f>
        <v>801016</v>
      </c>
      <c r="L220" s="499"/>
      <c r="M220" s="57">
        <f>+$M$13</f>
        <v>0</v>
      </c>
      <c r="N220" s="561"/>
      <c r="O220" s="561"/>
      <c r="P220" s="564"/>
      <c r="Q220" s="544"/>
      <c r="R220" s="544"/>
      <c r="S220" s="568">
        <f>IF(COUNTIF(J220:K222,"CUMPLE")&gt;=1,(G220*I220),0)* (IF(N220="PRESENTÓ CERTIFICADO",1,0))* (IF(O220="ACORDE A ITEM 5.2.2 (T.R.)",1,0) )* ( IF(OR(Q220="SIN OBSERVACIÓN", Q220="REQUERIMIENTOS SUBSANADOS"),1,0)) *(IF(OR(R220="NINGUNO", R220="CUMPLEN CON LO SOLICITADO"),1,0))</f>
        <v>0</v>
      </c>
      <c r="T220" s="592"/>
      <c r="U220" s="541">
        <f>IF(COUNTIF(L220:M222,"CUMPLE")&gt;=1,1,0)</f>
        <v>0</v>
      </c>
    </row>
    <row r="221" spans="2:21" ht="25.5" hidden="1" customHeight="1">
      <c r="B221" s="547"/>
      <c r="C221" s="572"/>
      <c r="D221" s="572"/>
      <c r="E221" s="572"/>
      <c r="F221" s="572"/>
      <c r="G221" s="575"/>
      <c r="H221" s="556"/>
      <c r="I221" s="578"/>
      <c r="J221" s="499"/>
      <c r="K221" s="57">
        <f>+$K$14</f>
        <v>811015</v>
      </c>
      <c r="L221" s="542"/>
      <c r="M221" s="544">
        <f>+$M$14</f>
        <v>0</v>
      </c>
      <c r="N221" s="562"/>
      <c r="O221" s="562"/>
      <c r="P221" s="565"/>
      <c r="Q221" s="567"/>
      <c r="R221" s="567"/>
      <c r="S221" s="569"/>
      <c r="T221" s="592"/>
      <c r="U221" s="541"/>
    </row>
    <row r="222" spans="2:21" ht="25.5" hidden="1" customHeight="1">
      <c r="B222" s="548"/>
      <c r="C222" s="573"/>
      <c r="D222" s="573"/>
      <c r="E222" s="573"/>
      <c r="F222" s="573"/>
      <c r="G222" s="576"/>
      <c r="H222" s="557"/>
      <c r="I222" s="579"/>
      <c r="J222" s="499"/>
      <c r="K222" s="57">
        <f>+$K$15</f>
        <v>841116</v>
      </c>
      <c r="L222" s="543"/>
      <c r="M222" s="545"/>
      <c r="N222" s="563"/>
      <c r="O222" s="563"/>
      <c r="P222" s="566"/>
      <c r="Q222" s="545"/>
      <c r="R222" s="545"/>
      <c r="S222" s="570"/>
      <c r="T222" s="592"/>
      <c r="U222" s="541"/>
    </row>
    <row r="223" spans="2:21" ht="25.5" hidden="1" customHeight="1">
      <c r="B223" s="546">
        <v>5</v>
      </c>
      <c r="C223" s="549"/>
      <c r="D223" s="549"/>
      <c r="E223" s="549"/>
      <c r="F223" s="549"/>
      <c r="G223" s="552"/>
      <c r="H223" s="555"/>
      <c r="I223" s="558"/>
      <c r="J223" s="499"/>
      <c r="K223" s="57">
        <f>+$K$13</f>
        <v>801016</v>
      </c>
      <c r="L223" s="499"/>
      <c r="M223" s="57">
        <f>+$M$13</f>
        <v>0</v>
      </c>
      <c r="N223" s="561"/>
      <c r="O223" s="561"/>
      <c r="P223" s="564"/>
      <c r="Q223" s="544"/>
      <c r="R223" s="544"/>
      <c r="S223" s="568">
        <f>IF(COUNTIF(J223:K225,"CUMPLE")&gt;=1,(G223*I223),0)* (IF(N223="PRESENTÓ CERTIFICADO",1,0))* (IF(O223="ACORDE A ITEM 5.2.2 (T.R.)",1,0) )* ( IF(OR(Q223="SIN OBSERVACIÓN", Q223="REQUERIMIENTOS SUBSANADOS"),1,0)) *(IF(OR(R223="NINGUNO", R223="CUMPLEN CON LO SOLICITADO"),1,0))</f>
        <v>0</v>
      </c>
      <c r="T223" s="592"/>
      <c r="U223" s="541">
        <f>IF(COUNTIF(L223:M225,"CUMPLE")&gt;=1,1,0)</f>
        <v>0</v>
      </c>
    </row>
    <row r="224" spans="2:21" ht="25.5" hidden="1" customHeight="1">
      <c r="B224" s="547"/>
      <c r="C224" s="550"/>
      <c r="D224" s="550"/>
      <c r="E224" s="550"/>
      <c r="F224" s="550"/>
      <c r="G224" s="553"/>
      <c r="H224" s="556"/>
      <c r="I224" s="559"/>
      <c r="J224" s="499"/>
      <c r="K224" s="57">
        <f>+$K$14</f>
        <v>811015</v>
      </c>
      <c r="L224" s="542"/>
      <c r="M224" s="544">
        <f>+$M$14</f>
        <v>0</v>
      </c>
      <c r="N224" s="562"/>
      <c r="O224" s="562"/>
      <c r="P224" s="565"/>
      <c r="Q224" s="567"/>
      <c r="R224" s="567"/>
      <c r="S224" s="569"/>
      <c r="T224" s="592"/>
      <c r="U224" s="541"/>
    </row>
    <row r="225" spans="2:21" ht="25.5" hidden="1" customHeight="1">
      <c r="B225" s="548"/>
      <c r="C225" s="551"/>
      <c r="D225" s="551"/>
      <c r="E225" s="551"/>
      <c r="F225" s="551"/>
      <c r="G225" s="554"/>
      <c r="H225" s="557"/>
      <c r="I225" s="560"/>
      <c r="J225" s="499"/>
      <c r="K225" s="57">
        <f>+$K$15</f>
        <v>841116</v>
      </c>
      <c r="L225" s="543"/>
      <c r="M225" s="545"/>
      <c r="N225" s="563"/>
      <c r="O225" s="563"/>
      <c r="P225" s="566"/>
      <c r="Q225" s="545"/>
      <c r="R225" s="545"/>
      <c r="S225" s="570"/>
      <c r="T225" s="593"/>
      <c r="U225" s="541"/>
    </row>
    <row r="226" spans="2:21" ht="18" hidden="1" customHeight="1">
      <c r="B226" s="580" t="str">
        <f>IF(S227=" "," ",IF(S227&gt;=$H$6,"CUMPLE CON LA EXPERIENCIA REQUERIDA","NO CUMPLE CON LA EXPERIENCIA REQUERIDA"))</f>
        <v>NO CUMPLE CON LA EXPERIENCIA REQUERIDA</v>
      </c>
      <c r="C226" s="581"/>
      <c r="D226" s="581"/>
      <c r="E226" s="581"/>
      <c r="F226" s="581"/>
      <c r="G226" s="581"/>
      <c r="H226" s="581"/>
      <c r="I226" s="581"/>
      <c r="J226" s="581"/>
      <c r="K226" s="581"/>
      <c r="L226" s="581"/>
      <c r="M226" s="581"/>
      <c r="N226" s="581"/>
      <c r="O226" s="582"/>
      <c r="P226" s="586" t="s">
        <v>46</v>
      </c>
      <c r="Q226" s="587"/>
      <c r="R226" s="588"/>
      <c r="S226" s="503">
        <f>IF(T211="SI",SUM(S211:S225),0)</f>
        <v>0</v>
      </c>
      <c r="T226" s="589" t="str">
        <f>IF(S227=" "," ",IF(S227&gt;=$H$6,"CUMPLE","NO CUMPLE"))</f>
        <v>NO CUMPLE</v>
      </c>
    </row>
    <row r="227" spans="2:21" ht="18" hidden="1" customHeight="1">
      <c r="B227" s="583"/>
      <c r="C227" s="584"/>
      <c r="D227" s="584"/>
      <c r="E227" s="584"/>
      <c r="F227" s="584"/>
      <c r="G227" s="584"/>
      <c r="H227" s="584"/>
      <c r="I227" s="584"/>
      <c r="J227" s="584"/>
      <c r="K227" s="584"/>
      <c r="L227" s="584"/>
      <c r="M227" s="584"/>
      <c r="N227" s="584"/>
      <c r="O227" s="585"/>
      <c r="P227" s="586" t="s">
        <v>47</v>
      </c>
      <c r="Q227" s="587"/>
      <c r="R227" s="588"/>
      <c r="S227" s="503">
        <f>IFERROR((S226/$P$6)," ")</f>
        <v>0</v>
      </c>
      <c r="T227" s="590"/>
      <c r="U227" s="500"/>
    </row>
    <row r="228" spans="2:21" hidden="1"/>
    <row r="229" spans="2:21" hidden="1"/>
    <row r="230" spans="2:21" hidden="1">
      <c r="B230" s="465">
        <v>11</v>
      </c>
      <c r="C230" s="601" t="s">
        <v>25</v>
      </c>
      <c r="D230" s="602"/>
      <c r="E230" s="603"/>
      <c r="F230" s="604">
        <f>IFERROR(VLOOKUP(B230,LISTA_OFERENTES,2,FALSE)," ")</f>
        <v>0</v>
      </c>
      <c r="G230" s="605"/>
      <c r="H230" s="605"/>
      <c r="I230" s="605"/>
      <c r="J230" s="605"/>
      <c r="K230" s="605"/>
      <c r="L230" s="605"/>
      <c r="M230" s="605"/>
      <c r="N230" s="605"/>
      <c r="O230" s="606"/>
      <c r="P230" s="607" t="s">
        <v>26</v>
      </c>
      <c r="Q230" s="608"/>
      <c r="R230" s="609"/>
      <c r="S230" s="491">
        <f>5-(INT(COUNTBLANK(C233:C247))-10)</f>
        <v>0</v>
      </c>
    </row>
    <row r="231" spans="2:21" ht="41.25" hidden="1" customHeight="1">
      <c r="B231" s="610" t="s">
        <v>27</v>
      </c>
      <c r="C231" s="596" t="s">
        <v>28</v>
      </c>
      <c r="D231" s="596" t="s">
        <v>29</v>
      </c>
      <c r="E231" s="596" t="s">
        <v>30</v>
      </c>
      <c r="F231" s="596" t="s">
        <v>31</v>
      </c>
      <c r="G231" s="596" t="s">
        <v>32</v>
      </c>
      <c r="H231" s="596" t="s">
        <v>33</v>
      </c>
      <c r="I231" s="596" t="s">
        <v>34</v>
      </c>
      <c r="J231" s="594" t="s">
        <v>35</v>
      </c>
      <c r="K231" s="612"/>
      <c r="L231" s="612"/>
      <c r="M231" s="595"/>
      <c r="N231" s="596" t="s">
        <v>36</v>
      </c>
      <c r="O231" s="596" t="s">
        <v>37</v>
      </c>
      <c r="P231" s="594" t="s">
        <v>38</v>
      </c>
      <c r="Q231" s="595"/>
      <c r="R231" s="596" t="s">
        <v>39</v>
      </c>
      <c r="S231" s="596" t="s">
        <v>40</v>
      </c>
      <c r="T231"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231" s="596" t="str">
        <f>+$U$11</f>
        <v xml:space="preserve">VERIFICACIÓN CONDICIÓN DE EXPERIENCIA  </v>
      </c>
    </row>
    <row r="232" spans="2:21" ht="63" hidden="1" customHeight="1">
      <c r="B232" s="611"/>
      <c r="C232" s="597"/>
      <c r="D232" s="597"/>
      <c r="E232" s="597"/>
      <c r="F232" s="597"/>
      <c r="G232" s="597"/>
      <c r="H232" s="597"/>
      <c r="I232" s="597"/>
      <c r="J232" s="598" t="s">
        <v>43</v>
      </c>
      <c r="K232" s="599"/>
      <c r="L232" s="599"/>
      <c r="M232" s="600"/>
      <c r="N232" s="597"/>
      <c r="O232" s="597"/>
      <c r="P232" s="493" t="s">
        <v>10</v>
      </c>
      <c r="Q232" s="493" t="s">
        <v>44</v>
      </c>
      <c r="R232" s="597"/>
      <c r="S232" s="597"/>
      <c r="T232" s="597"/>
      <c r="U232" s="597"/>
    </row>
    <row r="233" spans="2:21" ht="21.75" hidden="1" customHeight="1">
      <c r="B233" s="546">
        <v>1</v>
      </c>
      <c r="C233" s="549"/>
      <c r="D233" s="549"/>
      <c r="E233" s="549"/>
      <c r="F233" s="549"/>
      <c r="G233" s="552"/>
      <c r="H233" s="555"/>
      <c r="I233" s="558"/>
      <c r="J233" s="499"/>
      <c r="K233" s="57">
        <f>+$K$13</f>
        <v>801016</v>
      </c>
      <c r="L233" s="499"/>
      <c r="M233" s="57">
        <f>+$M$13</f>
        <v>0</v>
      </c>
      <c r="N233" s="561"/>
      <c r="O233" s="561"/>
      <c r="P233" s="564"/>
      <c r="Q233" s="544"/>
      <c r="R233" s="544"/>
      <c r="S233" s="568">
        <f>IF(COUNTIF(J233:K235,"CUMPLE")&gt;=1,(G233*I233),0)* (IF(N233="PRESENTÓ CERTIFICADO",1,0))* (IF(O233="ACORDE A ITEM 5.2.2 (T.R.)",1,0) )* ( IF(OR(Q233="SIN OBSERVACIÓN", Q233="REQUERIMIENTOS SUBSANADOS"),1,0)) *(IF(OR(R233="NINGUNO", R233="CUMPLEN CON LO SOLICITADO"),1,0))</f>
        <v>0</v>
      </c>
      <c r="T233" s="591"/>
      <c r="U233" s="541">
        <f>IF(COUNTIF(J233:K235,"CUMPLE")&gt;=1,1,0)</f>
        <v>0</v>
      </c>
    </row>
    <row r="234" spans="2:21" ht="21.75" hidden="1" customHeight="1">
      <c r="B234" s="547"/>
      <c r="C234" s="550"/>
      <c r="D234" s="550"/>
      <c r="E234" s="550"/>
      <c r="F234" s="550"/>
      <c r="G234" s="553"/>
      <c r="H234" s="556"/>
      <c r="I234" s="559"/>
      <c r="J234" s="499"/>
      <c r="K234" s="57">
        <f>+$K$14</f>
        <v>811015</v>
      </c>
      <c r="L234" s="542"/>
      <c r="M234" s="544">
        <f>+$M$14</f>
        <v>0</v>
      </c>
      <c r="N234" s="562"/>
      <c r="O234" s="562"/>
      <c r="P234" s="565"/>
      <c r="Q234" s="567"/>
      <c r="R234" s="567"/>
      <c r="S234" s="569"/>
      <c r="T234" s="592"/>
      <c r="U234" s="541"/>
    </row>
    <row r="235" spans="2:21" ht="21.75" hidden="1" customHeight="1">
      <c r="B235" s="548"/>
      <c r="C235" s="551"/>
      <c r="D235" s="551"/>
      <c r="E235" s="551"/>
      <c r="F235" s="551"/>
      <c r="G235" s="554"/>
      <c r="H235" s="557"/>
      <c r="I235" s="560"/>
      <c r="J235" s="499"/>
      <c r="K235" s="57">
        <f>+$K$15</f>
        <v>841116</v>
      </c>
      <c r="L235" s="543"/>
      <c r="M235" s="545"/>
      <c r="N235" s="563"/>
      <c r="O235" s="563"/>
      <c r="P235" s="566"/>
      <c r="Q235" s="545"/>
      <c r="R235" s="545"/>
      <c r="S235" s="570"/>
      <c r="T235" s="592"/>
      <c r="U235" s="541"/>
    </row>
    <row r="236" spans="2:21" ht="23.25" hidden="1" customHeight="1">
      <c r="B236" s="546">
        <v>2</v>
      </c>
      <c r="C236" s="571"/>
      <c r="D236" s="571"/>
      <c r="E236" s="571"/>
      <c r="F236" s="571"/>
      <c r="G236" s="574"/>
      <c r="H236" s="555"/>
      <c r="I236" s="558"/>
      <c r="J236" s="499"/>
      <c r="K236" s="57">
        <f>+$K$13</f>
        <v>801016</v>
      </c>
      <c r="L236" s="499"/>
      <c r="M236" s="57">
        <f>+$M$13</f>
        <v>0</v>
      </c>
      <c r="N236" s="561"/>
      <c r="O236" s="561"/>
      <c r="P236" s="564"/>
      <c r="Q236" s="544"/>
      <c r="R236" s="544"/>
      <c r="S236" s="568">
        <f>IF(COUNTIF(J236:K238,"CUMPLE")&gt;=1,(G236*I236),0)* (IF(N236="PRESENTÓ CERTIFICADO",1,0))* (IF(O236="ACORDE A ITEM 5.2.2 (T.R.)",1,0) )* ( IF(OR(Q236="SIN OBSERVACIÓN", Q236="REQUERIMIENTOS SUBSANADOS"),1,0)) *(IF(OR(R236="NINGUNO", R236="CUMPLEN CON LO SOLICITADO"),1,0))</f>
        <v>0</v>
      </c>
      <c r="T236" s="592"/>
      <c r="U236" s="541">
        <f>IF(COUNTIF(J236:K238,"CUMPLE")&gt;=1,1,0)</f>
        <v>0</v>
      </c>
    </row>
    <row r="237" spans="2:21" ht="23.25" hidden="1" customHeight="1">
      <c r="B237" s="547"/>
      <c r="C237" s="572"/>
      <c r="D237" s="572"/>
      <c r="E237" s="572"/>
      <c r="F237" s="572"/>
      <c r="G237" s="575"/>
      <c r="H237" s="556"/>
      <c r="I237" s="559"/>
      <c r="J237" s="499"/>
      <c r="K237" s="57">
        <f>+$K$14</f>
        <v>811015</v>
      </c>
      <c r="L237" s="542"/>
      <c r="M237" s="544">
        <f>+$M$14</f>
        <v>0</v>
      </c>
      <c r="N237" s="562"/>
      <c r="O237" s="562"/>
      <c r="P237" s="565"/>
      <c r="Q237" s="567"/>
      <c r="R237" s="567"/>
      <c r="S237" s="569"/>
      <c r="T237" s="592"/>
      <c r="U237" s="541"/>
    </row>
    <row r="238" spans="2:21" ht="23.25" hidden="1" customHeight="1">
      <c r="B238" s="548"/>
      <c r="C238" s="573"/>
      <c r="D238" s="573"/>
      <c r="E238" s="573"/>
      <c r="F238" s="573"/>
      <c r="G238" s="576"/>
      <c r="H238" s="557"/>
      <c r="I238" s="560"/>
      <c r="J238" s="499"/>
      <c r="K238" s="57">
        <f>+$K$15</f>
        <v>841116</v>
      </c>
      <c r="L238" s="543"/>
      <c r="M238" s="545"/>
      <c r="N238" s="563"/>
      <c r="O238" s="563"/>
      <c r="P238" s="566"/>
      <c r="Q238" s="545"/>
      <c r="R238" s="545"/>
      <c r="S238" s="570"/>
      <c r="T238" s="592"/>
      <c r="U238" s="541"/>
    </row>
    <row r="239" spans="2:21" ht="23.25" hidden="1" customHeight="1">
      <c r="B239" s="546">
        <v>3</v>
      </c>
      <c r="C239" s="549"/>
      <c r="D239" s="549"/>
      <c r="E239" s="549"/>
      <c r="F239" s="549"/>
      <c r="G239" s="552"/>
      <c r="H239" s="555"/>
      <c r="I239" s="558"/>
      <c r="J239" s="499"/>
      <c r="K239" s="57">
        <f>+$K$13</f>
        <v>801016</v>
      </c>
      <c r="L239" s="499"/>
      <c r="M239" s="57">
        <f>+$M$13</f>
        <v>0</v>
      </c>
      <c r="N239" s="561"/>
      <c r="O239" s="561"/>
      <c r="P239" s="564"/>
      <c r="Q239" s="544"/>
      <c r="R239" s="544"/>
      <c r="S239" s="568">
        <f>IF(COUNTIF(J239:K241,"CUMPLE")&gt;=1,(G239*I239),0)* (IF(N239="PRESENTÓ CERTIFICADO",1,0))* (IF(O239="ACORDE A ITEM 5.2.2 (T.R.)",1,0) )* ( IF(OR(Q239="SIN OBSERVACIÓN", Q239="REQUERIMIENTOS SUBSANADOS"),1,0)) *(IF(OR(R239="NINGUNO", R239="CUMPLEN CON LO SOLICITADO"),1,0))</f>
        <v>0</v>
      </c>
      <c r="T239" s="592"/>
      <c r="U239" s="541">
        <f>IF(COUNTIF(J239:K241,"CUMPLE")&gt;=1,1,0)</f>
        <v>0</v>
      </c>
    </row>
    <row r="240" spans="2:21" ht="23.25" hidden="1" customHeight="1">
      <c r="B240" s="547"/>
      <c r="C240" s="550"/>
      <c r="D240" s="550"/>
      <c r="E240" s="550"/>
      <c r="F240" s="550"/>
      <c r="G240" s="553"/>
      <c r="H240" s="556"/>
      <c r="I240" s="559"/>
      <c r="J240" s="499"/>
      <c r="K240" s="57">
        <f>+$K$14</f>
        <v>811015</v>
      </c>
      <c r="L240" s="542"/>
      <c r="M240" s="544">
        <f>+$M$14</f>
        <v>0</v>
      </c>
      <c r="N240" s="562"/>
      <c r="O240" s="562"/>
      <c r="P240" s="565"/>
      <c r="Q240" s="567"/>
      <c r="R240" s="567"/>
      <c r="S240" s="569"/>
      <c r="T240" s="592"/>
      <c r="U240" s="541"/>
    </row>
    <row r="241" spans="2:21" ht="23.25" hidden="1" customHeight="1">
      <c r="B241" s="548"/>
      <c r="C241" s="551"/>
      <c r="D241" s="551"/>
      <c r="E241" s="551"/>
      <c r="F241" s="551"/>
      <c r="G241" s="554"/>
      <c r="H241" s="557"/>
      <c r="I241" s="560"/>
      <c r="J241" s="499"/>
      <c r="K241" s="57">
        <f>+$K$15</f>
        <v>841116</v>
      </c>
      <c r="L241" s="543"/>
      <c r="M241" s="545"/>
      <c r="N241" s="563"/>
      <c r="O241" s="563"/>
      <c r="P241" s="566"/>
      <c r="Q241" s="545"/>
      <c r="R241" s="545"/>
      <c r="S241" s="570"/>
      <c r="T241" s="592"/>
      <c r="U241" s="541"/>
    </row>
    <row r="242" spans="2:21" ht="23.25" hidden="1" customHeight="1">
      <c r="B242" s="546">
        <v>4</v>
      </c>
      <c r="C242" s="571"/>
      <c r="D242" s="571"/>
      <c r="E242" s="571"/>
      <c r="F242" s="571"/>
      <c r="G242" s="574"/>
      <c r="H242" s="555"/>
      <c r="I242" s="577"/>
      <c r="J242" s="499"/>
      <c r="K242" s="57">
        <f>+$K$13</f>
        <v>801016</v>
      </c>
      <c r="L242" s="499"/>
      <c r="M242" s="57">
        <f>+$M$13</f>
        <v>0</v>
      </c>
      <c r="N242" s="561"/>
      <c r="O242" s="561"/>
      <c r="P242" s="564"/>
      <c r="Q242" s="544"/>
      <c r="R242" s="544"/>
      <c r="S242" s="568">
        <f>IF(COUNTIF(J242:K244,"CUMPLE")&gt;=1,(G242*I242),0)* (IF(N242="PRESENTÓ CERTIFICADO",1,0))* (IF(O242="ACORDE A ITEM 5.2.2 (T.R.)",1,0) )* ( IF(OR(Q242="SIN OBSERVACIÓN", Q242="REQUERIMIENTOS SUBSANADOS"),1,0)) *(IF(OR(R242="NINGUNO", R242="CUMPLEN CON LO SOLICITADO"),1,0))</f>
        <v>0</v>
      </c>
      <c r="T242" s="592"/>
      <c r="U242" s="541">
        <f>IF(COUNTIF(L242:M244,"CUMPLE")&gt;=1,1,0)</f>
        <v>0</v>
      </c>
    </row>
    <row r="243" spans="2:21" ht="23.25" hidden="1" customHeight="1">
      <c r="B243" s="547"/>
      <c r="C243" s="572"/>
      <c r="D243" s="572"/>
      <c r="E243" s="572"/>
      <c r="F243" s="572"/>
      <c r="G243" s="575"/>
      <c r="H243" s="556"/>
      <c r="I243" s="578"/>
      <c r="J243" s="499"/>
      <c r="K243" s="57">
        <f>+$K$14</f>
        <v>811015</v>
      </c>
      <c r="L243" s="542"/>
      <c r="M243" s="544">
        <f>+$M$14</f>
        <v>0</v>
      </c>
      <c r="N243" s="562"/>
      <c r="O243" s="562"/>
      <c r="P243" s="565"/>
      <c r="Q243" s="567"/>
      <c r="R243" s="567"/>
      <c r="S243" s="569"/>
      <c r="T243" s="592"/>
      <c r="U243" s="541"/>
    </row>
    <row r="244" spans="2:21" ht="23.25" hidden="1" customHeight="1">
      <c r="B244" s="548"/>
      <c r="C244" s="573"/>
      <c r="D244" s="573"/>
      <c r="E244" s="573"/>
      <c r="F244" s="573"/>
      <c r="G244" s="576"/>
      <c r="H244" s="557"/>
      <c r="I244" s="579"/>
      <c r="J244" s="499"/>
      <c r="K244" s="57">
        <f>+$K$15</f>
        <v>841116</v>
      </c>
      <c r="L244" s="543"/>
      <c r="M244" s="545"/>
      <c r="N244" s="563"/>
      <c r="O244" s="563"/>
      <c r="P244" s="566"/>
      <c r="Q244" s="545"/>
      <c r="R244" s="545"/>
      <c r="S244" s="570"/>
      <c r="T244" s="592"/>
      <c r="U244" s="541"/>
    </row>
    <row r="245" spans="2:21" ht="23.25" hidden="1" customHeight="1">
      <c r="B245" s="546">
        <v>5</v>
      </c>
      <c r="C245" s="549"/>
      <c r="D245" s="549"/>
      <c r="E245" s="549"/>
      <c r="F245" s="549"/>
      <c r="G245" s="552"/>
      <c r="H245" s="555"/>
      <c r="I245" s="558"/>
      <c r="J245" s="499"/>
      <c r="K245" s="57">
        <f>+$K$13</f>
        <v>801016</v>
      </c>
      <c r="L245" s="499"/>
      <c r="M245" s="57">
        <f>+$M$13</f>
        <v>0</v>
      </c>
      <c r="N245" s="561"/>
      <c r="O245" s="561"/>
      <c r="P245" s="564"/>
      <c r="Q245" s="544"/>
      <c r="R245" s="544"/>
      <c r="S245" s="568">
        <f>IF(COUNTIF(J245:K247,"CUMPLE")&gt;=1,(G245*I245),0)* (IF(N245="PRESENTÓ CERTIFICADO",1,0))* (IF(O245="ACORDE A ITEM 5.2.2 (T.R.)",1,0) )* ( IF(OR(Q245="SIN OBSERVACIÓN", Q245="REQUERIMIENTOS SUBSANADOS"),1,0)) *(IF(OR(R245="NINGUNO", R245="CUMPLEN CON LO SOLICITADO"),1,0))</f>
        <v>0</v>
      </c>
      <c r="T245" s="592"/>
      <c r="U245" s="541">
        <f>IF(COUNTIF(L245:M247,"CUMPLE")&gt;=1,1,0)</f>
        <v>0</v>
      </c>
    </row>
    <row r="246" spans="2:21" ht="23.25" hidden="1" customHeight="1">
      <c r="B246" s="547"/>
      <c r="C246" s="550"/>
      <c r="D246" s="550"/>
      <c r="E246" s="550"/>
      <c r="F246" s="550"/>
      <c r="G246" s="553"/>
      <c r="H246" s="556"/>
      <c r="I246" s="559"/>
      <c r="J246" s="499"/>
      <c r="K246" s="57">
        <f>+$K$14</f>
        <v>811015</v>
      </c>
      <c r="L246" s="542"/>
      <c r="M246" s="544">
        <f>+$M$14</f>
        <v>0</v>
      </c>
      <c r="N246" s="562"/>
      <c r="O246" s="562"/>
      <c r="P246" s="565"/>
      <c r="Q246" s="567"/>
      <c r="R246" s="567"/>
      <c r="S246" s="569"/>
      <c r="T246" s="592"/>
      <c r="U246" s="541"/>
    </row>
    <row r="247" spans="2:21" ht="23.25" hidden="1" customHeight="1">
      <c r="B247" s="548"/>
      <c r="C247" s="551"/>
      <c r="D247" s="551"/>
      <c r="E247" s="551"/>
      <c r="F247" s="551"/>
      <c r="G247" s="554"/>
      <c r="H247" s="557"/>
      <c r="I247" s="560"/>
      <c r="J247" s="499"/>
      <c r="K247" s="57">
        <f>+$K$15</f>
        <v>841116</v>
      </c>
      <c r="L247" s="543"/>
      <c r="M247" s="545"/>
      <c r="N247" s="563"/>
      <c r="O247" s="563"/>
      <c r="P247" s="566"/>
      <c r="Q247" s="545"/>
      <c r="R247" s="545"/>
      <c r="S247" s="570"/>
      <c r="T247" s="593"/>
      <c r="U247" s="541"/>
    </row>
    <row r="248" spans="2:21" ht="18" hidden="1" customHeight="1">
      <c r="B248" s="580" t="str">
        <f>IF(S249=" "," ",IF(S249&gt;=$H$6,"CUMPLE CON LA EXPERIENCIA REQUERIDA","NO CUMPLE CON LA EXPERIENCIA REQUERIDA"))</f>
        <v>NO CUMPLE CON LA EXPERIENCIA REQUERIDA</v>
      </c>
      <c r="C248" s="581"/>
      <c r="D248" s="581"/>
      <c r="E248" s="581"/>
      <c r="F248" s="581"/>
      <c r="G248" s="581"/>
      <c r="H248" s="581"/>
      <c r="I248" s="581"/>
      <c r="J248" s="581"/>
      <c r="K248" s="581"/>
      <c r="L248" s="581"/>
      <c r="M248" s="581"/>
      <c r="N248" s="581"/>
      <c r="O248" s="582"/>
      <c r="P248" s="586" t="s">
        <v>46</v>
      </c>
      <c r="Q248" s="587"/>
      <c r="R248" s="588"/>
      <c r="S248" s="503">
        <f>IF(T233="SI",SUM(S233:S247),0)</f>
        <v>0</v>
      </c>
      <c r="T248" s="589" t="str">
        <f>IF(S249=" "," ",IF(S249&gt;=$H$6,"CUMPLE","NO CUMPLE"))</f>
        <v>NO CUMPLE</v>
      </c>
    </row>
    <row r="249" spans="2:21" ht="18" hidden="1" customHeight="1">
      <c r="B249" s="583"/>
      <c r="C249" s="584"/>
      <c r="D249" s="584"/>
      <c r="E249" s="584"/>
      <c r="F249" s="584"/>
      <c r="G249" s="584"/>
      <c r="H249" s="584"/>
      <c r="I249" s="584"/>
      <c r="J249" s="584"/>
      <c r="K249" s="584"/>
      <c r="L249" s="584"/>
      <c r="M249" s="584"/>
      <c r="N249" s="584"/>
      <c r="O249" s="585"/>
      <c r="P249" s="586" t="s">
        <v>47</v>
      </c>
      <c r="Q249" s="587"/>
      <c r="R249" s="588"/>
      <c r="S249" s="503">
        <f>IFERROR((S248/$P$6)," ")</f>
        <v>0</v>
      </c>
      <c r="T249" s="590"/>
      <c r="U249" s="500"/>
    </row>
    <row r="250" spans="2:21" hidden="1"/>
    <row r="251" spans="2:21" hidden="1"/>
    <row r="252" spans="2:21" hidden="1">
      <c r="B252" s="465">
        <v>12</v>
      </c>
      <c r="C252" s="601" t="s">
        <v>25</v>
      </c>
      <c r="D252" s="602"/>
      <c r="E252" s="603"/>
      <c r="F252" s="604">
        <f>IFERROR(VLOOKUP(B252,LISTA_OFERENTES,2,FALSE)," ")</f>
        <v>0</v>
      </c>
      <c r="G252" s="605"/>
      <c r="H252" s="605"/>
      <c r="I252" s="605"/>
      <c r="J252" s="605"/>
      <c r="K252" s="605"/>
      <c r="L252" s="605"/>
      <c r="M252" s="605"/>
      <c r="N252" s="605"/>
      <c r="O252" s="606"/>
      <c r="P252" s="607" t="s">
        <v>26</v>
      </c>
      <c r="Q252" s="608"/>
      <c r="R252" s="609"/>
      <c r="S252" s="491">
        <f>5-(INT(COUNTBLANK(C255:C269))-10)</f>
        <v>0</v>
      </c>
    </row>
    <row r="253" spans="2:21" ht="39.75" hidden="1" customHeight="1">
      <c r="B253" s="610" t="s">
        <v>27</v>
      </c>
      <c r="C253" s="596" t="s">
        <v>28</v>
      </c>
      <c r="D253" s="596" t="s">
        <v>29</v>
      </c>
      <c r="E253" s="596" t="s">
        <v>30</v>
      </c>
      <c r="F253" s="596" t="s">
        <v>31</v>
      </c>
      <c r="G253" s="596" t="s">
        <v>32</v>
      </c>
      <c r="H253" s="596" t="s">
        <v>33</v>
      </c>
      <c r="I253" s="596" t="s">
        <v>34</v>
      </c>
      <c r="J253" s="594" t="s">
        <v>35</v>
      </c>
      <c r="K253" s="612"/>
      <c r="L253" s="612"/>
      <c r="M253" s="595"/>
      <c r="N253" s="596" t="s">
        <v>36</v>
      </c>
      <c r="O253" s="596" t="s">
        <v>37</v>
      </c>
      <c r="P253" s="594" t="s">
        <v>38</v>
      </c>
      <c r="Q253" s="595"/>
      <c r="R253" s="596" t="s">
        <v>39</v>
      </c>
      <c r="S253" s="596" t="s">
        <v>40</v>
      </c>
      <c r="T253"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253" s="596" t="str">
        <f>+$U$11</f>
        <v xml:space="preserve">VERIFICACIÓN CONDICIÓN DE EXPERIENCIA  </v>
      </c>
    </row>
    <row r="254" spans="2:21" ht="51.75" hidden="1" customHeight="1">
      <c r="B254" s="611"/>
      <c r="C254" s="597"/>
      <c r="D254" s="597"/>
      <c r="E254" s="597"/>
      <c r="F254" s="597"/>
      <c r="G254" s="597"/>
      <c r="H254" s="597"/>
      <c r="I254" s="597"/>
      <c r="J254" s="598" t="s">
        <v>43</v>
      </c>
      <c r="K254" s="599"/>
      <c r="L254" s="599"/>
      <c r="M254" s="600"/>
      <c r="N254" s="597"/>
      <c r="O254" s="597"/>
      <c r="P254" s="493" t="s">
        <v>10</v>
      </c>
      <c r="Q254" s="493" t="s">
        <v>44</v>
      </c>
      <c r="R254" s="597"/>
      <c r="S254" s="597"/>
      <c r="T254" s="597"/>
      <c r="U254" s="597"/>
    </row>
    <row r="255" spans="2:21" ht="28.5" hidden="1" customHeight="1">
      <c r="B255" s="546">
        <v>1</v>
      </c>
      <c r="C255" s="549"/>
      <c r="D255" s="549"/>
      <c r="E255" s="549"/>
      <c r="F255" s="549"/>
      <c r="G255" s="552"/>
      <c r="H255" s="555"/>
      <c r="I255" s="558"/>
      <c r="J255" s="499"/>
      <c r="K255" s="57">
        <f>+$K$13</f>
        <v>801016</v>
      </c>
      <c r="L255" s="499"/>
      <c r="M255" s="57">
        <f>+$M$13</f>
        <v>0</v>
      </c>
      <c r="N255" s="561"/>
      <c r="O255" s="561"/>
      <c r="P255" s="564"/>
      <c r="Q255" s="544"/>
      <c r="R255" s="544"/>
      <c r="S255" s="568">
        <f>IF(COUNTIF(J255:K257,"CUMPLE")&gt;=1,(G255*I255),0)* (IF(N255="PRESENTÓ CERTIFICADO",1,0))* (IF(O255="ACORDE A ITEM 5.2.2 (T.R.)",1,0) )* ( IF(OR(Q255="SIN OBSERVACIÓN", Q255="REQUERIMIENTOS SUBSANADOS"),1,0)) *(IF(OR(R255="NINGUNO", R255="CUMPLEN CON LO SOLICITADO"),1,0))</f>
        <v>0</v>
      </c>
      <c r="T255" s="591" t="s">
        <v>155</v>
      </c>
      <c r="U255" s="541">
        <f>IF(COUNTIF(J255:K257,"CUMPLE")&gt;=1,1,0)</f>
        <v>0</v>
      </c>
    </row>
    <row r="256" spans="2:21" ht="28.5" hidden="1" customHeight="1">
      <c r="B256" s="547"/>
      <c r="C256" s="550"/>
      <c r="D256" s="550"/>
      <c r="E256" s="550"/>
      <c r="F256" s="550"/>
      <c r="G256" s="553"/>
      <c r="H256" s="556"/>
      <c r="I256" s="559"/>
      <c r="J256" s="499"/>
      <c r="K256" s="57">
        <f>+$K$14</f>
        <v>811015</v>
      </c>
      <c r="L256" s="542"/>
      <c r="M256" s="544">
        <f>+$M$14</f>
        <v>0</v>
      </c>
      <c r="N256" s="562"/>
      <c r="O256" s="562"/>
      <c r="P256" s="565"/>
      <c r="Q256" s="567"/>
      <c r="R256" s="567"/>
      <c r="S256" s="569"/>
      <c r="T256" s="592"/>
      <c r="U256" s="541"/>
    </row>
    <row r="257" spans="2:21" ht="28.5" hidden="1" customHeight="1">
      <c r="B257" s="548"/>
      <c r="C257" s="551"/>
      <c r="D257" s="551"/>
      <c r="E257" s="551"/>
      <c r="F257" s="551"/>
      <c r="G257" s="554"/>
      <c r="H257" s="557"/>
      <c r="I257" s="560"/>
      <c r="J257" s="499"/>
      <c r="K257" s="57">
        <f>+$K$15</f>
        <v>841116</v>
      </c>
      <c r="L257" s="543"/>
      <c r="M257" s="545"/>
      <c r="N257" s="563"/>
      <c r="O257" s="563"/>
      <c r="P257" s="566"/>
      <c r="Q257" s="545"/>
      <c r="R257" s="545"/>
      <c r="S257" s="570"/>
      <c r="T257" s="592"/>
      <c r="U257" s="541"/>
    </row>
    <row r="258" spans="2:21" ht="28.5" hidden="1" customHeight="1">
      <c r="B258" s="546">
        <v>2</v>
      </c>
      <c r="C258" s="571"/>
      <c r="D258" s="571"/>
      <c r="E258" s="571"/>
      <c r="F258" s="571"/>
      <c r="G258" s="574"/>
      <c r="H258" s="555"/>
      <c r="I258" s="558"/>
      <c r="J258" s="499"/>
      <c r="K258" s="57">
        <f>+$K$13</f>
        <v>801016</v>
      </c>
      <c r="L258" s="499"/>
      <c r="M258" s="57">
        <f>+$M$13</f>
        <v>0</v>
      </c>
      <c r="N258" s="561"/>
      <c r="O258" s="561"/>
      <c r="P258" s="564"/>
      <c r="Q258" s="544"/>
      <c r="R258" s="544"/>
      <c r="S258" s="568">
        <f>IF(COUNTIF(J258:K260,"CUMPLE")&gt;=1,(G258*I258),0)* (IF(N258="PRESENTÓ CERTIFICADO",1,0))* (IF(O258="ACORDE A ITEM 5.2.2 (T.R.)",1,0) )* ( IF(OR(Q258="SIN OBSERVACIÓN", Q258="REQUERIMIENTOS SUBSANADOS"),1,0)) *(IF(OR(R258="NINGUNO", R258="CUMPLEN CON LO SOLICITADO"),1,0))</f>
        <v>0</v>
      </c>
      <c r="T258" s="592"/>
      <c r="U258" s="541">
        <f t="shared" ref="U258" si="51">IF(COUNTIF(J258:K260,"CUMPLE")&gt;=1,1,0)</f>
        <v>0</v>
      </c>
    </row>
    <row r="259" spans="2:21" ht="28.5" hidden="1" customHeight="1">
      <c r="B259" s="547"/>
      <c r="C259" s="572"/>
      <c r="D259" s="572"/>
      <c r="E259" s="572"/>
      <c r="F259" s="572"/>
      <c r="G259" s="575"/>
      <c r="H259" s="556"/>
      <c r="I259" s="559"/>
      <c r="J259" s="499"/>
      <c r="K259" s="57">
        <f>+$K$14</f>
        <v>811015</v>
      </c>
      <c r="L259" s="542"/>
      <c r="M259" s="544">
        <f>+$M$14</f>
        <v>0</v>
      </c>
      <c r="N259" s="562"/>
      <c r="O259" s="562"/>
      <c r="P259" s="565"/>
      <c r="Q259" s="567"/>
      <c r="R259" s="567"/>
      <c r="S259" s="569"/>
      <c r="T259" s="592"/>
      <c r="U259" s="541"/>
    </row>
    <row r="260" spans="2:21" ht="28.5" hidden="1" customHeight="1">
      <c r="B260" s="548"/>
      <c r="C260" s="573"/>
      <c r="D260" s="573"/>
      <c r="E260" s="573"/>
      <c r="F260" s="573"/>
      <c r="G260" s="576"/>
      <c r="H260" s="557"/>
      <c r="I260" s="560"/>
      <c r="J260" s="499"/>
      <c r="K260" s="57">
        <f>+$K$15</f>
        <v>841116</v>
      </c>
      <c r="L260" s="543"/>
      <c r="M260" s="545"/>
      <c r="N260" s="563"/>
      <c r="O260" s="563"/>
      <c r="P260" s="566"/>
      <c r="Q260" s="545"/>
      <c r="R260" s="545"/>
      <c r="S260" s="570"/>
      <c r="T260" s="592"/>
      <c r="U260" s="541"/>
    </row>
    <row r="261" spans="2:21" ht="28.5" hidden="1" customHeight="1">
      <c r="B261" s="546">
        <v>3</v>
      </c>
      <c r="C261" s="549"/>
      <c r="D261" s="549"/>
      <c r="E261" s="549"/>
      <c r="F261" s="549"/>
      <c r="G261" s="552"/>
      <c r="H261" s="555"/>
      <c r="I261" s="558"/>
      <c r="J261" s="499"/>
      <c r="K261" s="57">
        <f>+$K$13</f>
        <v>801016</v>
      </c>
      <c r="L261" s="499"/>
      <c r="M261" s="57">
        <f>+$M$13</f>
        <v>0</v>
      </c>
      <c r="N261" s="561"/>
      <c r="O261" s="561"/>
      <c r="P261" s="564"/>
      <c r="Q261" s="544"/>
      <c r="R261" s="544"/>
      <c r="S261" s="568">
        <f>IF(COUNTIF(J261:K263,"CUMPLE")&gt;=1,(G261*I261),0)* (IF(N261="PRESENTÓ CERTIFICADO",1,0))* (IF(O261="ACORDE A ITEM 5.2.2 (T.R.)",1,0) )* ( IF(OR(Q261="SIN OBSERVACIÓN", Q261="REQUERIMIENTOS SUBSANADOS"),1,0)) *(IF(OR(R261="NINGUNO", R261="CUMPLEN CON LO SOLICITADO"),1,0))</f>
        <v>0</v>
      </c>
      <c r="T261" s="592"/>
      <c r="U261" s="541">
        <f t="shared" ref="U261" si="52">IF(COUNTIF(J261:K263,"CUMPLE")&gt;=1,1,0)</f>
        <v>0</v>
      </c>
    </row>
    <row r="262" spans="2:21" ht="28.5" hidden="1" customHeight="1">
      <c r="B262" s="547"/>
      <c r="C262" s="550"/>
      <c r="D262" s="550"/>
      <c r="E262" s="550"/>
      <c r="F262" s="550"/>
      <c r="G262" s="553"/>
      <c r="H262" s="556"/>
      <c r="I262" s="559"/>
      <c r="J262" s="499"/>
      <c r="K262" s="57">
        <f>+$K$14</f>
        <v>811015</v>
      </c>
      <c r="L262" s="542"/>
      <c r="M262" s="544">
        <f>+$M$14</f>
        <v>0</v>
      </c>
      <c r="N262" s="562"/>
      <c r="O262" s="562"/>
      <c r="P262" s="565"/>
      <c r="Q262" s="567"/>
      <c r="R262" s="567"/>
      <c r="S262" s="569"/>
      <c r="T262" s="592"/>
      <c r="U262" s="541"/>
    </row>
    <row r="263" spans="2:21" ht="28.5" hidden="1" customHeight="1">
      <c r="B263" s="548"/>
      <c r="C263" s="551"/>
      <c r="D263" s="551"/>
      <c r="E263" s="551"/>
      <c r="F263" s="551"/>
      <c r="G263" s="554"/>
      <c r="H263" s="557"/>
      <c r="I263" s="560"/>
      <c r="J263" s="499"/>
      <c r="K263" s="57">
        <f>+$K$15</f>
        <v>841116</v>
      </c>
      <c r="L263" s="543"/>
      <c r="M263" s="545"/>
      <c r="N263" s="563"/>
      <c r="O263" s="563"/>
      <c r="P263" s="566"/>
      <c r="Q263" s="545"/>
      <c r="R263" s="545"/>
      <c r="S263" s="570"/>
      <c r="T263" s="592"/>
      <c r="U263" s="541"/>
    </row>
    <row r="264" spans="2:21" ht="28.5" hidden="1" customHeight="1">
      <c r="B264" s="546">
        <v>4</v>
      </c>
      <c r="C264" s="571"/>
      <c r="D264" s="571"/>
      <c r="E264" s="571"/>
      <c r="F264" s="571"/>
      <c r="G264" s="574"/>
      <c r="H264" s="555"/>
      <c r="I264" s="558"/>
      <c r="J264" s="499"/>
      <c r="K264" s="57">
        <f>+$K$13</f>
        <v>801016</v>
      </c>
      <c r="L264" s="499"/>
      <c r="M264" s="57">
        <f>+$M$13</f>
        <v>0</v>
      </c>
      <c r="N264" s="561"/>
      <c r="O264" s="561"/>
      <c r="P264" s="564"/>
      <c r="Q264" s="544"/>
      <c r="R264" s="544"/>
      <c r="S264" s="568">
        <f>IF(COUNTIF(J264:K266,"CUMPLE")&gt;=1,(G264*I264),0)* (IF(N264="PRESENTÓ CERTIFICADO",1,0))* (IF(O264="ACORDE A ITEM 5.2.2 (T.R.)",1,0) )* ( IF(OR(Q264="SIN OBSERVACIÓN", Q264="REQUERIMIENTOS SUBSANADOS"),1,0)) *(IF(OR(R264="NINGUNO", R264="CUMPLEN CON LO SOLICITADO"),1,0))</f>
        <v>0</v>
      </c>
      <c r="T264" s="592"/>
      <c r="U264" s="541">
        <f t="shared" ref="U264" si="53">IF(COUNTIF(J264:K266,"CUMPLE")&gt;=1,1,0)</f>
        <v>0</v>
      </c>
    </row>
    <row r="265" spans="2:21" ht="28.5" hidden="1" customHeight="1">
      <c r="B265" s="547"/>
      <c r="C265" s="572"/>
      <c r="D265" s="572"/>
      <c r="E265" s="572"/>
      <c r="F265" s="572"/>
      <c r="G265" s="575"/>
      <c r="H265" s="556"/>
      <c r="I265" s="559"/>
      <c r="J265" s="499"/>
      <c r="K265" s="57">
        <f>+$K$14</f>
        <v>811015</v>
      </c>
      <c r="L265" s="542"/>
      <c r="M265" s="544">
        <f>+$M$14</f>
        <v>0</v>
      </c>
      <c r="N265" s="562"/>
      <c r="O265" s="562"/>
      <c r="P265" s="565"/>
      <c r="Q265" s="567"/>
      <c r="R265" s="567"/>
      <c r="S265" s="569"/>
      <c r="T265" s="592"/>
      <c r="U265" s="541"/>
    </row>
    <row r="266" spans="2:21" ht="28.5" hidden="1" customHeight="1">
      <c r="B266" s="548"/>
      <c r="C266" s="573"/>
      <c r="D266" s="573"/>
      <c r="E266" s="573"/>
      <c r="F266" s="573"/>
      <c r="G266" s="576"/>
      <c r="H266" s="557"/>
      <c r="I266" s="560"/>
      <c r="J266" s="499"/>
      <c r="K266" s="57">
        <f>+$K$15</f>
        <v>841116</v>
      </c>
      <c r="L266" s="543"/>
      <c r="M266" s="545"/>
      <c r="N266" s="563"/>
      <c r="O266" s="563"/>
      <c r="P266" s="566"/>
      <c r="Q266" s="545"/>
      <c r="R266" s="545"/>
      <c r="S266" s="570"/>
      <c r="T266" s="592"/>
      <c r="U266" s="541"/>
    </row>
    <row r="267" spans="2:21" ht="28.5" hidden="1" customHeight="1">
      <c r="B267" s="546">
        <v>5</v>
      </c>
      <c r="C267" s="549"/>
      <c r="D267" s="549"/>
      <c r="E267" s="549"/>
      <c r="F267" s="549"/>
      <c r="G267" s="552"/>
      <c r="H267" s="555"/>
      <c r="I267" s="558"/>
      <c r="J267" s="499"/>
      <c r="K267" s="57">
        <f>+$K$13</f>
        <v>801016</v>
      </c>
      <c r="L267" s="499"/>
      <c r="M267" s="57">
        <f>+$M$13</f>
        <v>0</v>
      </c>
      <c r="N267" s="561"/>
      <c r="O267" s="561"/>
      <c r="P267" s="564"/>
      <c r="Q267" s="544"/>
      <c r="R267" s="544"/>
      <c r="S267" s="568">
        <f>IF(COUNTIF(J267:K269,"CUMPLE")&gt;=1,(G267*I267),0)* (IF(N267="PRESENTÓ CERTIFICADO",1,0))* (IF(O267="ACORDE A ITEM 5.2.2 (T.R.)",1,0) )* ( IF(OR(Q267="SIN OBSERVACIÓN", Q267="REQUERIMIENTOS SUBSANADOS"),1,0)) *(IF(OR(R267="NINGUNO", R267="CUMPLEN CON LO SOLICITADO"),1,0))</f>
        <v>0</v>
      </c>
      <c r="T267" s="592"/>
      <c r="U267" s="541">
        <f t="shared" ref="U267" si="54">IF(COUNTIF(J267:K269,"CUMPLE")&gt;=1,1,0)</f>
        <v>0</v>
      </c>
    </row>
    <row r="268" spans="2:21" ht="28.5" hidden="1" customHeight="1">
      <c r="B268" s="547"/>
      <c r="C268" s="550"/>
      <c r="D268" s="550"/>
      <c r="E268" s="550"/>
      <c r="F268" s="550"/>
      <c r="G268" s="553"/>
      <c r="H268" s="556"/>
      <c r="I268" s="559"/>
      <c r="J268" s="499"/>
      <c r="K268" s="57">
        <f>+$K$14</f>
        <v>811015</v>
      </c>
      <c r="L268" s="542"/>
      <c r="M268" s="544">
        <f>+$M$14</f>
        <v>0</v>
      </c>
      <c r="N268" s="562"/>
      <c r="O268" s="562"/>
      <c r="P268" s="565"/>
      <c r="Q268" s="567"/>
      <c r="R268" s="567"/>
      <c r="S268" s="569"/>
      <c r="T268" s="592"/>
      <c r="U268" s="541"/>
    </row>
    <row r="269" spans="2:21" ht="28.5" hidden="1" customHeight="1">
      <c r="B269" s="548"/>
      <c r="C269" s="551"/>
      <c r="D269" s="551"/>
      <c r="E269" s="551"/>
      <c r="F269" s="551"/>
      <c r="G269" s="554"/>
      <c r="H269" s="557"/>
      <c r="I269" s="560"/>
      <c r="J269" s="499"/>
      <c r="K269" s="57">
        <f>+$K$15</f>
        <v>841116</v>
      </c>
      <c r="L269" s="543"/>
      <c r="M269" s="545"/>
      <c r="N269" s="563"/>
      <c r="O269" s="563"/>
      <c r="P269" s="566"/>
      <c r="Q269" s="545"/>
      <c r="R269" s="545"/>
      <c r="S269" s="570"/>
      <c r="T269" s="593"/>
      <c r="U269" s="541"/>
    </row>
    <row r="270" spans="2:21" ht="18" hidden="1" customHeight="1">
      <c r="B270" s="580" t="str">
        <f>IF(S271=" "," ",IF(S271&gt;=$H$6,"CUMPLE CON LA EXPERIENCIA REQUERIDA","NO CUMPLE CON LA EXPERIENCIA REQUERIDA"))</f>
        <v>NO CUMPLE CON LA EXPERIENCIA REQUERIDA</v>
      </c>
      <c r="C270" s="581"/>
      <c r="D270" s="581"/>
      <c r="E270" s="581"/>
      <c r="F270" s="581"/>
      <c r="G270" s="581"/>
      <c r="H270" s="581"/>
      <c r="I270" s="581"/>
      <c r="J270" s="581"/>
      <c r="K270" s="581"/>
      <c r="L270" s="581"/>
      <c r="M270" s="581"/>
      <c r="N270" s="581"/>
      <c r="O270" s="582"/>
      <c r="P270" s="586" t="s">
        <v>46</v>
      </c>
      <c r="Q270" s="587"/>
      <c r="R270" s="588"/>
      <c r="S270" s="503">
        <f>IF(T255="SI",SUM(S255:S269),0)</f>
        <v>0</v>
      </c>
      <c r="T270" s="589" t="str">
        <f>IF(S271=" "," ",IF(S271&gt;=$H$6,"CUMPLE","NO CUMPLE"))</f>
        <v>NO CUMPLE</v>
      </c>
    </row>
    <row r="271" spans="2:21" ht="18" hidden="1" customHeight="1">
      <c r="B271" s="583"/>
      <c r="C271" s="584"/>
      <c r="D271" s="584"/>
      <c r="E271" s="584"/>
      <c r="F271" s="584"/>
      <c r="G271" s="584"/>
      <c r="H271" s="584"/>
      <c r="I271" s="584"/>
      <c r="J271" s="584"/>
      <c r="K271" s="584"/>
      <c r="L271" s="584"/>
      <c r="M271" s="584"/>
      <c r="N271" s="584"/>
      <c r="O271" s="585"/>
      <c r="P271" s="586" t="s">
        <v>47</v>
      </c>
      <c r="Q271" s="587"/>
      <c r="R271" s="588"/>
      <c r="S271" s="503">
        <f>IFERROR((S270/$P$6)," ")</f>
        <v>0</v>
      </c>
      <c r="T271" s="590"/>
      <c r="U271" s="500"/>
    </row>
    <row r="272" spans="2:21" hidden="1"/>
    <row r="273" spans="2:21" hidden="1"/>
    <row r="274" spans="2:21" hidden="1">
      <c r="B274" s="465">
        <v>13</v>
      </c>
      <c r="C274" s="601" t="s">
        <v>25</v>
      </c>
      <c r="D274" s="602"/>
      <c r="E274" s="603"/>
      <c r="F274" s="604">
        <f>IFERROR(VLOOKUP(B274,LISTA_OFERENTES,2,FALSE)," ")</f>
        <v>0</v>
      </c>
      <c r="G274" s="605"/>
      <c r="H274" s="605"/>
      <c r="I274" s="605"/>
      <c r="J274" s="605"/>
      <c r="K274" s="605"/>
      <c r="L274" s="605"/>
      <c r="M274" s="605"/>
      <c r="N274" s="605"/>
      <c r="O274" s="606"/>
      <c r="P274" s="607" t="s">
        <v>26</v>
      </c>
      <c r="Q274" s="608"/>
      <c r="R274" s="609"/>
      <c r="S274" s="491">
        <f>5-(INT(COUNTBLANK(C277:C291))-10)</f>
        <v>0</v>
      </c>
    </row>
    <row r="275" spans="2:21" ht="46.5" hidden="1" customHeight="1">
      <c r="B275" s="610" t="s">
        <v>27</v>
      </c>
      <c r="C275" s="596" t="s">
        <v>28</v>
      </c>
      <c r="D275" s="596" t="s">
        <v>29</v>
      </c>
      <c r="E275" s="596" t="s">
        <v>30</v>
      </c>
      <c r="F275" s="596" t="s">
        <v>31</v>
      </c>
      <c r="G275" s="596" t="s">
        <v>32</v>
      </c>
      <c r="H275" s="596" t="s">
        <v>33</v>
      </c>
      <c r="I275" s="596" t="s">
        <v>34</v>
      </c>
      <c r="J275" s="594" t="s">
        <v>35</v>
      </c>
      <c r="K275" s="612"/>
      <c r="L275" s="612"/>
      <c r="M275" s="595"/>
      <c r="N275" s="596" t="s">
        <v>36</v>
      </c>
      <c r="O275" s="596" t="s">
        <v>37</v>
      </c>
      <c r="P275" s="594" t="s">
        <v>38</v>
      </c>
      <c r="Q275" s="595"/>
      <c r="R275" s="596" t="s">
        <v>39</v>
      </c>
      <c r="S275" s="596" t="s">
        <v>40</v>
      </c>
      <c r="T275"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275" s="596" t="str">
        <f>+$U$11</f>
        <v xml:space="preserve">VERIFICACIÓN CONDICIÓN DE EXPERIENCIA  </v>
      </c>
    </row>
    <row r="276" spans="2:21" ht="46.5" hidden="1" customHeight="1">
      <c r="B276" s="611"/>
      <c r="C276" s="597"/>
      <c r="D276" s="597"/>
      <c r="E276" s="597"/>
      <c r="F276" s="597"/>
      <c r="G276" s="597"/>
      <c r="H276" s="597"/>
      <c r="I276" s="597"/>
      <c r="J276" s="598" t="s">
        <v>43</v>
      </c>
      <c r="K276" s="599"/>
      <c r="L276" s="599"/>
      <c r="M276" s="600"/>
      <c r="N276" s="597"/>
      <c r="O276" s="597"/>
      <c r="P276" s="493" t="s">
        <v>10</v>
      </c>
      <c r="Q276" s="493" t="s">
        <v>44</v>
      </c>
      <c r="R276" s="597"/>
      <c r="S276" s="597"/>
      <c r="T276" s="597"/>
      <c r="U276" s="597"/>
    </row>
    <row r="277" spans="2:21" ht="29.25" hidden="1" customHeight="1">
      <c r="B277" s="546">
        <v>1</v>
      </c>
      <c r="C277" s="549"/>
      <c r="D277" s="549"/>
      <c r="E277" s="549"/>
      <c r="F277" s="549"/>
      <c r="G277" s="552"/>
      <c r="H277" s="555"/>
      <c r="I277" s="558"/>
      <c r="J277" s="499"/>
      <c r="K277" s="57">
        <f>+$K$13</f>
        <v>801016</v>
      </c>
      <c r="L277" s="499"/>
      <c r="M277" s="57">
        <f>+$M$13</f>
        <v>0</v>
      </c>
      <c r="N277" s="561"/>
      <c r="O277" s="561"/>
      <c r="P277" s="564"/>
      <c r="Q277" s="544"/>
      <c r="R277" s="544"/>
      <c r="S277" s="568">
        <f>IF(COUNTIF(J277:K279,"CUMPLE")&gt;=1,(G277*I277),0)* (IF(N277="PRESENTÓ CERTIFICADO",1,0))* (IF(O277="ACORDE A ITEM 5.2.2 (T.R.)",1,0) )* ( IF(OR(Q277="SIN OBSERVACIÓN", Q277="REQUERIMIENTOS SUBSANADOS"),1,0)) *(IF(OR(R277="NINGUNO", R277="CUMPLEN CON LO SOLICITADO"),1,0))</f>
        <v>0</v>
      </c>
      <c r="T277" s="591"/>
      <c r="U277" s="541">
        <f>IF(COUNTIF(J277:K279,"CUMPLE")&gt;=1,1,0)</f>
        <v>0</v>
      </c>
    </row>
    <row r="278" spans="2:21" ht="29.25" hidden="1" customHeight="1">
      <c r="B278" s="547"/>
      <c r="C278" s="550"/>
      <c r="D278" s="550"/>
      <c r="E278" s="550"/>
      <c r="F278" s="550"/>
      <c r="G278" s="553"/>
      <c r="H278" s="556"/>
      <c r="I278" s="559"/>
      <c r="J278" s="499"/>
      <c r="K278" s="57">
        <f>+$K$14</f>
        <v>811015</v>
      </c>
      <c r="L278" s="542"/>
      <c r="M278" s="544">
        <f>+$M$14</f>
        <v>0</v>
      </c>
      <c r="N278" s="562"/>
      <c r="O278" s="562"/>
      <c r="P278" s="565"/>
      <c r="Q278" s="567"/>
      <c r="R278" s="567"/>
      <c r="S278" s="569"/>
      <c r="T278" s="592"/>
      <c r="U278" s="541"/>
    </row>
    <row r="279" spans="2:21" ht="29.25" hidden="1" customHeight="1">
      <c r="B279" s="548"/>
      <c r="C279" s="551"/>
      <c r="D279" s="551"/>
      <c r="E279" s="551"/>
      <c r="F279" s="551"/>
      <c r="G279" s="554"/>
      <c r="H279" s="557"/>
      <c r="I279" s="560"/>
      <c r="J279" s="499"/>
      <c r="K279" s="57">
        <f>+$K$15</f>
        <v>841116</v>
      </c>
      <c r="L279" s="543"/>
      <c r="M279" s="545"/>
      <c r="N279" s="563"/>
      <c r="O279" s="563"/>
      <c r="P279" s="566"/>
      <c r="Q279" s="545"/>
      <c r="R279" s="545"/>
      <c r="S279" s="570"/>
      <c r="T279" s="592"/>
      <c r="U279" s="541"/>
    </row>
    <row r="280" spans="2:21" ht="29.25" hidden="1" customHeight="1">
      <c r="B280" s="546">
        <v>2</v>
      </c>
      <c r="C280" s="571"/>
      <c r="D280" s="571"/>
      <c r="E280" s="571"/>
      <c r="F280" s="571"/>
      <c r="G280" s="574"/>
      <c r="H280" s="555"/>
      <c r="I280" s="577"/>
      <c r="J280" s="499"/>
      <c r="K280" s="57">
        <f>+$K$13</f>
        <v>801016</v>
      </c>
      <c r="L280" s="499"/>
      <c r="M280" s="57">
        <f>+$M$13</f>
        <v>0</v>
      </c>
      <c r="N280" s="561"/>
      <c r="O280" s="561"/>
      <c r="P280" s="564"/>
      <c r="Q280" s="544"/>
      <c r="R280" s="544"/>
      <c r="S280" s="568">
        <f>IF(COUNTIF(J280:K282,"CUMPLE")&gt;=1,(G280*I280),0)* (IF(N280="PRESENTÓ CERTIFICADO",1,0))* (IF(O280="ACORDE A ITEM 5.2.2 (T.R.)",1,0) )* ( IF(OR(Q280="SIN OBSERVACIÓN", Q280="REQUERIMIENTOS SUBSANADOS"),1,0)) *(IF(OR(R280="NINGUNO", R280="CUMPLEN CON LO SOLICITADO"),1,0))</f>
        <v>0</v>
      </c>
      <c r="T280" s="592"/>
      <c r="U280" s="541">
        <f t="shared" ref="U280" si="55">IF(COUNTIF(J280:K282,"CUMPLE")&gt;=1,1,0)</f>
        <v>0</v>
      </c>
    </row>
    <row r="281" spans="2:21" ht="29.25" hidden="1" customHeight="1">
      <c r="B281" s="547"/>
      <c r="C281" s="572"/>
      <c r="D281" s="572"/>
      <c r="E281" s="572"/>
      <c r="F281" s="572"/>
      <c r="G281" s="575"/>
      <c r="H281" s="556"/>
      <c r="I281" s="578"/>
      <c r="J281" s="499"/>
      <c r="K281" s="57">
        <f>+$K$14</f>
        <v>811015</v>
      </c>
      <c r="L281" s="542"/>
      <c r="M281" s="544">
        <f>+$M$14</f>
        <v>0</v>
      </c>
      <c r="N281" s="562"/>
      <c r="O281" s="562"/>
      <c r="P281" s="565"/>
      <c r="Q281" s="567"/>
      <c r="R281" s="567"/>
      <c r="S281" s="569"/>
      <c r="T281" s="592"/>
      <c r="U281" s="541"/>
    </row>
    <row r="282" spans="2:21" ht="29.25" hidden="1" customHeight="1">
      <c r="B282" s="548"/>
      <c r="C282" s="573"/>
      <c r="D282" s="573"/>
      <c r="E282" s="573"/>
      <c r="F282" s="573"/>
      <c r="G282" s="576"/>
      <c r="H282" s="557"/>
      <c r="I282" s="579"/>
      <c r="J282" s="499"/>
      <c r="K282" s="57">
        <f>+$K$15</f>
        <v>841116</v>
      </c>
      <c r="L282" s="543"/>
      <c r="M282" s="545"/>
      <c r="N282" s="563"/>
      <c r="O282" s="563"/>
      <c r="P282" s="566"/>
      <c r="Q282" s="545"/>
      <c r="R282" s="545"/>
      <c r="S282" s="570"/>
      <c r="T282" s="592"/>
      <c r="U282" s="541"/>
    </row>
    <row r="283" spans="2:21" ht="29.25" hidden="1" customHeight="1">
      <c r="B283" s="546">
        <v>3</v>
      </c>
      <c r="C283" s="549"/>
      <c r="D283" s="549"/>
      <c r="E283" s="549"/>
      <c r="F283" s="549"/>
      <c r="G283" s="552"/>
      <c r="H283" s="555"/>
      <c r="I283" s="558"/>
      <c r="J283" s="499"/>
      <c r="K283" s="57">
        <f>+$K$13</f>
        <v>801016</v>
      </c>
      <c r="L283" s="499"/>
      <c r="M283" s="57">
        <f>+$M$13</f>
        <v>0</v>
      </c>
      <c r="N283" s="561"/>
      <c r="O283" s="561"/>
      <c r="P283" s="564"/>
      <c r="Q283" s="544"/>
      <c r="R283" s="544"/>
      <c r="S283" s="568">
        <f>IF(COUNTIF(J283:K285,"CUMPLE")&gt;=1,(G283*I283),0)* (IF(N283="PRESENTÓ CERTIFICADO",1,0))* (IF(O283="ACORDE A ITEM 5.2.2 (T.R.)",1,0) )* ( IF(OR(Q283="SIN OBSERVACIÓN", Q283="REQUERIMIENTOS SUBSANADOS"),1,0)) *(IF(OR(R283="NINGUNO", R283="CUMPLEN CON LO SOLICITADO"),1,0))</f>
        <v>0</v>
      </c>
      <c r="T283" s="592"/>
      <c r="U283" s="541">
        <f t="shared" ref="U283" si="56">IF(COUNTIF(J283:K285,"CUMPLE")&gt;=1,1,0)</f>
        <v>0</v>
      </c>
    </row>
    <row r="284" spans="2:21" ht="29.25" hidden="1" customHeight="1">
      <c r="B284" s="547"/>
      <c r="C284" s="550"/>
      <c r="D284" s="550"/>
      <c r="E284" s="550"/>
      <c r="F284" s="550"/>
      <c r="G284" s="553"/>
      <c r="H284" s="556"/>
      <c r="I284" s="559"/>
      <c r="J284" s="499"/>
      <c r="K284" s="57">
        <f>+$K$14</f>
        <v>811015</v>
      </c>
      <c r="L284" s="542"/>
      <c r="M284" s="544">
        <f>+$M$14</f>
        <v>0</v>
      </c>
      <c r="N284" s="562"/>
      <c r="O284" s="562"/>
      <c r="P284" s="565"/>
      <c r="Q284" s="567"/>
      <c r="R284" s="567"/>
      <c r="S284" s="569"/>
      <c r="T284" s="592"/>
      <c r="U284" s="541"/>
    </row>
    <row r="285" spans="2:21" ht="29.25" hidden="1" customHeight="1">
      <c r="B285" s="548"/>
      <c r="C285" s="551"/>
      <c r="D285" s="551"/>
      <c r="E285" s="551"/>
      <c r="F285" s="551"/>
      <c r="G285" s="554"/>
      <c r="H285" s="557"/>
      <c r="I285" s="560"/>
      <c r="J285" s="499"/>
      <c r="K285" s="57">
        <f>+$K$15</f>
        <v>841116</v>
      </c>
      <c r="L285" s="543"/>
      <c r="M285" s="545"/>
      <c r="N285" s="563"/>
      <c r="O285" s="563"/>
      <c r="P285" s="566"/>
      <c r="Q285" s="545"/>
      <c r="R285" s="545"/>
      <c r="S285" s="570"/>
      <c r="T285" s="592"/>
      <c r="U285" s="541"/>
    </row>
    <row r="286" spans="2:21" ht="29.25" hidden="1" customHeight="1">
      <c r="B286" s="546">
        <v>4</v>
      </c>
      <c r="C286" s="571"/>
      <c r="D286" s="571"/>
      <c r="E286" s="571"/>
      <c r="F286" s="571"/>
      <c r="G286" s="574"/>
      <c r="H286" s="555"/>
      <c r="I286" s="577"/>
      <c r="J286" s="499"/>
      <c r="K286" s="57">
        <f>+$K$13</f>
        <v>801016</v>
      </c>
      <c r="L286" s="499"/>
      <c r="M286" s="57">
        <f>+$M$13</f>
        <v>0</v>
      </c>
      <c r="N286" s="561"/>
      <c r="O286" s="561"/>
      <c r="P286" s="564"/>
      <c r="Q286" s="544"/>
      <c r="R286" s="544"/>
      <c r="S286" s="568">
        <f>IF(COUNTIF(J286:K288,"CUMPLE")&gt;=1,(G286*I286),0)* (IF(N286="PRESENTÓ CERTIFICADO",1,0))* (IF(O286="ACORDE A ITEM 5.2.2 (T.R.)",1,0) )* ( IF(OR(Q286="SIN OBSERVACIÓN", Q286="REQUERIMIENTOS SUBSANADOS"),1,0)) *(IF(OR(R286="NINGUNO", R286="CUMPLEN CON LO SOLICITADO"),1,0))</f>
        <v>0</v>
      </c>
      <c r="T286" s="592"/>
      <c r="U286" s="541">
        <f>IF(COUNTIF(L286:M288,"CUMPLE")&gt;=1,1,0)</f>
        <v>0</v>
      </c>
    </row>
    <row r="287" spans="2:21" ht="29.25" hidden="1" customHeight="1">
      <c r="B287" s="547"/>
      <c r="C287" s="572"/>
      <c r="D287" s="572"/>
      <c r="E287" s="572"/>
      <c r="F287" s="572"/>
      <c r="G287" s="575"/>
      <c r="H287" s="556"/>
      <c r="I287" s="578"/>
      <c r="J287" s="499"/>
      <c r="K287" s="57">
        <f>+$K$14</f>
        <v>811015</v>
      </c>
      <c r="L287" s="542"/>
      <c r="M287" s="544">
        <f>+$M$14</f>
        <v>0</v>
      </c>
      <c r="N287" s="562"/>
      <c r="O287" s="562"/>
      <c r="P287" s="565"/>
      <c r="Q287" s="567"/>
      <c r="R287" s="567"/>
      <c r="S287" s="569"/>
      <c r="T287" s="592"/>
      <c r="U287" s="541"/>
    </row>
    <row r="288" spans="2:21" ht="29.25" hidden="1" customHeight="1">
      <c r="B288" s="548"/>
      <c r="C288" s="573"/>
      <c r="D288" s="573"/>
      <c r="E288" s="573"/>
      <c r="F288" s="573"/>
      <c r="G288" s="576"/>
      <c r="H288" s="557"/>
      <c r="I288" s="579"/>
      <c r="J288" s="499"/>
      <c r="K288" s="57">
        <f>+$K$15</f>
        <v>841116</v>
      </c>
      <c r="L288" s="543"/>
      <c r="M288" s="545"/>
      <c r="N288" s="563"/>
      <c r="O288" s="563"/>
      <c r="P288" s="566"/>
      <c r="Q288" s="545"/>
      <c r="R288" s="545"/>
      <c r="S288" s="570"/>
      <c r="T288" s="592"/>
      <c r="U288" s="541"/>
    </row>
    <row r="289" spans="2:21" ht="29.25" hidden="1" customHeight="1">
      <c r="B289" s="546">
        <v>5</v>
      </c>
      <c r="C289" s="549"/>
      <c r="D289" s="549"/>
      <c r="E289" s="549"/>
      <c r="F289" s="549"/>
      <c r="G289" s="552"/>
      <c r="H289" s="555"/>
      <c r="I289" s="558"/>
      <c r="J289" s="499"/>
      <c r="K289" s="57">
        <f>+$K$13</f>
        <v>801016</v>
      </c>
      <c r="L289" s="499"/>
      <c r="M289" s="57">
        <f>+$M$13</f>
        <v>0</v>
      </c>
      <c r="N289" s="561"/>
      <c r="O289" s="561"/>
      <c r="P289" s="564"/>
      <c r="Q289" s="544"/>
      <c r="R289" s="544"/>
      <c r="S289" s="568">
        <f>IF(COUNTIF(J289:K291,"CUMPLE")&gt;=1,(G289*I289),0)* (IF(N289="PRESENTÓ CERTIFICADO",1,0))* (IF(O289="ACORDE A ITEM 5.2.2 (T.R.)",1,0) )* ( IF(OR(Q289="SIN OBSERVACIÓN", Q289="REQUERIMIENTOS SUBSANADOS"),1,0)) *(IF(OR(R289="NINGUNO", R289="CUMPLEN CON LO SOLICITADO"),1,0))</f>
        <v>0</v>
      </c>
      <c r="T289" s="592"/>
      <c r="U289" s="541">
        <f>IF(COUNTIF(L289:M291,"CUMPLE")&gt;=1,1,0)</f>
        <v>0</v>
      </c>
    </row>
    <row r="290" spans="2:21" ht="29.25" hidden="1" customHeight="1">
      <c r="B290" s="547"/>
      <c r="C290" s="550"/>
      <c r="D290" s="550"/>
      <c r="E290" s="550"/>
      <c r="F290" s="550"/>
      <c r="G290" s="553"/>
      <c r="H290" s="556"/>
      <c r="I290" s="559"/>
      <c r="J290" s="499"/>
      <c r="K290" s="57">
        <f>+$K$14</f>
        <v>811015</v>
      </c>
      <c r="L290" s="542"/>
      <c r="M290" s="544">
        <f>+$M$14</f>
        <v>0</v>
      </c>
      <c r="N290" s="562"/>
      <c r="O290" s="562"/>
      <c r="P290" s="565"/>
      <c r="Q290" s="567"/>
      <c r="R290" s="567"/>
      <c r="S290" s="569"/>
      <c r="T290" s="592"/>
      <c r="U290" s="541"/>
    </row>
    <row r="291" spans="2:21" ht="29.25" hidden="1" customHeight="1">
      <c r="B291" s="548"/>
      <c r="C291" s="551"/>
      <c r="D291" s="551"/>
      <c r="E291" s="551"/>
      <c r="F291" s="551"/>
      <c r="G291" s="554"/>
      <c r="H291" s="557"/>
      <c r="I291" s="560"/>
      <c r="J291" s="499"/>
      <c r="K291" s="57">
        <f>+$K$15</f>
        <v>841116</v>
      </c>
      <c r="L291" s="543"/>
      <c r="M291" s="545"/>
      <c r="N291" s="563"/>
      <c r="O291" s="563"/>
      <c r="P291" s="566"/>
      <c r="Q291" s="545"/>
      <c r="R291" s="545"/>
      <c r="S291" s="570"/>
      <c r="T291" s="593"/>
      <c r="U291" s="541"/>
    </row>
    <row r="292" spans="2:21" ht="18" hidden="1" customHeight="1">
      <c r="B292" s="580" t="str">
        <f>IF(S293=" "," ",IF(S293&gt;=$H$6,"CUMPLE CON LA EXPERIENCIA REQUERIDA","NO CUMPLE CON LA EXPERIENCIA REQUERIDA"))</f>
        <v>NO CUMPLE CON LA EXPERIENCIA REQUERIDA</v>
      </c>
      <c r="C292" s="581"/>
      <c r="D292" s="581"/>
      <c r="E292" s="581"/>
      <c r="F292" s="581"/>
      <c r="G292" s="581"/>
      <c r="H292" s="581"/>
      <c r="I292" s="581"/>
      <c r="J292" s="581"/>
      <c r="K292" s="581"/>
      <c r="L292" s="581"/>
      <c r="M292" s="581"/>
      <c r="N292" s="581"/>
      <c r="O292" s="582"/>
      <c r="P292" s="586" t="s">
        <v>46</v>
      </c>
      <c r="Q292" s="587"/>
      <c r="R292" s="588"/>
      <c r="S292" s="503">
        <f>IF(T277="SI",SUM(S277:S291),0)</f>
        <v>0</v>
      </c>
      <c r="T292" s="589" t="str">
        <f>IF(S293=" "," ",IF(S293&gt;=$H$6,"CUMPLE","NO CUMPLE"))</f>
        <v>NO CUMPLE</v>
      </c>
    </row>
    <row r="293" spans="2:21" ht="18" hidden="1" customHeight="1">
      <c r="B293" s="583"/>
      <c r="C293" s="584"/>
      <c r="D293" s="584"/>
      <c r="E293" s="584"/>
      <c r="F293" s="584"/>
      <c r="G293" s="584"/>
      <c r="H293" s="584"/>
      <c r="I293" s="584"/>
      <c r="J293" s="584"/>
      <c r="K293" s="584"/>
      <c r="L293" s="584"/>
      <c r="M293" s="584"/>
      <c r="N293" s="584"/>
      <c r="O293" s="585"/>
      <c r="P293" s="586" t="s">
        <v>47</v>
      </c>
      <c r="Q293" s="587"/>
      <c r="R293" s="588"/>
      <c r="S293" s="503">
        <f>IFERROR((S292/$P$6)," ")</f>
        <v>0</v>
      </c>
      <c r="T293" s="590"/>
      <c r="U293" s="500"/>
    </row>
    <row r="294" spans="2:21" hidden="1"/>
    <row r="295" spans="2:21" hidden="1"/>
    <row r="296" spans="2:21" hidden="1">
      <c r="B296" s="465">
        <v>14</v>
      </c>
      <c r="C296" s="601" t="s">
        <v>25</v>
      </c>
      <c r="D296" s="602"/>
      <c r="E296" s="603"/>
      <c r="F296" s="604">
        <f>IFERROR(VLOOKUP(B296,LISTA_OFERENTES,2,FALSE)," ")</f>
        <v>0</v>
      </c>
      <c r="G296" s="605"/>
      <c r="H296" s="605"/>
      <c r="I296" s="605"/>
      <c r="J296" s="605"/>
      <c r="K296" s="605"/>
      <c r="L296" s="605"/>
      <c r="M296" s="605"/>
      <c r="N296" s="605"/>
      <c r="O296" s="606"/>
      <c r="P296" s="607" t="s">
        <v>26</v>
      </c>
      <c r="Q296" s="608"/>
      <c r="R296" s="609"/>
      <c r="S296" s="491">
        <f>5-(INT(COUNTBLANK(C299:C313))-10)</f>
        <v>0</v>
      </c>
    </row>
    <row r="297" spans="2:21" ht="51" hidden="1" customHeight="1">
      <c r="B297" s="610" t="s">
        <v>27</v>
      </c>
      <c r="C297" s="596" t="s">
        <v>28</v>
      </c>
      <c r="D297" s="596" t="s">
        <v>29</v>
      </c>
      <c r="E297" s="596" t="s">
        <v>30</v>
      </c>
      <c r="F297" s="596" t="s">
        <v>31</v>
      </c>
      <c r="G297" s="596" t="s">
        <v>32</v>
      </c>
      <c r="H297" s="596" t="s">
        <v>33</v>
      </c>
      <c r="I297" s="596" t="s">
        <v>34</v>
      </c>
      <c r="J297" s="594" t="s">
        <v>35</v>
      </c>
      <c r="K297" s="612"/>
      <c r="L297" s="612"/>
      <c r="M297" s="595"/>
      <c r="N297" s="596" t="s">
        <v>36</v>
      </c>
      <c r="O297" s="596" t="s">
        <v>37</v>
      </c>
      <c r="P297" s="594" t="s">
        <v>38</v>
      </c>
      <c r="Q297" s="595"/>
      <c r="R297" s="596" t="s">
        <v>39</v>
      </c>
      <c r="S297" s="596" t="s">
        <v>40</v>
      </c>
      <c r="T297" s="596" t="str">
        <f>+$T$11</f>
        <v>Dentro de su objeto o alcance incluyan Interventoría o Supervisión Técnica Independiente, mínimo uno (1) debe
corresponder a Interventoría, a obras de Construcción de edificaciones de grupos de uso I, II, III
o IV, conforme al título A de la NSR-10.
Obligatorio estar en 811015</v>
      </c>
      <c r="U297" s="596" t="str">
        <f>+$U$11</f>
        <v xml:space="preserve">VERIFICACIÓN CONDICIÓN DE EXPERIENCIA  </v>
      </c>
    </row>
    <row r="298" spans="2:21" ht="54.75" hidden="1" customHeight="1">
      <c r="B298" s="611"/>
      <c r="C298" s="597"/>
      <c r="D298" s="597"/>
      <c r="E298" s="597"/>
      <c r="F298" s="597"/>
      <c r="G298" s="597"/>
      <c r="H298" s="597"/>
      <c r="I298" s="597"/>
      <c r="J298" s="598" t="s">
        <v>43</v>
      </c>
      <c r="K298" s="599"/>
      <c r="L298" s="599"/>
      <c r="M298" s="600"/>
      <c r="N298" s="597"/>
      <c r="O298" s="597"/>
      <c r="P298" s="493" t="s">
        <v>10</v>
      </c>
      <c r="Q298" s="493" t="s">
        <v>44</v>
      </c>
      <c r="R298" s="597"/>
      <c r="S298" s="597"/>
      <c r="T298" s="597"/>
      <c r="U298" s="597"/>
    </row>
    <row r="299" spans="2:21" ht="33" hidden="1" customHeight="1">
      <c r="B299" s="546">
        <v>1</v>
      </c>
      <c r="C299" s="549"/>
      <c r="D299" s="549"/>
      <c r="E299" s="549"/>
      <c r="F299" s="549"/>
      <c r="G299" s="552"/>
      <c r="H299" s="555"/>
      <c r="I299" s="558"/>
      <c r="J299" s="499"/>
      <c r="K299" s="57">
        <f>+$K$13</f>
        <v>801016</v>
      </c>
      <c r="L299" s="499"/>
      <c r="M299" s="57">
        <f>+$M$13</f>
        <v>0</v>
      </c>
      <c r="N299" s="561"/>
      <c r="O299" s="561"/>
      <c r="P299" s="564"/>
      <c r="Q299" s="544"/>
      <c r="R299" s="544"/>
      <c r="S299" s="568">
        <f>IF(COUNTIF(J299:K301,"CUMPLE")&gt;=1,(G299*I299),0)* (IF(N299="PRESENTÓ CERTIFICADO",1,0))* (IF(O299="ACORDE A ITEM 5.2.2 (T.R.)",1,0) )* ( IF(OR(Q299="SIN OBSERVACIÓN", Q299="REQUERIMIENTOS SUBSANADOS"),1,0)) *(IF(OR(R299="NINGUNO", R299="CUMPLEN CON LO SOLICITADO"),1,0))</f>
        <v>0</v>
      </c>
      <c r="T299" s="591"/>
      <c r="U299" s="541">
        <f>IF(COUNTIF(L299:M301,"CUMPLE")&gt;=1,1,0)</f>
        <v>0</v>
      </c>
    </row>
    <row r="300" spans="2:21" ht="33" hidden="1" customHeight="1">
      <c r="B300" s="547"/>
      <c r="C300" s="550"/>
      <c r="D300" s="550"/>
      <c r="E300" s="550"/>
      <c r="F300" s="550"/>
      <c r="G300" s="553"/>
      <c r="H300" s="556"/>
      <c r="I300" s="559"/>
      <c r="J300" s="499"/>
      <c r="K300" s="57">
        <f>+$K$14</f>
        <v>811015</v>
      </c>
      <c r="L300" s="542"/>
      <c r="M300" s="544">
        <f>+$M$14</f>
        <v>0</v>
      </c>
      <c r="N300" s="562"/>
      <c r="O300" s="562"/>
      <c r="P300" s="565"/>
      <c r="Q300" s="567"/>
      <c r="R300" s="567"/>
      <c r="S300" s="569"/>
      <c r="T300" s="592"/>
      <c r="U300" s="541"/>
    </row>
    <row r="301" spans="2:21" ht="33" hidden="1" customHeight="1">
      <c r="B301" s="548"/>
      <c r="C301" s="551"/>
      <c r="D301" s="551"/>
      <c r="E301" s="551"/>
      <c r="F301" s="551"/>
      <c r="G301" s="554"/>
      <c r="H301" s="557"/>
      <c r="I301" s="560"/>
      <c r="J301" s="499"/>
      <c r="K301" s="57">
        <f>+$K$15</f>
        <v>841116</v>
      </c>
      <c r="L301" s="543"/>
      <c r="M301" s="545"/>
      <c r="N301" s="563"/>
      <c r="O301" s="563"/>
      <c r="P301" s="566"/>
      <c r="Q301" s="545"/>
      <c r="R301" s="545"/>
      <c r="S301" s="570"/>
      <c r="T301" s="592"/>
      <c r="U301" s="541"/>
    </row>
    <row r="302" spans="2:21" ht="33" hidden="1" customHeight="1">
      <c r="B302" s="546">
        <v>2</v>
      </c>
      <c r="C302" s="571"/>
      <c r="D302" s="571"/>
      <c r="E302" s="571"/>
      <c r="F302" s="571"/>
      <c r="G302" s="574"/>
      <c r="H302" s="555"/>
      <c r="I302" s="577"/>
      <c r="J302" s="499"/>
      <c r="K302" s="57">
        <f>+$K$13</f>
        <v>801016</v>
      </c>
      <c r="L302" s="499"/>
      <c r="M302" s="57">
        <f>+$M$13</f>
        <v>0</v>
      </c>
      <c r="N302" s="561"/>
      <c r="O302" s="561"/>
      <c r="P302" s="564"/>
      <c r="Q302" s="544"/>
      <c r="R302" s="544"/>
      <c r="S302" s="568">
        <f>IF(COUNTIF(J302:K304,"CUMPLE")&gt;=1,(G302*I302),0)* (IF(N302="PRESENTÓ CERTIFICADO",1,0))* (IF(O302="ACORDE A ITEM 5.2.2 (T.R.)",1,0) )* ( IF(OR(Q302="SIN OBSERVACIÓN", Q302="REQUERIMIENTOS SUBSANADOS"),1,0)) *(IF(OR(R302="NINGUNO", R302="CUMPLEN CON LO SOLICITADO"),1,0))</f>
        <v>0</v>
      </c>
      <c r="T302" s="592"/>
      <c r="U302" s="541">
        <f>IF(COUNTIF(L302:M304,"CUMPLE")&gt;=1,1,0)</f>
        <v>0</v>
      </c>
    </row>
    <row r="303" spans="2:21" ht="33" hidden="1" customHeight="1">
      <c r="B303" s="547"/>
      <c r="C303" s="572"/>
      <c r="D303" s="572"/>
      <c r="E303" s="572"/>
      <c r="F303" s="572"/>
      <c r="G303" s="575"/>
      <c r="H303" s="556"/>
      <c r="I303" s="578"/>
      <c r="J303" s="499"/>
      <c r="K303" s="57">
        <f>+$K$14</f>
        <v>811015</v>
      </c>
      <c r="L303" s="542"/>
      <c r="M303" s="544">
        <f>+$M$14</f>
        <v>0</v>
      </c>
      <c r="N303" s="562"/>
      <c r="O303" s="562"/>
      <c r="P303" s="565"/>
      <c r="Q303" s="567"/>
      <c r="R303" s="567"/>
      <c r="S303" s="569"/>
      <c r="T303" s="592"/>
      <c r="U303" s="541"/>
    </row>
    <row r="304" spans="2:21" ht="33" hidden="1" customHeight="1">
      <c r="B304" s="548"/>
      <c r="C304" s="573"/>
      <c r="D304" s="573"/>
      <c r="E304" s="573"/>
      <c r="F304" s="573"/>
      <c r="G304" s="576"/>
      <c r="H304" s="557"/>
      <c r="I304" s="579"/>
      <c r="J304" s="499"/>
      <c r="K304" s="57">
        <f>+$K$15</f>
        <v>841116</v>
      </c>
      <c r="L304" s="543"/>
      <c r="M304" s="545"/>
      <c r="N304" s="563"/>
      <c r="O304" s="563"/>
      <c r="P304" s="566"/>
      <c r="Q304" s="545"/>
      <c r="R304" s="545"/>
      <c r="S304" s="570"/>
      <c r="T304" s="592"/>
      <c r="U304" s="541"/>
    </row>
    <row r="305" spans="2:21" ht="33" hidden="1" customHeight="1">
      <c r="B305" s="546">
        <v>3</v>
      </c>
      <c r="C305" s="549"/>
      <c r="D305" s="549"/>
      <c r="E305" s="549"/>
      <c r="F305" s="549"/>
      <c r="G305" s="552"/>
      <c r="H305" s="555"/>
      <c r="I305" s="558"/>
      <c r="J305" s="499"/>
      <c r="K305" s="57">
        <f>+$K$13</f>
        <v>801016</v>
      </c>
      <c r="L305" s="499"/>
      <c r="M305" s="57">
        <f>+$M$13</f>
        <v>0</v>
      </c>
      <c r="N305" s="561"/>
      <c r="O305" s="561"/>
      <c r="P305" s="564"/>
      <c r="Q305" s="544"/>
      <c r="R305" s="544"/>
      <c r="S305" s="568">
        <f>IF(COUNTIF(J305:K307,"CUMPLE")&gt;=1,(G305*I305),0)* (IF(N305="PRESENTÓ CERTIFICADO",1,0))* (IF(O305="ACORDE A ITEM 5.2.2 (T.R.)",1,0) )* ( IF(OR(Q305="SIN OBSERVACIÓN", Q305="REQUERIMIENTOS SUBSANADOS"),1,0)) *(IF(OR(R305="NINGUNO", R305="CUMPLEN CON LO SOLICITADO"),1,0))</f>
        <v>0</v>
      </c>
      <c r="T305" s="592"/>
      <c r="U305" s="541">
        <f>IF(COUNTIF(L305:M307,"CUMPLE")&gt;=1,1,0)</f>
        <v>0</v>
      </c>
    </row>
    <row r="306" spans="2:21" ht="33" hidden="1" customHeight="1">
      <c r="B306" s="547"/>
      <c r="C306" s="550"/>
      <c r="D306" s="550"/>
      <c r="E306" s="550"/>
      <c r="F306" s="550"/>
      <c r="G306" s="553"/>
      <c r="H306" s="556"/>
      <c r="I306" s="559"/>
      <c r="J306" s="499"/>
      <c r="K306" s="57">
        <f>+$K$14</f>
        <v>811015</v>
      </c>
      <c r="L306" s="542"/>
      <c r="M306" s="544">
        <f>+$M$14</f>
        <v>0</v>
      </c>
      <c r="N306" s="562"/>
      <c r="O306" s="562"/>
      <c r="P306" s="565"/>
      <c r="Q306" s="567"/>
      <c r="R306" s="567"/>
      <c r="S306" s="569"/>
      <c r="T306" s="592"/>
      <c r="U306" s="541"/>
    </row>
    <row r="307" spans="2:21" ht="33" hidden="1" customHeight="1">
      <c r="B307" s="548"/>
      <c r="C307" s="551"/>
      <c r="D307" s="551"/>
      <c r="E307" s="551"/>
      <c r="F307" s="551"/>
      <c r="G307" s="554"/>
      <c r="H307" s="557"/>
      <c r="I307" s="560"/>
      <c r="J307" s="499"/>
      <c r="K307" s="57">
        <f>+$K$15</f>
        <v>841116</v>
      </c>
      <c r="L307" s="543"/>
      <c r="M307" s="545"/>
      <c r="N307" s="563"/>
      <c r="O307" s="563"/>
      <c r="P307" s="566"/>
      <c r="Q307" s="545"/>
      <c r="R307" s="545"/>
      <c r="S307" s="570"/>
      <c r="T307" s="592"/>
      <c r="U307" s="541"/>
    </row>
    <row r="308" spans="2:21" ht="33" hidden="1" customHeight="1">
      <c r="B308" s="546">
        <v>4</v>
      </c>
      <c r="C308" s="571"/>
      <c r="D308" s="571"/>
      <c r="E308" s="571"/>
      <c r="F308" s="571"/>
      <c r="G308" s="574"/>
      <c r="H308" s="555"/>
      <c r="I308" s="577"/>
      <c r="J308" s="499"/>
      <c r="K308" s="57">
        <f>+$K$13</f>
        <v>801016</v>
      </c>
      <c r="L308" s="499"/>
      <c r="M308" s="57">
        <f>+$M$13</f>
        <v>0</v>
      </c>
      <c r="N308" s="561"/>
      <c r="O308" s="561"/>
      <c r="P308" s="564"/>
      <c r="Q308" s="544"/>
      <c r="R308" s="544"/>
      <c r="S308" s="568">
        <f>IF(COUNTIF(J308:K310,"CUMPLE")&gt;=1,(G308*I308),0)* (IF(N308="PRESENTÓ CERTIFICADO",1,0))* (IF(O308="ACORDE A ITEM 5.2.2 (T.R.)",1,0) )* ( IF(OR(Q308="SIN OBSERVACIÓN", Q308="REQUERIMIENTOS SUBSANADOS"),1,0)) *(IF(OR(R308="NINGUNO", R308="CUMPLEN CON LO SOLICITADO"),1,0))</f>
        <v>0</v>
      </c>
      <c r="T308" s="592"/>
      <c r="U308" s="541">
        <f>IF(COUNTIF(L308:M310,"CUMPLE")&gt;=1,1,0)</f>
        <v>0</v>
      </c>
    </row>
    <row r="309" spans="2:21" ht="33" hidden="1" customHeight="1">
      <c r="B309" s="547"/>
      <c r="C309" s="572"/>
      <c r="D309" s="572"/>
      <c r="E309" s="572"/>
      <c r="F309" s="572"/>
      <c r="G309" s="575"/>
      <c r="H309" s="556"/>
      <c r="I309" s="578"/>
      <c r="J309" s="499"/>
      <c r="K309" s="57">
        <f>+$K$14</f>
        <v>811015</v>
      </c>
      <c r="L309" s="542"/>
      <c r="M309" s="544">
        <f>+$M$14</f>
        <v>0</v>
      </c>
      <c r="N309" s="562"/>
      <c r="O309" s="562"/>
      <c r="P309" s="565"/>
      <c r="Q309" s="567"/>
      <c r="R309" s="567"/>
      <c r="S309" s="569"/>
      <c r="T309" s="592"/>
      <c r="U309" s="541"/>
    </row>
    <row r="310" spans="2:21" ht="33" hidden="1" customHeight="1">
      <c r="B310" s="548"/>
      <c r="C310" s="573"/>
      <c r="D310" s="573"/>
      <c r="E310" s="573"/>
      <c r="F310" s="573"/>
      <c r="G310" s="576"/>
      <c r="H310" s="557"/>
      <c r="I310" s="579"/>
      <c r="J310" s="499"/>
      <c r="K310" s="57">
        <f>+$K$15</f>
        <v>841116</v>
      </c>
      <c r="L310" s="543"/>
      <c r="M310" s="545"/>
      <c r="N310" s="563"/>
      <c r="O310" s="563"/>
      <c r="P310" s="566"/>
      <c r="Q310" s="545"/>
      <c r="R310" s="545"/>
      <c r="S310" s="570"/>
      <c r="T310" s="592"/>
      <c r="U310" s="541"/>
    </row>
    <row r="311" spans="2:21" ht="33" hidden="1" customHeight="1">
      <c r="B311" s="546">
        <v>5</v>
      </c>
      <c r="C311" s="549"/>
      <c r="D311" s="549"/>
      <c r="E311" s="549"/>
      <c r="F311" s="549"/>
      <c r="G311" s="552"/>
      <c r="H311" s="555"/>
      <c r="I311" s="558"/>
      <c r="J311" s="499"/>
      <c r="K311" s="57">
        <f>+$K$13</f>
        <v>801016</v>
      </c>
      <c r="L311" s="499"/>
      <c r="M311" s="57">
        <f>+$M$13</f>
        <v>0</v>
      </c>
      <c r="N311" s="561"/>
      <c r="O311" s="561"/>
      <c r="P311" s="564"/>
      <c r="Q311" s="544"/>
      <c r="R311" s="544"/>
      <c r="S311" s="568">
        <f>IF(COUNTIF(J311:K313,"CUMPLE")&gt;=1,(G311*I311),0)* (IF(N311="PRESENTÓ CERTIFICADO",1,0))* (IF(O311="ACORDE A ITEM 5.2.2 (T.R.)",1,0) )* ( IF(OR(Q311="SIN OBSERVACIÓN", Q311="REQUERIMIENTOS SUBSANADOS"),1,0)) *(IF(OR(R311="NINGUNO", R311="CUMPLEN CON LO SOLICITADO"),1,0))</f>
        <v>0</v>
      </c>
      <c r="T311" s="592"/>
      <c r="U311" s="541">
        <f>IF(COUNTIF(L311:M313,"CUMPLE")&gt;=1,1,0)</f>
        <v>0</v>
      </c>
    </row>
    <row r="312" spans="2:21" ht="33" hidden="1" customHeight="1">
      <c r="B312" s="547"/>
      <c r="C312" s="550"/>
      <c r="D312" s="550"/>
      <c r="E312" s="550"/>
      <c r="F312" s="550"/>
      <c r="G312" s="553"/>
      <c r="H312" s="556"/>
      <c r="I312" s="559"/>
      <c r="J312" s="499"/>
      <c r="K312" s="57">
        <f>+$K$14</f>
        <v>811015</v>
      </c>
      <c r="L312" s="542"/>
      <c r="M312" s="544">
        <f>+$M$14</f>
        <v>0</v>
      </c>
      <c r="N312" s="562"/>
      <c r="O312" s="562"/>
      <c r="P312" s="565"/>
      <c r="Q312" s="567"/>
      <c r="R312" s="567"/>
      <c r="S312" s="569"/>
      <c r="T312" s="592"/>
      <c r="U312" s="541"/>
    </row>
    <row r="313" spans="2:21" ht="33" hidden="1" customHeight="1">
      <c r="B313" s="548"/>
      <c r="C313" s="551"/>
      <c r="D313" s="551"/>
      <c r="E313" s="551"/>
      <c r="F313" s="551"/>
      <c r="G313" s="554"/>
      <c r="H313" s="557"/>
      <c r="I313" s="560"/>
      <c r="J313" s="499"/>
      <c r="K313" s="57">
        <f>+$K$15</f>
        <v>841116</v>
      </c>
      <c r="L313" s="543"/>
      <c r="M313" s="545"/>
      <c r="N313" s="563"/>
      <c r="O313" s="563"/>
      <c r="P313" s="566"/>
      <c r="Q313" s="545"/>
      <c r="R313" s="545"/>
      <c r="S313" s="570"/>
      <c r="T313" s="593"/>
      <c r="U313" s="541"/>
    </row>
    <row r="314" spans="2:21" ht="18" hidden="1" customHeight="1">
      <c r="B314" s="580" t="str">
        <f>IF(S315=" "," ",IF(S315&gt;=$H$6,"CUMPLE CON LA EXPERIENCIA REQUERIDA","NO CUMPLE CON LA EXPERIENCIA REQUERIDA"))</f>
        <v>NO CUMPLE CON LA EXPERIENCIA REQUERIDA</v>
      </c>
      <c r="C314" s="581"/>
      <c r="D314" s="581"/>
      <c r="E314" s="581"/>
      <c r="F314" s="581"/>
      <c r="G314" s="581"/>
      <c r="H314" s="581"/>
      <c r="I314" s="581"/>
      <c r="J314" s="581"/>
      <c r="K314" s="581"/>
      <c r="L314" s="581"/>
      <c r="M314" s="581"/>
      <c r="N314" s="581"/>
      <c r="O314" s="582"/>
      <c r="P314" s="586" t="s">
        <v>46</v>
      </c>
      <c r="Q314" s="587"/>
      <c r="R314" s="588"/>
      <c r="S314" s="503">
        <f>IF(T299="SI",SUM(S299:S313),0)</f>
        <v>0</v>
      </c>
      <c r="T314" s="589" t="str">
        <f>IF(S315=" "," ",IF(S315&gt;=$H$6,"CUMPLE","NO CUMPLE"))</f>
        <v>NO CUMPLE</v>
      </c>
    </row>
    <row r="315" spans="2:21" ht="18" hidden="1" customHeight="1">
      <c r="B315" s="583"/>
      <c r="C315" s="584"/>
      <c r="D315" s="584"/>
      <c r="E315" s="584"/>
      <c r="F315" s="584"/>
      <c r="G315" s="584"/>
      <c r="H315" s="584"/>
      <c r="I315" s="584"/>
      <c r="J315" s="584"/>
      <c r="K315" s="584"/>
      <c r="L315" s="584"/>
      <c r="M315" s="584"/>
      <c r="N315" s="584"/>
      <c r="O315" s="585"/>
      <c r="P315" s="586" t="s">
        <v>47</v>
      </c>
      <c r="Q315" s="587"/>
      <c r="R315" s="588"/>
      <c r="S315" s="503">
        <f>IFERROR((S314/$P$6)," ")</f>
        <v>0</v>
      </c>
      <c r="T315" s="590"/>
      <c r="U315" s="500"/>
    </row>
  </sheetData>
  <sheetProtection algorithmName="SHA-512" hashValue="PJTGImodJqDKoTlv/b+IjUabBuXrYgXSyFZrZdTh/vLdvJrgvyTwU085EsRPRlU//Rnv8F8LLbiumxoN01D6gA==" saltValue="vO+cisHi2Ybznf/wjk5i4A==" spinCount="100000" sheet="1" objects="1" scenarios="1"/>
  <mergeCells count="1550">
    <mergeCell ref="B314:O315"/>
    <mergeCell ref="P314:R314"/>
    <mergeCell ref="T314:T315"/>
    <mergeCell ref="P315:R315"/>
    <mergeCell ref="B311:B313"/>
    <mergeCell ref="C311:C313"/>
    <mergeCell ref="D311:D313"/>
    <mergeCell ref="E311:E313"/>
    <mergeCell ref="F311:F313"/>
    <mergeCell ref="G311:G313"/>
    <mergeCell ref="H311:H313"/>
    <mergeCell ref="I311:I313"/>
    <mergeCell ref="N311:N313"/>
    <mergeCell ref="O311:O313"/>
    <mergeCell ref="P311:P313"/>
    <mergeCell ref="Q311:Q313"/>
    <mergeCell ref="R311:R313"/>
    <mergeCell ref="S311:S313"/>
    <mergeCell ref="U311:U313"/>
    <mergeCell ref="L312:L313"/>
    <mergeCell ref="M312:M313"/>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U308:U310"/>
    <mergeCell ref="L309:L310"/>
    <mergeCell ref="M309:M310"/>
    <mergeCell ref="R302:R304"/>
    <mergeCell ref="S302:S304"/>
    <mergeCell ref="U302:U304"/>
    <mergeCell ref="L303:L304"/>
    <mergeCell ref="M303:M304"/>
    <mergeCell ref="B305:B307"/>
    <mergeCell ref="C305:C307"/>
    <mergeCell ref="D305:D307"/>
    <mergeCell ref="E305:E307"/>
    <mergeCell ref="F305:F307"/>
    <mergeCell ref="G305:G307"/>
    <mergeCell ref="H305:H307"/>
    <mergeCell ref="I305:I307"/>
    <mergeCell ref="N305:N307"/>
    <mergeCell ref="O305:O307"/>
    <mergeCell ref="P305:P307"/>
    <mergeCell ref="Q305:Q307"/>
    <mergeCell ref="R305:R307"/>
    <mergeCell ref="S305:S307"/>
    <mergeCell ref="U305:U307"/>
    <mergeCell ref="L306:L307"/>
    <mergeCell ref="M306:M307"/>
    <mergeCell ref="U297:U298"/>
    <mergeCell ref="J298:M298"/>
    <mergeCell ref="B299:B301"/>
    <mergeCell ref="C299:C301"/>
    <mergeCell ref="D299:D301"/>
    <mergeCell ref="E299:E301"/>
    <mergeCell ref="F299:F301"/>
    <mergeCell ref="G299:G301"/>
    <mergeCell ref="H299:H301"/>
    <mergeCell ref="I299:I301"/>
    <mergeCell ref="N299:N301"/>
    <mergeCell ref="O299:O301"/>
    <mergeCell ref="P299:P301"/>
    <mergeCell ref="Q299:Q301"/>
    <mergeCell ref="R299:R301"/>
    <mergeCell ref="S299:S301"/>
    <mergeCell ref="T299:T313"/>
    <mergeCell ref="U299:U301"/>
    <mergeCell ref="L300:L301"/>
    <mergeCell ref="M300:M301"/>
    <mergeCell ref="B302:B304"/>
    <mergeCell ref="C302:C304"/>
    <mergeCell ref="D302:D304"/>
    <mergeCell ref="E302:E304"/>
    <mergeCell ref="F302:F304"/>
    <mergeCell ref="G302:G304"/>
    <mergeCell ref="H302:H304"/>
    <mergeCell ref="I302:I304"/>
    <mergeCell ref="N302:N304"/>
    <mergeCell ref="O302:O304"/>
    <mergeCell ref="P302:P304"/>
    <mergeCell ref="Q302:Q304"/>
    <mergeCell ref="B292:O293"/>
    <mergeCell ref="P292:R292"/>
    <mergeCell ref="T292:T293"/>
    <mergeCell ref="P293:R293"/>
    <mergeCell ref="C296:E296"/>
    <mergeCell ref="F296:O296"/>
    <mergeCell ref="P296:R296"/>
    <mergeCell ref="B297:B298"/>
    <mergeCell ref="C297:C298"/>
    <mergeCell ref="D297:D298"/>
    <mergeCell ref="E297:E298"/>
    <mergeCell ref="F297:F298"/>
    <mergeCell ref="G297:G298"/>
    <mergeCell ref="H297:H298"/>
    <mergeCell ref="I297:I298"/>
    <mergeCell ref="J297:M297"/>
    <mergeCell ref="N297:N298"/>
    <mergeCell ref="O297:O298"/>
    <mergeCell ref="P297:Q297"/>
    <mergeCell ref="R297:R298"/>
    <mergeCell ref="S297:S298"/>
    <mergeCell ref="T297:T298"/>
    <mergeCell ref="B289:B291"/>
    <mergeCell ref="C289:C291"/>
    <mergeCell ref="D289:D291"/>
    <mergeCell ref="E289:E291"/>
    <mergeCell ref="F289:F291"/>
    <mergeCell ref="G289:G291"/>
    <mergeCell ref="H289:H291"/>
    <mergeCell ref="I289:I291"/>
    <mergeCell ref="N289:N291"/>
    <mergeCell ref="O289:O291"/>
    <mergeCell ref="P289:P291"/>
    <mergeCell ref="Q289:Q291"/>
    <mergeCell ref="R289:R291"/>
    <mergeCell ref="S289:S291"/>
    <mergeCell ref="U289:U291"/>
    <mergeCell ref="L290:L291"/>
    <mergeCell ref="M290:M291"/>
    <mergeCell ref="B286:B288"/>
    <mergeCell ref="C286:C288"/>
    <mergeCell ref="D286:D288"/>
    <mergeCell ref="E286:E288"/>
    <mergeCell ref="F286:F288"/>
    <mergeCell ref="G286:G288"/>
    <mergeCell ref="H286:H288"/>
    <mergeCell ref="I286:I288"/>
    <mergeCell ref="N286:N288"/>
    <mergeCell ref="O286:O288"/>
    <mergeCell ref="P286:P288"/>
    <mergeCell ref="Q286:Q288"/>
    <mergeCell ref="R286:R288"/>
    <mergeCell ref="S286:S288"/>
    <mergeCell ref="U286:U288"/>
    <mergeCell ref="L287:L288"/>
    <mergeCell ref="M287:M288"/>
    <mergeCell ref="R280:R282"/>
    <mergeCell ref="S280:S282"/>
    <mergeCell ref="U280:U282"/>
    <mergeCell ref="L281:L282"/>
    <mergeCell ref="M281:M282"/>
    <mergeCell ref="B283:B285"/>
    <mergeCell ref="C283:C285"/>
    <mergeCell ref="D283:D285"/>
    <mergeCell ref="E283:E285"/>
    <mergeCell ref="F283:F285"/>
    <mergeCell ref="G283:G285"/>
    <mergeCell ref="H283:H285"/>
    <mergeCell ref="I283:I285"/>
    <mergeCell ref="N283:N285"/>
    <mergeCell ref="O283:O285"/>
    <mergeCell ref="P283:P285"/>
    <mergeCell ref="Q283:Q285"/>
    <mergeCell ref="R283:R285"/>
    <mergeCell ref="S283:S285"/>
    <mergeCell ref="U283:U285"/>
    <mergeCell ref="L284:L285"/>
    <mergeCell ref="M284:M285"/>
    <mergeCell ref="U275:U276"/>
    <mergeCell ref="J276:M276"/>
    <mergeCell ref="B277:B279"/>
    <mergeCell ref="C277:C279"/>
    <mergeCell ref="D277:D279"/>
    <mergeCell ref="E277:E279"/>
    <mergeCell ref="F277:F279"/>
    <mergeCell ref="G277:G279"/>
    <mergeCell ref="H277:H279"/>
    <mergeCell ref="I277:I279"/>
    <mergeCell ref="N277:N279"/>
    <mergeCell ref="O277:O279"/>
    <mergeCell ref="P277:P279"/>
    <mergeCell ref="Q277:Q279"/>
    <mergeCell ref="R277:R279"/>
    <mergeCell ref="S277:S279"/>
    <mergeCell ref="T277:T291"/>
    <mergeCell ref="U277:U279"/>
    <mergeCell ref="L278:L279"/>
    <mergeCell ref="M278:M279"/>
    <mergeCell ref="B280:B282"/>
    <mergeCell ref="C280:C282"/>
    <mergeCell ref="D280:D282"/>
    <mergeCell ref="E280:E282"/>
    <mergeCell ref="F280:F282"/>
    <mergeCell ref="G280:G282"/>
    <mergeCell ref="H280:H282"/>
    <mergeCell ref="I280:I282"/>
    <mergeCell ref="N280:N282"/>
    <mergeCell ref="O280:O282"/>
    <mergeCell ref="P280:P282"/>
    <mergeCell ref="Q280:Q282"/>
    <mergeCell ref="B270:O271"/>
    <mergeCell ref="P270:R270"/>
    <mergeCell ref="T270:T271"/>
    <mergeCell ref="P271:R271"/>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P275:Q275"/>
    <mergeCell ref="R275:R276"/>
    <mergeCell ref="S275:S276"/>
    <mergeCell ref="T275:T276"/>
    <mergeCell ref="B267:B269"/>
    <mergeCell ref="C267:C269"/>
    <mergeCell ref="D267:D269"/>
    <mergeCell ref="E267:E269"/>
    <mergeCell ref="F267:F269"/>
    <mergeCell ref="G267:G269"/>
    <mergeCell ref="H267:H269"/>
    <mergeCell ref="I267:I269"/>
    <mergeCell ref="N267:N269"/>
    <mergeCell ref="O267:O269"/>
    <mergeCell ref="P267:P269"/>
    <mergeCell ref="Q267:Q269"/>
    <mergeCell ref="R267:R269"/>
    <mergeCell ref="S267:S269"/>
    <mergeCell ref="U267:U269"/>
    <mergeCell ref="L268:L269"/>
    <mergeCell ref="M268:M269"/>
    <mergeCell ref="B264:B266"/>
    <mergeCell ref="C264:C266"/>
    <mergeCell ref="D264:D266"/>
    <mergeCell ref="E264:E266"/>
    <mergeCell ref="F264:F266"/>
    <mergeCell ref="G264:G266"/>
    <mergeCell ref="H264:H266"/>
    <mergeCell ref="I264:I266"/>
    <mergeCell ref="N264:N266"/>
    <mergeCell ref="O264:O266"/>
    <mergeCell ref="P264:P266"/>
    <mergeCell ref="Q264:Q266"/>
    <mergeCell ref="R264:R266"/>
    <mergeCell ref="S264:S266"/>
    <mergeCell ref="U264:U266"/>
    <mergeCell ref="L265:L266"/>
    <mergeCell ref="M265:M266"/>
    <mergeCell ref="R258:R260"/>
    <mergeCell ref="S258:S260"/>
    <mergeCell ref="U258:U260"/>
    <mergeCell ref="L259:L260"/>
    <mergeCell ref="M259:M260"/>
    <mergeCell ref="B261:B263"/>
    <mergeCell ref="C261:C263"/>
    <mergeCell ref="D261:D263"/>
    <mergeCell ref="E261:E263"/>
    <mergeCell ref="F261:F263"/>
    <mergeCell ref="G261:G263"/>
    <mergeCell ref="H261:H263"/>
    <mergeCell ref="I261:I263"/>
    <mergeCell ref="N261:N263"/>
    <mergeCell ref="O261:O263"/>
    <mergeCell ref="P261:P263"/>
    <mergeCell ref="Q261:Q263"/>
    <mergeCell ref="R261:R263"/>
    <mergeCell ref="S261:S263"/>
    <mergeCell ref="U261:U263"/>
    <mergeCell ref="L262:L263"/>
    <mergeCell ref="M262:M263"/>
    <mergeCell ref="U253:U254"/>
    <mergeCell ref="J254:M254"/>
    <mergeCell ref="B255:B257"/>
    <mergeCell ref="C255:C257"/>
    <mergeCell ref="D255:D257"/>
    <mergeCell ref="E255:E257"/>
    <mergeCell ref="F255:F257"/>
    <mergeCell ref="G255:G257"/>
    <mergeCell ref="H255:H257"/>
    <mergeCell ref="I255:I257"/>
    <mergeCell ref="N255:N257"/>
    <mergeCell ref="O255:O257"/>
    <mergeCell ref="P255:P257"/>
    <mergeCell ref="Q255:Q257"/>
    <mergeCell ref="R255:R257"/>
    <mergeCell ref="S255:S257"/>
    <mergeCell ref="T255:T269"/>
    <mergeCell ref="U255:U257"/>
    <mergeCell ref="L256:L257"/>
    <mergeCell ref="M256:M257"/>
    <mergeCell ref="B258:B260"/>
    <mergeCell ref="C258:C260"/>
    <mergeCell ref="D258:D260"/>
    <mergeCell ref="E258:E260"/>
    <mergeCell ref="F258:F260"/>
    <mergeCell ref="G258:G260"/>
    <mergeCell ref="H258:H260"/>
    <mergeCell ref="I258:I260"/>
    <mergeCell ref="N258:N260"/>
    <mergeCell ref="O258:O260"/>
    <mergeCell ref="P258:P260"/>
    <mergeCell ref="Q258:Q260"/>
    <mergeCell ref="B248:O249"/>
    <mergeCell ref="P248:R248"/>
    <mergeCell ref="T248:T249"/>
    <mergeCell ref="P249:R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P253:Q253"/>
    <mergeCell ref="R253:R254"/>
    <mergeCell ref="S253:S254"/>
    <mergeCell ref="T253:T254"/>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U245:U247"/>
    <mergeCell ref="L246:L247"/>
    <mergeCell ref="M246:M247"/>
    <mergeCell ref="B242:B244"/>
    <mergeCell ref="C242:C244"/>
    <mergeCell ref="D242:D244"/>
    <mergeCell ref="E242:E244"/>
    <mergeCell ref="F242:F244"/>
    <mergeCell ref="G242:G244"/>
    <mergeCell ref="H242:H244"/>
    <mergeCell ref="I242:I244"/>
    <mergeCell ref="N242:N244"/>
    <mergeCell ref="O242:O244"/>
    <mergeCell ref="P242:P244"/>
    <mergeCell ref="Q242:Q244"/>
    <mergeCell ref="R242:R244"/>
    <mergeCell ref="S242:S244"/>
    <mergeCell ref="U242:U244"/>
    <mergeCell ref="L243:L244"/>
    <mergeCell ref="M243:M244"/>
    <mergeCell ref="Q236:Q238"/>
    <mergeCell ref="R236:R238"/>
    <mergeCell ref="S236:S238"/>
    <mergeCell ref="U236:U238"/>
    <mergeCell ref="L237:L238"/>
    <mergeCell ref="M237:M238"/>
    <mergeCell ref="B239:B241"/>
    <mergeCell ref="C239:C241"/>
    <mergeCell ref="D239:D241"/>
    <mergeCell ref="E239:E241"/>
    <mergeCell ref="F239:F241"/>
    <mergeCell ref="G239:G241"/>
    <mergeCell ref="H239:H241"/>
    <mergeCell ref="I239:I241"/>
    <mergeCell ref="N239:N241"/>
    <mergeCell ref="O239:O241"/>
    <mergeCell ref="P239:P241"/>
    <mergeCell ref="Q239:Q241"/>
    <mergeCell ref="R239:R241"/>
    <mergeCell ref="S239:S241"/>
    <mergeCell ref="U239:U241"/>
    <mergeCell ref="L240:L241"/>
    <mergeCell ref="M240:M241"/>
    <mergeCell ref="T231:T232"/>
    <mergeCell ref="U231:U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T233:T247"/>
    <mergeCell ref="U233:U235"/>
    <mergeCell ref="L234:L235"/>
    <mergeCell ref="M234:M235"/>
    <mergeCell ref="B236:B238"/>
    <mergeCell ref="C236:C238"/>
    <mergeCell ref="D236:D238"/>
    <mergeCell ref="E236:E238"/>
    <mergeCell ref="F236:F238"/>
    <mergeCell ref="G236:G238"/>
    <mergeCell ref="H236:H238"/>
    <mergeCell ref="I236:I238"/>
    <mergeCell ref="N236:N238"/>
    <mergeCell ref="O236:O238"/>
    <mergeCell ref="P236:P238"/>
    <mergeCell ref="C230:E230"/>
    <mergeCell ref="F230:O230"/>
    <mergeCell ref="P230:R230"/>
    <mergeCell ref="B231:B232"/>
    <mergeCell ref="C231:C232"/>
    <mergeCell ref="D231:D232"/>
    <mergeCell ref="E231:E232"/>
    <mergeCell ref="F231:F232"/>
    <mergeCell ref="G231:G232"/>
    <mergeCell ref="H231:H232"/>
    <mergeCell ref="I231:I232"/>
    <mergeCell ref="J231:M231"/>
    <mergeCell ref="N231:N232"/>
    <mergeCell ref="O231:O232"/>
    <mergeCell ref="P231:Q231"/>
    <mergeCell ref="R231:R232"/>
    <mergeCell ref="S231:S232"/>
    <mergeCell ref="B1:S1"/>
    <mergeCell ref="B3:S3"/>
    <mergeCell ref="F4:N4"/>
    <mergeCell ref="F5:G5"/>
    <mergeCell ref="L5:M6"/>
    <mergeCell ref="N5:O5"/>
    <mergeCell ref="F6:G6"/>
    <mergeCell ref="N6:O6"/>
    <mergeCell ref="S11:S12"/>
    <mergeCell ref="C10:E10"/>
    <mergeCell ref="F10:O10"/>
    <mergeCell ref="P10:R10"/>
    <mergeCell ref="H13:H15"/>
    <mergeCell ref="I13:I15"/>
    <mergeCell ref="N13:N15"/>
    <mergeCell ref="O13:O15"/>
    <mergeCell ref="P13:P15"/>
    <mergeCell ref="L14:L15"/>
    <mergeCell ref="M14:M15"/>
    <mergeCell ref="G13:G15"/>
    <mergeCell ref="T11:T12"/>
    <mergeCell ref="U11:U12"/>
    <mergeCell ref="W11:Y11"/>
    <mergeCell ref="J12:M12"/>
    <mergeCell ref="B13:B15"/>
    <mergeCell ref="C13:C15"/>
    <mergeCell ref="D13:D15"/>
    <mergeCell ref="E13:E15"/>
    <mergeCell ref="F13:F15"/>
    <mergeCell ref="I11:I12"/>
    <mergeCell ref="J11:M11"/>
    <mergeCell ref="N11:N12"/>
    <mergeCell ref="O11:O12"/>
    <mergeCell ref="P11:Q11"/>
    <mergeCell ref="R11:R12"/>
    <mergeCell ref="B11:B12"/>
    <mergeCell ref="C11:C12"/>
    <mergeCell ref="D11:D12"/>
    <mergeCell ref="E11:E12"/>
    <mergeCell ref="F11:F12"/>
    <mergeCell ref="R13:R15"/>
    <mergeCell ref="S13:S15"/>
    <mergeCell ref="T13:T27"/>
    <mergeCell ref="G11:G12"/>
    <mergeCell ref="H11:H12"/>
    <mergeCell ref="Q13:Q15"/>
    <mergeCell ref="R22:R24"/>
    <mergeCell ref="S22:S24"/>
    <mergeCell ref="U22:U24"/>
    <mergeCell ref="L23:L24"/>
    <mergeCell ref="U13:U15"/>
    <mergeCell ref="O16:O18"/>
    <mergeCell ref="P16:P18"/>
    <mergeCell ref="Q16:Q18"/>
    <mergeCell ref="L17:L18"/>
    <mergeCell ref="M17:M18"/>
    <mergeCell ref="H22:H24"/>
    <mergeCell ref="I22:I24"/>
    <mergeCell ref="N22:N24"/>
    <mergeCell ref="O22:O24"/>
    <mergeCell ref="P22:P24"/>
    <mergeCell ref="Q22:Q24"/>
    <mergeCell ref="S19:S21"/>
    <mergeCell ref="U19:U21"/>
    <mergeCell ref="L20:L21"/>
    <mergeCell ref="M20:M21"/>
    <mergeCell ref="O19:O21"/>
    <mergeCell ref="R16:R18"/>
    <mergeCell ref="S16:S18"/>
    <mergeCell ref="U16:U18"/>
    <mergeCell ref="R19:R21"/>
    <mergeCell ref="P19:P21"/>
    <mergeCell ref="Q19:Q21"/>
    <mergeCell ref="B22:B24"/>
    <mergeCell ref="C22:C24"/>
    <mergeCell ref="D22:D24"/>
    <mergeCell ref="E22:E24"/>
    <mergeCell ref="F22:F24"/>
    <mergeCell ref="G22:G24"/>
    <mergeCell ref="H19:H21"/>
    <mergeCell ref="I19:I21"/>
    <mergeCell ref="N19:N21"/>
    <mergeCell ref="B19:B21"/>
    <mergeCell ref="C19:C21"/>
    <mergeCell ref="D19:D21"/>
    <mergeCell ref="E19:E21"/>
    <mergeCell ref="F19:F21"/>
    <mergeCell ref="G19:G21"/>
    <mergeCell ref="B16:B18"/>
    <mergeCell ref="C16:C18"/>
    <mergeCell ref="D16:D18"/>
    <mergeCell ref="E16:E18"/>
    <mergeCell ref="F16:F18"/>
    <mergeCell ref="G16:G18"/>
    <mergeCell ref="M23:M24"/>
    <mergeCell ref="H16:H18"/>
    <mergeCell ref="I16:I18"/>
    <mergeCell ref="N16:N18"/>
    <mergeCell ref="U25:U27"/>
    <mergeCell ref="L26:L27"/>
    <mergeCell ref="M26:M27"/>
    <mergeCell ref="G25:G27"/>
    <mergeCell ref="H25:H27"/>
    <mergeCell ref="I25:I27"/>
    <mergeCell ref="N25:N27"/>
    <mergeCell ref="O25:O27"/>
    <mergeCell ref="P25:P27"/>
    <mergeCell ref="B28:O29"/>
    <mergeCell ref="P28:R28"/>
    <mergeCell ref="T28:T29"/>
    <mergeCell ref="P29:R29"/>
    <mergeCell ref="C32:E32"/>
    <mergeCell ref="F32:O32"/>
    <mergeCell ref="P32:R32"/>
    <mergeCell ref="Q25:Q27"/>
    <mergeCell ref="R25:R27"/>
    <mergeCell ref="S25:S27"/>
    <mergeCell ref="B25:B27"/>
    <mergeCell ref="C25:C27"/>
    <mergeCell ref="D25:D27"/>
    <mergeCell ref="E25:E27"/>
    <mergeCell ref="F25:F27"/>
    <mergeCell ref="R33:R34"/>
    <mergeCell ref="S33:S34"/>
    <mergeCell ref="T33:T34"/>
    <mergeCell ref="U33:U34"/>
    <mergeCell ref="J34:M34"/>
    <mergeCell ref="B35:B37"/>
    <mergeCell ref="C35:C37"/>
    <mergeCell ref="D35:D37"/>
    <mergeCell ref="E35:E37"/>
    <mergeCell ref="F35:F37"/>
    <mergeCell ref="H33:H34"/>
    <mergeCell ref="I33:I34"/>
    <mergeCell ref="J33:M33"/>
    <mergeCell ref="N33:N34"/>
    <mergeCell ref="O33:O34"/>
    <mergeCell ref="P33:Q33"/>
    <mergeCell ref="B33:B34"/>
    <mergeCell ref="C33:C34"/>
    <mergeCell ref="D33:D34"/>
    <mergeCell ref="E33:E34"/>
    <mergeCell ref="F33:F34"/>
    <mergeCell ref="G33:G34"/>
    <mergeCell ref="H41:H43"/>
    <mergeCell ref="I41:I43"/>
    <mergeCell ref="N41:N43"/>
    <mergeCell ref="O41:O43"/>
    <mergeCell ref="B38:B40"/>
    <mergeCell ref="C38:C40"/>
    <mergeCell ref="D38:D40"/>
    <mergeCell ref="E38:E40"/>
    <mergeCell ref="F38:F40"/>
    <mergeCell ref="G38:G40"/>
    <mergeCell ref="Q35:Q37"/>
    <mergeCell ref="R35:R37"/>
    <mergeCell ref="S35:S37"/>
    <mergeCell ref="L36:L37"/>
    <mergeCell ref="M36:M37"/>
    <mergeCell ref="R38:R40"/>
    <mergeCell ref="S38:S40"/>
    <mergeCell ref="G35:G37"/>
    <mergeCell ref="H35:H37"/>
    <mergeCell ref="I35:I37"/>
    <mergeCell ref="N35:N37"/>
    <mergeCell ref="O35:O37"/>
    <mergeCell ref="P35:P37"/>
    <mergeCell ref="H38:H40"/>
    <mergeCell ref="I38:I40"/>
    <mergeCell ref="U41:U43"/>
    <mergeCell ref="L42:L43"/>
    <mergeCell ref="M42:M43"/>
    <mergeCell ref="T35:T49"/>
    <mergeCell ref="U35:U37"/>
    <mergeCell ref="U38:U40"/>
    <mergeCell ref="R47:R49"/>
    <mergeCell ref="S47:S49"/>
    <mergeCell ref="U47:U49"/>
    <mergeCell ref="L48:L49"/>
    <mergeCell ref="M48:M49"/>
    <mergeCell ref="N38:N40"/>
    <mergeCell ref="O38:O40"/>
    <mergeCell ref="P38:P40"/>
    <mergeCell ref="Q38:Q40"/>
    <mergeCell ref="L39:L40"/>
    <mergeCell ref="M39:M40"/>
    <mergeCell ref="R44:R46"/>
    <mergeCell ref="S44:S46"/>
    <mergeCell ref="U44:U46"/>
    <mergeCell ref="L45:L46"/>
    <mergeCell ref="M45:M46"/>
    <mergeCell ref="N44:N46"/>
    <mergeCell ref="O44:O46"/>
    <mergeCell ref="P44:P46"/>
    <mergeCell ref="P41:P43"/>
    <mergeCell ref="Q41:Q43"/>
    <mergeCell ref="Q44:Q46"/>
    <mergeCell ref="B50:O51"/>
    <mergeCell ref="P50:R50"/>
    <mergeCell ref="T50:T51"/>
    <mergeCell ref="P51:R51"/>
    <mergeCell ref="H47:H49"/>
    <mergeCell ref="I47:I49"/>
    <mergeCell ref="N47:N49"/>
    <mergeCell ref="O47:O49"/>
    <mergeCell ref="P47:P49"/>
    <mergeCell ref="Q47:Q49"/>
    <mergeCell ref="B47:B49"/>
    <mergeCell ref="C47:C49"/>
    <mergeCell ref="D47:D49"/>
    <mergeCell ref="E47:E49"/>
    <mergeCell ref="F47:F49"/>
    <mergeCell ref="G47:G49"/>
    <mergeCell ref="R41:R43"/>
    <mergeCell ref="S41:S43"/>
    <mergeCell ref="G44:G46"/>
    <mergeCell ref="H44:H46"/>
    <mergeCell ref="I44:I46"/>
    <mergeCell ref="B41:B43"/>
    <mergeCell ref="C41:C43"/>
    <mergeCell ref="D41:D43"/>
    <mergeCell ref="E41:E43"/>
    <mergeCell ref="F41:F43"/>
    <mergeCell ref="G41:G43"/>
    <mergeCell ref="B44:B46"/>
    <mergeCell ref="C44:C46"/>
    <mergeCell ref="D44:D46"/>
    <mergeCell ref="E44:E46"/>
    <mergeCell ref="F44:F46"/>
    <mergeCell ref="Q57:Q59"/>
    <mergeCell ref="U63:U65"/>
    <mergeCell ref="L64:L65"/>
    <mergeCell ref="M64:M65"/>
    <mergeCell ref="O63:O65"/>
    <mergeCell ref="P63:P65"/>
    <mergeCell ref="Q63:Q65"/>
    <mergeCell ref="U69:U71"/>
    <mergeCell ref="O55:O56"/>
    <mergeCell ref="P55:Q55"/>
    <mergeCell ref="R55:R56"/>
    <mergeCell ref="C54:E54"/>
    <mergeCell ref="F54:O54"/>
    <mergeCell ref="P54:R54"/>
    <mergeCell ref="B55:B56"/>
    <mergeCell ref="R57:R59"/>
    <mergeCell ref="S57:S59"/>
    <mergeCell ref="S55:S56"/>
    <mergeCell ref="B57:B59"/>
    <mergeCell ref="C57:C59"/>
    <mergeCell ref="D57:D59"/>
    <mergeCell ref="E57:E59"/>
    <mergeCell ref="F57:F59"/>
    <mergeCell ref="G57:G59"/>
    <mergeCell ref="I55:I56"/>
    <mergeCell ref="J55:M55"/>
    <mergeCell ref="N55:N56"/>
    <mergeCell ref="U57:U59"/>
    <mergeCell ref="L58:L59"/>
    <mergeCell ref="M58:M59"/>
    <mergeCell ref="R60:R62"/>
    <mergeCell ref="T55:T56"/>
    <mergeCell ref="U55:U56"/>
    <mergeCell ref="J56:M56"/>
    <mergeCell ref="R66:R68"/>
    <mergeCell ref="S66:S68"/>
    <mergeCell ref="U66:U68"/>
    <mergeCell ref="L67:L68"/>
    <mergeCell ref="M67:M68"/>
    <mergeCell ref="H60:H62"/>
    <mergeCell ref="I60:I62"/>
    <mergeCell ref="N60:N62"/>
    <mergeCell ref="O60:O62"/>
    <mergeCell ref="P60:P62"/>
    <mergeCell ref="Q60:Q62"/>
    <mergeCell ref="L61:L62"/>
    <mergeCell ref="M61:M62"/>
    <mergeCell ref="H55:H56"/>
    <mergeCell ref="H66:H68"/>
    <mergeCell ref="I66:I68"/>
    <mergeCell ref="N66:N68"/>
    <mergeCell ref="O66:O68"/>
    <mergeCell ref="P66:P68"/>
    <mergeCell ref="Q66:Q68"/>
    <mergeCell ref="S63:S65"/>
    <mergeCell ref="S60:S62"/>
    <mergeCell ref="U60:U62"/>
    <mergeCell ref="R63:R65"/>
    <mergeCell ref="H57:H59"/>
    <mergeCell ref="I57:I59"/>
    <mergeCell ref="N57:N59"/>
    <mergeCell ref="O57:O59"/>
    <mergeCell ref="P57:P59"/>
    <mergeCell ref="N63:N65"/>
    <mergeCell ref="B63:B65"/>
    <mergeCell ref="C63:C65"/>
    <mergeCell ref="D63:D65"/>
    <mergeCell ref="E63:E65"/>
    <mergeCell ref="F63:F65"/>
    <mergeCell ref="G63:G65"/>
    <mergeCell ref="B60:B62"/>
    <mergeCell ref="C60:C62"/>
    <mergeCell ref="D60:D62"/>
    <mergeCell ref="E60:E62"/>
    <mergeCell ref="F60:F62"/>
    <mergeCell ref="G60:G62"/>
    <mergeCell ref="C55:C56"/>
    <mergeCell ref="D55:D56"/>
    <mergeCell ref="E55:E56"/>
    <mergeCell ref="F55:F56"/>
    <mergeCell ref="G55:G56"/>
    <mergeCell ref="B72:O73"/>
    <mergeCell ref="P72:R72"/>
    <mergeCell ref="T72:T73"/>
    <mergeCell ref="P73:R73"/>
    <mergeCell ref="C76:E76"/>
    <mergeCell ref="F76:O76"/>
    <mergeCell ref="P76:R76"/>
    <mergeCell ref="Q69:Q71"/>
    <mergeCell ref="R69:R71"/>
    <mergeCell ref="S69:S71"/>
    <mergeCell ref="L70:L71"/>
    <mergeCell ref="M70:M71"/>
    <mergeCell ref="G69:G71"/>
    <mergeCell ref="H69:H71"/>
    <mergeCell ref="I69:I71"/>
    <mergeCell ref="N69:N71"/>
    <mergeCell ref="O69:O71"/>
    <mergeCell ref="P69:P71"/>
    <mergeCell ref="B69:B71"/>
    <mergeCell ref="C69:C71"/>
    <mergeCell ref="D69:D71"/>
    <mergeCell ref="E69:E71"/>
    <mergeCell ref="F69:F71"/>
    <mergeCell ref="T57:T71"/>
    <mergeCell ref="B66:B68"/>
    <mergeCell ref="C66:C68"/>
    <mergeCell ref="D66:D68"/>
    <mergeCell ref="E66:E68"/>
    <mergeCell ref="F66:F68"/>
    <mergeCell ref="G66:G68"/>
    <mergeCell ref="H63:H65"/>
    <mergeCell ref="I63:I65"/>
    <mergeCell ref="R77:R78"/>
    <mergeCell ref="S77:S78"/>
    <mergeCell ref="T77:T78"/>
    <mergeCell ref="U77:U78"/>
    <mergeCell ref="J78:M78"/>
    <mergeCell ref="B79:B81"/>
    <mergeCell ref="C79:C81"/>
    <mergeCell ref="D79:D81"/>
    <mergeCell ref="E79:E81"/>
    <mergeCell ref="F79:F81"/>
    <mergeCell ref="H77:H78"/>
    <mergeCell ref="I77:I78"/>
    <mergeCell ref="J77:M77"/>
    <mergeCell ref="N77:N78"/>
    <mergeCell ref="O77:O78"/>
    <mergeCell ref="P77:Q77"/>
    <mergeCell ref="B77:B78"/>
    <mergeCell ref="C77:C78"/>
    <mergeCell ref="D77:D78"/>
    <mergeCell ref="E77:E78"/>
    <mergeCell ref="F77:F78"/>
    <mergeCell ref="G77:G78"/>
    <mergeCell ref="H85:H87"/>
    <mergeCell ref="I85:I87"/>
    <mergeCell ref="N85:N87"/>
    <mergeCell ref="O85:O87"/>
    <mergeCell ref="B82:B84"/>
    <mergeCell ref="C82:C84"/>
    <mergeCell ref="D82:D84"/>
    <mergeCell ref="E82:E84"/>
    <mergeCell ref="F82:F84"/>
    <mergeCell ref="G82:G84"/>
    <mergeCell ref="Q79:Q81"/>
    <mergeCell ref="R79:R81"/>
    <mergeCell ref="S79:S81"/>
    <mergeCell ref="L80:L81"/>
    <mergeCell ref="M80:M81"/>
    <mergeCell ref="R82:R84"/>
    <mergeCell ref="S82:S84"/>
    <mergeCell ref="G79:G81"/>
    <mergeCell ref="H79:H81"/>
    <mergeCell ref="I79:I81"/>
    <mergeCell ref="N79:N81"/>
    <mergeCell ref="O79:O81"/>
    <mergeCell ref="P79:P81"/>
    <mergeCell ref="H82:H84"/>
    <mergeCell ref="I82:I84"/>
    <mergeCell ref="U85:U87"/>
    <mergeCell ref="L86:L87"/>
    <mergeCell ref="M86:M87"/>
    <mergeCell ref="T79:T93"/>
    <mergeCell ref="U79:U81"/>
    <mergeCell ref="U82:U84"/>
    <mergeCell ref="R91:R93"/>
    <mergeCell ref="S91:S93"/>
    <mergeCell ref="U91:U93"/>
    <mergeCell ref="L92:L93"/>
    <mergeCell ref="M92:M93"/>
    <mergeCell ref="N82:N84"/>
    <mergeCell ref="O82:O84"/>
    <mergeCell ref="P82:P84"/>
    <mergeCell ref="Q82:Q84"/>
    <mergeCell ref="L83:L84"/>
    <mergeCell ref="M83:M84"/>
    <mergeCell ref="R88:R90"/>
    <mergeCell ref="S88:S90"/>
    <mergeCell ref="U88:U90"/>
    <mergeCell ref="L89:L90"/>
    <mergeCell ref="M89:M90"/>
    <mergeCell ref="N88:N90"/>
    <mergeCell ref="O88:O90"/>
    <mergeCell ref="P88:P90"/>
    <mergeCell ref="P85:P87"/>
    <mergeCell ref="Q85:Q87"/>
    <mergeCell ref="Q88:Q90"/>
    <mergeCell ref="B94:O95"/>
    <mergeCell ref="P94:R94"/>
    <mergeCell ref="T94:T95"/>
    <mergeCell ref="P95:R95"/>
    <mergeCell ref="H91:H93"/>
    <mergeCell ref="I91:I93"/>
    <mergeCell ref="N91:N93"/>
    <mergeCell ref="O91:O93"/>
    <mergeCell ref="P91:P93"/>
    <mergeCell ref="Q91:Q93"/>
    <mergeCell ref="B91:B93"/>
    <mergeCell ref="C91:C93"/>
    <mergeCell ref="D91:D93"/>
    <mergeCell ref="E91:E93"/>
    <mergeCell ref="F91:F93"/>
    <mergeCell ref="G91:G93"/>
    <mergeCell ref="R85:R87"/>
    <mergeCell ref="S85:S87"/>
    <mergeCell ref="G88:G90"/>
    <mergeCell ref="H88:H90"/>
    <mergeCell ref="I88:I90"/>
    <mergeCell ref="B85:B87"/>
    <mergeCell ref="C85:C87"/>
    <mergeCell ref="D85:D87"/>
    <mergeCell ref="E85:E87"/>
    <mergeCell ref="F85:F87"/>
    <mergeCell ref="G85:G87"/>
    <mergeCell ref="B88:B90"/>
    <mergeCell ref="C88:C90"/>
    <mergeCell ref="D88:D90"/>
    <mergeCell ref="E88:E90"/>
    <mergeCell ref="F88:F90"/>
    <mergeCell ref="Q101:Q103"/>
    <mergeCell ref="U107:U109"/>
    <mergeCell ref="L108:L109"/>
    <mergeCell ref="M108:M109"/>
    <mergeCell ref="O107:O109"/>
    <mergeCell ref="P107:P109"/>
    <mergeCell ref="Q107:Q109"/>
    <mergeCell ref="U113:U115"/>
    <mergeCell ref="O99:O100"/>
    <mergeCell ref="P99:Q99"/>
    <mergeCell ref="R99:R100"/>
    <mergeCell ref="C98:E98"/>
    <mergeCell ref="F98:O98"/>
    <mergeCell ref="P98:R98"/>
    <mergeCell ref="B99:B100"/>
    <mergeCell ref="R101:R103"/>
    <mergeCell ref="S101:S103"/>
    <mergeCell ref="S99:S100"/>
    <mergeCell ref="B101:B103"/>
    <mergeCell ref="C101:C103"/>
    <mergeCell ref="D101:D103"/>
    <mergeCell ref="E101:E103"/>
    <mergeCell ref="F101:F103"/>
    <mergeCell ref="G101:G103"/>
    <mergeCell ref="I99:I100"/>
    <mergeCell ref="J99:M99"/>
    <mergeCell ref="N99:N100"/>
    <mergeCell ref="U101:U103"/>
    <mergeCell ref="L102:L103"/>
    <mergeCell ref="M102:M103"/>
    <mergeCell ref="R104:R106"/>
    <mergeCell ref="T99:T100"/>
    <mergeCell ref="U99:U100"/>
    <mergeCell ref="J100:M100"/>
    <mergeCell ref="R110:R112"/>
    <mergeCell ref="S110:S112"/>
    <mergeCell ref="U110:U112"/>
    <mergeCell ref="L111:L112"/>
    <mergeCell ref="M111:M112"/>
    <mergeCell ref="H104:H106"/>
    <mergeCell ref="I104:I106"/>
    <mergeCell ref="N104:N106"/>
    <mergeCell ref="O104:O106"/>
    <mergeCell ref="P104:P106"/>
    <mergeCell ref="Q104:Q106"/>
    <mergeCell ref="L105:L106"/>
    <mergeCell ref="M105:M106"/>
    <mergeCell ref="H99:H100"/>
    <mergeCell ref="H110:H112"/>
    <mergeCell ref="I110:I112"/>
    <mergeCell ref="N110:N112"/>
    <mergeCell ref="O110:O112"/>
    <mergeCell ref="P110:P112"/>
    <mergeCell ref="Q110:Q112"/>
    <mergeCell ref="S107:S109"/>
    <mergeCell ref="S104:S106"/>
    <mergeCell ref="U104:U106"/>
    <mergeCell ref="R107:R109"/>
    <mergeCell ref="H101:H103"/>
    <mergeCell ref="I101:I103"/>
    <mergeCell ref="N101:N103"/>
    <mergeCell ref="O101:O103"/>
    <mergeCell ref="P101:P103"/>
    <mergeCell ref="N107:N109"/>
    <mergeCell ref="B107:B109"/>
    <mergeCell ref="C107:C109"/>
    <mergeCell ref="D107:D109"/>
    <mergeCell ref="E107:E109"/>
    <mergeCell ref="F107:F109"/>
    <mergeCell ref="G107:G109"/>
    <mergeCell ref="B104:B106"/>
    <mergeCell ref="C104:C106"/>
    <mergeCell ref="D104:D106"/>
    <mergeCell ref="E104:E106"/>
    <mergeCell ref="F104:F106"/>
    <mergeCell ref="G104:G106"/>
    <mergeCell ref="C99:C100"/>
    <mergeCell ref="D99:D100"/>
    <mergeCell ref="E99:E100"/>
    <mergeCell ref="F99:F100"/>
    <mergeCell ref="G99:G100"/>
    <mergeCell ref="B116:O117"/>
    <mergeCell ref="P116:R116"/>
    <mergeCell ref="T116:T117"/>
    <mergeCell ref="P117:R117"/>
    <mergeCell ref="C120:E120"/>
    <mergeCell ref="F120:O120"/>
    <mergeCell ref="P120:R120"/>
    <mergeCell ref="Q113:Q115"/>
    <mergeCell ref="R113:R115"/>
    <mergeCell ref="S113:S115"/>
    <mergeCell ref="L114:L115"/>
    <mergeCell ref="M114:M115"/>
    <mergeCell ref="G113:G115"/>
    <mergeCell ref="H113:H115"/>
    <mergeCell ref="I113:I115"/>
    <mergeCell ref="N113:N115"/>
    <mergeCell ref="O113:O115"/>
    <mergeCell ref="P113:P115"/>
    <mergeCell ref="B113:B115"/>
    <mergeCell ref="C113:C115"/>
    <mergeCell ref="D113:D115"/>
    <mergeCell ref="E113:E115"/>
    <mergeCell ref="F113:F115"/>
    <mergeCell ref="T101:T115"/>
    <mergeCell ref="B110:B112"/>
    <mergeCell ref="C110:C112"/>
    <mergeCell ref="D110:D112"/>
    <mergeCell ref="E110:E112"/>
    <mergeCell ref="F110:F112"/>
    <mergeCell ref="G110:G112"/>
    <mergeCell ref="H107:H109"/>
    <mergeCell ref="I107:I109"/>
    <mergeCell ref="R121:R122"/>
    <mergeCell ref="S121:S122"/>
    <mergeCell ref="T121:T122"/>
    <mergeCell ref="U121:U122"/>
    <mergeCell ref="J122:M122"/>
    <mergeCell ref="B123:B125"/>
    <mergeCell ref="C123:C125"/>
    <mergeCell ref="D123:D125"/>
    <mergeCell ref="E123:E125"/>
    <mergeCell ref="F123:F125"/>
    <mergeCell ref="H121:H122"/>
    <mergeCell ref="I121:I122"/>
    <mergeCell ref="J121:M121"/>
    <mergeCell ref="N121:N122"/>
    <mergeCell ref="O121:O122"/>
    <mergeCell ref="P121:Q121"/>
    <mergeCell ref="B121:B122"/>
    <mergeCell ref="C121:C122"/>
    <mergeCell ref="D121:D122"/>
    <mergeCell ref="E121:E122"/>
    <mergeCell ref="F121:F122"/>
    <mergeCell ref="G121:G122"/>
    <mergeCell ref="H129:H131"/>
    <mergeCell ref="I129:I131"/>
    <mergeCell ref="N129:N131"/>
    <mergeCell ref="O129:O131"/>
    <mergeCell ref="B126:B128"/>
    <mergeCell ref="C126:C128"/>
    <mergeCell ref="D126:D128"/>
    <mergeCell ref="E126:E128"/>
    <mergeCell ref="F126:F128"/>
    <mergeCell ref="G126:G128"/>
    <mergeCell ref="Q123:Q125"/>
    <mergeCell ref="R123:R125"/>
    <mergeCell ref="S123:S125"/>
    <mergeCell ref="L124:L125"/>
    <mergeCell ref="M124:M125"/>
    <mergeCell ref="R126:R128"/>
    <mergeCell ref="S126:S128"/>
    <mergeCell ref="G123:G125"/>
    <mergeCell ref="H123:H125"/>
    <mergeCell ref="I123:I125"/>
    <mergeCell ref="N123:N125"/>
    <mergeCell ref="O123:O125"/>
    <mergeCell ref="P123:P125"/>
    <mergeCell ref="H126:H128"/>
    <mergeCell ref="I126:I128"/>
    <mergeCell ref="U129:U131"/>
    <mergeCell ref="L130:L131"/>
    <mergeCell ref="M130:M131"/>
    <mergeCell ref="T123:T137"/>
    <mergeCell ref="U123:U125"/>
    <mergeCell ref="U126:U128"/>
    <mergeCell ref="R135:R137"/>
    <mergeCell ref="S135:S137"/>
    <mergeCell ref="U135:U137"/>
    <mergeCell ref="L136:L137"/>
    <mergeCell ref="M136:M137"/>
    <mergeCell ref="N126:N128"/>
    <mergeCell ref="O126:O128"/>
    <mergeCell ref="P126:P128"/>
    <mergeCell ref="Q126:Q128"/>
    <mergeCell ref="L127:L128"/>
    <mergeCell ref="M127:M128"/>
    <mergeCell ref="R132:R134"/>
    <mergeCell ref="S132:S134"/>
    <mergeCell ref="U132:U134"/>
    <mergeCell ref="L133:L134"/>
    <mergeCell ref="M133:M134"/>
    <mergeCell ref="N132:N134"/>
    <mergeCell ref="O132:O134"/>
    <mergeCell ref="P132:P134"/>
    <mergeCell ref="P129:P131"/>
    <mergeCell ref="Q129:Q131"/>
    <mergeCell ref="Q132:Q134"/>
    <mergeCell ref="B138:O139"/>
    <mergeCell ref="P138:R138"/>
    <mergeCell ref="T138:T139"/>
    <mergeCell ref="P139:R139"/>
    <mergeCell ref="H135:H137"/>
    <mergeCell ref="I135:I137"/>
    <mergeCell ref="N135:N137"/>
    <mergeCell ref="O135:O137"/>
    <mergeCell ref="P135:P137"/>
    <mergeCell ref="Q135:Q137"/>
    <mergeCell ref="B135:B137"/>
    <mergeCell ref="C135:C137"/>
    <mergeCell ref="D135:D137"/>
    <mergeCell ref="E135:E137"/>
    <mergeCell ref="F135:F137"/>
    <mergeCell ref="G135:G137"/>
    <mergeCell ref="R129:R131"/>
    <mergeCell ref="S129:S131"/>
    <mergeCell ref="G132:G134"/>
    <mergeCell ref="H132:H134"/>
    <mergeCell ref="I132:I134"/>
    <mergeCell ref="B129:B131"/>
    <mergeCell ref="C129:C131"/>
    <mergeCell ref="D129:D131"/>
    <mergeCell ref="E129:E131"/>
    <mergeCell ref="F129:F131"/>
    <mergeCell ref="G129:G131"/>
    <mergeCell ref="B132:B134"/>
    <mergeCell ref="C132:C134"/>
    <mergeCell ref="D132:D134"/>
    <mergeCell ref="E132:E134"/>
    <mergeCell ref="F132:F134"/>
    <mergeCell ref="Q145:Q147"/>
    <mergeCell ref="U151:U153"/>
    <mergeCell ref="L152:L153"/>
    <mergeCell ref="M152:M153"/>
    <mergeCell ref="O151:O153"/>
    <mergeCell ref="P151:P153"/>
    <mergeCell ref="Q151:Q153"/>
    <mergeCell ref="U157:U159"/>
    <mergeCell ref="O143:O144"/>
    <mergeCell ref="P143:Q143"/>
    <mergeCell ref="R143:R144"/>
    <mergeCell ref="C142:E142"/>
    <mergeCell ref="F142:O142"/>
    <mergeCell ref="P142:R142"/>
    <mergeCell ref="B143:B144"/>
    <mergeCell ref="R145:R147"/>
    <mergeCell ref="S145:S147"/>
    <mergeCell ref="S143:S144"/>
    <mergeCell ref="B145:B147"/>
    <mergeCell ref="C145:C147"/>
    <mergeCell ref="D145:D147"/>
    <mergeCell ref="E145:E147"/>
    <mergeCell ref="F145:F147"/>
    <mergeCell ref="G145:G147"/>
    <mergeCell ref="I143:I144"/>
    <mergeCell ref="J143:M143"/>
    <mergeCell ref="N143:N144"/>
    <mergeCell ref="U145:U147"/>
    <mergeCell ref="L146:L147"/>
    <mergeCell ref="M146:M147"/>
    <mergeCell ref="R148:R150"/>
    <mergeCell ref="T143:T144"/>
    <mergeCell ref="U143:U144"/>
    <mergeCell ref="J144:M144"/>
    <mergeCell ref="R154:R156"/>
    <mergeCell ref="S154:S156"/>
    <mergeCell ref="U154:U156"/>
    <mergeCell ref="L155:L156"/>
    <mergeCell ref="M155:M156"/>
    <mergeCell ref="H148:H150"/>
    <mergeCell ref="I148:I150"/>
    <mergeCell ref="N148:N150"/>
    <mergeCell ref="O148:O150"/>
    <mergeCell ref="P148:P150"/>
    <mergeCell ref="Q148:Q150"/>
    <mergeCell ref="L149:L150"/>
    <mergeCell ref="M149:M150"/>
    <mergeCell ref="H143:H144"/>
    <mergeCell ref="H154:H156"/>
    <mergeCell ref="I154:I156"/>
    <mergeCell ref="N154:N156"/>
    <mergeCell ref="O154:O156"/>
    <mergeCell ref="P154:P156"/>
    <mergeCell ref="Q154:Q156"/>
    <mergeCell ref="S151:S153"/>
    <mergeCell ref="S148:S150"/>
    <mergeCell ref="U148:U150"/>
    <mergeCell ref="R151:R153"/>
    <mergeCell ref="H145:H147"/>
    <mergeCell ref="I145:I147"/>
    <mergeCell ref="N145:N147"/>
    <mergeCell ref="O145:O147"/>
    <mergeCell ref="P145:P147"/>
    <mergeCell ref="N151:N153"/>
    <mergeCell ref="G154:G156"/>
    <mergeCell ref="H151:H153"/>
    <mergeCell ref="I151:I153"/>
    <mergeCell ref="B151:B153"/>
    <mergeCell ref="C151:C153"/>
    <mergeCell ref="D151:D153"/>
    <mergeCell ref="E151:E153"/>
    <mergeCell ref="F151:F153"/>
    <mergeCell ref="G151:G153"/>
    <mergeCell ref="B148:B150"/>
    <mergeCell ref="C148:C150"/>
    <mergeCell ref="D148:D150"/>
    <mergeCell ref="E148:E150"/>
    <mergeCell ref="F148:F150"/>
    <mergeCell ref="G148:G150"/>
    <mergeCell ref="C143:C144"/>
    <mergeCell ref="D143:D144"/>
    <mergeCell ref="E143:E144"/>
    <mergeCell ref="F143:F144"/>
    <mergeCell ref="G143:G144"/>
    <mergeCell ref="S167:S169"/>
    <mergeCell ref="L168:L169"/>
    <mergeCell ref="M168:M169"/>
    <mergeCell ref="B160:O161"/>
    <mergeCell ref="P160:R160"/>
    <mergeCell ref="T160:T161"/>
    <mergeCell ref="P161:R161"/>
    <mergeCell ref="C164:E164"/>
    <mergeCell ref="F164:O164"/>
    <mergeCell ref="P164:R164"/>
    <mergeCell ref="Q157:Q159"/>
    <mergeCell ref="R157:R159"/>
    <mergeCell ref="S157:S159"/>
    <mergeCell ref="L158:L159"/>
    <mergeCell ref="M158:M159"/>
    <mergeCell ref="G157:G159"/>
    <mergeCell ref="H157:H159"/>
    <mergeCell ref="I157:I159"/>
    <mergeCell ref="N157:N159"/>
    <mergeCell ref="O157:O159"/>
    <mergeCell ref="P157:P159"/>
    <mergeCell ref="B157:B159"/>
    <mergeCell ref="C157:C159"/>
    <mergeCell ref="D157:D159"/>
    <mergeCell ref="E157:E159"/>
    <mergeCell ref="F157:F159"/>
    <mergeCell ref="T145:T159"/>
    <mergeCell ref="B154:B156"/>
    <mergeCell ref="C154:C156"/>
    <mergeCell ref="D154:D156"/>
    <mergeCell ref="E154:E156"/>
    <mergeCell ref="F154:F156"/>
    <mergeCell ref="B167:B169"/>
    <mergeCell ref="C167:C169"/>
    <mergeCell ref="D167:D169"/>
    <mergeCell ref="E167:E169"/>
    <mergeCell ref="F167:F169"/>
    <mergeCell ref="H165:H166"/>
    <mergeCell ref="I165:I166"/>
    <mergeCell ref="J165:M165"/>
    <mergeCell ref="N165:N166"/>
    <mergeCell ref="O165:O166"/>
    <mergeCell ref="P165:Q165"/>
    <mergeCell ref="B165:B166"/>
    <mergeCell ref="C165:C166"/>
    <mergeCell ref="D165:D166"/>
    <mergeCell ref="E165:E166"/>
    <mergeCell ref="F165:F166"/>
    <mergeCell ref="G165:G166"/>
    <mergeCell ref="Q167:Q169"/>
    <mergeCell ref="G167:G169"/>
    <mergeCell ref="H167:H169"/>
    <mergeCell ref="I167:I169"/>
    <mergeCell ref="N167:N169"/>
    <mergeCell ref="O167:O169"/>
    <mergeCell ref="P167:P169"/>
    <mergeCell ref="I170:I172"/>
    <mergeCell ref="R165:R166"/>
    <mergeCell ref="S165:S166"/>
    <mergeCell ref="M171:M172"/>
    <mergeCell ref="R176:R178"/>
    <mergeCell ref="S176:S178"/>
    <mergeCell ref="U176:U178"/>
    <mergeCell ref="L177:L178"/>
    <mergeCell ref="M177:M178"/>
    <mergeCell ref="N176:N178"/>
    <mergeCell ref="O176:O178"/>
    <mergeCell ref="P176:P178"/>
    <mergeCell ref="P173:P175"/>
    <mergeCell ref="Q173:Q175"/>
    <mergeCell ref="Q176:Q178"/>
    <mergeCell ref="H173:H175"/>
    <mergeCell ref="I173:I175"/>
    <mergeCell ref="N173:N175"/>
    <mergeCell ref="O173:O175"/>
    <mergeCell ref="U173:U175"/>
    <mergeCell ref="T167:T181"/>
    <mergeCell ref="U167:U169"/>
    <mergeCell ref="U170:U172"/>
    <mergeCell ref="T165:T166"/>
    <mergeCell ref="U165:U166"/>
    <mergeCell ref="R179:R181"/>
    <mergeCell ref="S179:S181"/>
    <mergeCell ref="U179:U181"/>
    <mergeCell ref="L180:L181"/>
    <mergeCell ref="M180:M181"/>
    <mergeCell ref="J166:M166"/>
    <mergeCell ref="R167:R169"/>
    <mergeCell ref="E170:E172"/>
    <mergeCell ref="F170:F172"/>
    <mergeCell ref="G170:G172"/>
    <mergeCell ref="R173:R175"/>
    <mergeCell ref="S173:S175"/>
    <mergeCell ref="G176:G178"/>
    <mergeCell ref="H176:H178"/>
    <mergeCell ref="I176:I178"/>
    <mergeCell ref="B173:B175"/>
    <mergeCell ref="C173:C175"/>
    <mergeCell ref="D173:D175"/>
    <mergeCell ref="E173:E175"/>
    <mergeCell ref="F173:F175"/>
    <mergeCell ref="G173:G175"/>
    <mergeCell ref="B176:B178"/>
    <mergeCell ref="C176:C178"/>
    <mergeCell ref="D176:D178"/>
    <mergeCell ref="E176:E178"/>
    <mergeCell ref="F176:F178"/>
    <mergeCell ref="L174:L175"/>
    <mergeCell ref="M174:M175"/>
    <mergeCell ref="R170:R172"/>
    <mergeCell ref="S170:S172"/>
    <mergeCell ref="N170:N172"/>
    <mergeCell ref="O170:O172"/>
    <mergeCell ref="P170:P172"/>
    <mergeCell ref="Q170:Q172"/>
    <mergeCell ref="L171:L172"/>
    <mergeCell ref="B170:B172"/>
    <mergeCell ref="C170:C172"/>
    <mergeCell ref="D170:D172"/>
    <mergeCell ref="H170:H172"/>
    <mergeCell ref="B182:O183"/>
    <mergeCell ref="P182:R182"/>
    <mergeCell ref="T182:T183"/>
    <mergeCell ref="P183:R183"/>
    <mergeCell ref="H179:H181"/>
    <mergeCell ref="I179:I181"/>
    <mergeCell ref="N179:N181"/>
    <mergeCell ref="O179:O181"/>
    <mergeCell ref="P179:P181"/>
    <mergeCell ref="Q179:Q181"/>
    <mergeCell ref="B179:B181"/>
    <mergeCell ref="C179:C181"/>
    <mergeCell ref="D179:D181"/>
    <mergeCell ref="E179:E181"/>
    <mergeCell ref="F179:F181"/>
    <mergeCell ref="G179:G181"/>
    <mergeCell ref="C186:E186"/>
    <mergeCell ref="F186:O186"/>
    <mergeCell ref="P186:R186"/>
    <mergeCell ref="B189:B191"/>
    <mergeCell ref="C189:C191"/>
    <mergeCell ref="D189:D191"/>
    <mergeCell ref="E189:E191"/>
    <mergeCell ref="F189:F191"/>
    <mergeCell ref="G189:G191"/>
    <mergeCell ref="I187:I188"/>
    <mergeCell ref="J187:M187"/>
    <mergeCell ref="N187:N188"/>
    <mergeCell ref="R198:R200"/>
    <mergeCell ref="S198:S200"/>
    <mergeCell ref="D195:D197"/>
    <mergeCell ref="E195:E197"/>
    <mergeCell ref="F195:F197"/>
    <mergeCell ref="G195:G197"/>
    <mergeCell ref="B192:B194"/>
    <mergeCell ref="C192:C194"/>
    <mergeCell ref="D192:D194"/>
    <mergeCell ref="E192:E194"/>
    <mergeCell ref="F192:F194"/>
    <mergeCell ref="G192:G194"/>
    <mergeCell ref="C187:C188"/>
    <mergeCell ref="G187:G188"/>
    <mergeCell ref="H189:H191"/>
    <mergeCell ref="I189:I191"/>
    <mergeCell ref="D187:D188"/>
    <mergeCell ref="E187:E188"/>
    <mergeCell ref="F187:F188"/>
    <mergeCell ref="B187:B188"/>
    <mergeCell ref="AI13:AI28"/>
    <mergeCell ref="B204:O205"/>
    <mergeCell ref="P204:R204"/>
    <mergeCell ref="T204:T205"/>
    <mergeCell ref="P205:R205"/>
    <mergeCell ref="Q201:Q203"/>
    <mergeCell ref="R201:R203"/>
    <mergeCell ref="S201:S203"/>
    <mergeCell ref="U201:U203"/>
    <mergeCell ref="L202:L203"/>
    <mergeCell ref="M202:M203"/>
    <mergeCell ref="G201:G203"/>
    <mergeCell ref="H201:H203"/>
    <mergeCell ref="I201:I203"/>
    <mergeCell ref="N201:N203"/>
    <mergeCell ref="O201:O203"/>
    <mergeCell ref="B201:B203"/>
    <mergeCell ref="U198:U200"/>
    <mergeCell ref="L199:L200"/>
    <mergeCell ref="M199:M200"/>
    <mergeCell ref="H192:H194"/>
    <mergeCell ref="I192:I194"/>
    <mergeCell ref="N192:N194"/>
    <mergeCell ref="O192:O194"/>
    <mergeCell ref="P192:P194"/>
    <mergeCell ref="Q192:Q194"/>
    <mergeCell ref="L193:L194"/>
    <mergeCell ref="M193:M194"/>
    <mergeCell ref="H187:H188"/>
    <mergeCell ref="H198:H200"/>
    <mergeCell ref="I198:I200"/>
    <mergeCell ref="N198:N200"/>
    <mergeCell ref="U187:U188"/>
    <mergeCell ref="J188:M188"/>
    <mergeCell ref="P189:P191"/>
    <mergeCell ref="Q189:Q191"/>
    <mergeCell ref="U195:U197"/>
    <mergeCell ref="L196:L197"/>
    <mergeCell ref="M196:M197"/>
    <mergeCell ref="O195:O197"/>
    <mergeCell ref="P195:P197"/>
    <mergeCell ref="Q195:Q197"/>
    <mergeCell ref="O187:O188"/>
    <mergeCell ref="P187:Q187"/>
    <mergeCell ref="R187:R188"/>
    <mergeCell ref="O198:O200"/>
    <mergeCell ref="Q198:Q200"/>
    <mergeCell ref="S195:S197"/>
    <mergeCell ref="T189:T203"/>
    <mergeCell ref="U189:U191"/>
    <mergeCell ref="L190:L191"/>
    <mergeCell ref="M190:M191"/>
    <mergeCell ref="R192:R194"/>
    <mergeCell ref="S192:S194"/>
    <mergeCell ref="U192:U194"/>
    <mergeCell ref="R195:R197"/>
    <mergeCell ref="N189:N191"/>
    <mergeCell ref="O189:O191"/>
    <mergeCell ref="P201:P203"/>
    <mergeCell ref="P198:P200"/>
    <mergeCell ref="R189:R191"/>
    <mergeCell ref="S189:S191"/>
    <mergeCell ref="S187:S188"/>
    <mergeCell ref="T187:T188"/>
    <mergeCell ref="T209:T210"/>
    <mergeCell ref="U209:U210"/>
    <mergeCell ref="J210:M210"/>
    <mergeCell ref="C201:C203"/>
    <mergeCell ref="D201:D203"/>
    <mergeCell ref="E201:E203"/>
    <mergeCell ref="F201:F203"/>
    <mergeCell ref="B198:B200"/>
    <mergeCell ref="C198:C200"/>
    <mergeCell ref="D198:D200"/>
    <mergeCell ref="E198:E200"/>
    <mergeCell ref="F198:F200"/>
    <mergeCell ref="G198:G200"/>
    <mergeCell ref="H195:H197"/>
    <mergeCell ref="I195:I197"/>
    <mergeCell ref="N195:N197"/>
    <mergeCell ref="B195:B197"/>
    <mergeCell ref="C195:C197"/>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P209:Q209"/>
    <mergeCell ref="R209:R210"/>
    <mergeCell ref="S209:S210"/>
    <mergeCell ref="B211:B213"/>
    <mergeCell ref="C211:C213"/>
    <mergeCell ref="D211:D213"/>
    <mergeCell ref="E211:E213"/>
    <mergeCell ref="F211:F213"/>
    <mergeCell ref="G211:G213"/>
    <mergeCell ref="H211:H213"/>
    <mergeCell ref="I211:I213"/>
    <mergeCell ref="N211:N213"/>
    <mergeCell ref="O211:O213"/>
    <mergeCell ref="P211:P213"/>
    <mergeCell ref="Q211:Q213"/>
    <mergeCell ref="R211:R213"/>
    <mergeCell ref="S211:S213"/>
    <mergeCell ref="M212:M213"/>
    <mergeCell ref="U211:U213"/>
    <mergeCell ref="L212:L213"/>
    <mergeCell ref="B220:B222"/>
    <mergeCell ref="C220:C222"/>
    <mergeCell ref="D220:D222"/>
    <mergeCell ref="Q214:Q216"/>
    <mergeCell ref="E220:E222"/>
    <mergeCell ref="F220:F222"/>
    <mergeCell ref="G220:G222"/>
    <mergeCell ref="H220:H222"/>
    <mergeCell ref="I220:I222"/>
    <mergeCell ref="N220:N222"/>
    <mergeCell ref="R217:R219"/>
    <mergeCell ref="S217:S219"/>
    <mergeCell ref="U217:U219"/>
    <mergeCell ref="L218:L219"/>
    <mergeCell ref="M218:M219"/>
    <mergeCell ref="R214:R216"/>
    <mergeCell ref="S214:S216"/>
    <mergeCell ref="U214:U216"/>
    <mergeCell ref="L215:L216"/>
    <mergeCell ref="M215:M216"/>
    <mergeCell ref="B217:B219"/>
    <mergeCell ref="C217:C219"/>
    <mergeCell ref="D217:D219"/>
    <mergeCell ref="E217:E219"/>
    <mergeCell ref="F217:F219"/>
    <mergeCell ref="G217:G219"/>
    <mergeCell ref="H217:H219"/>
    <mergeCell ref="I217:I219"/>
    <mergeCell ref="N217:N219"/>
    <mergeCell ref="B214:B216"/>
    <mergeCell ref="O217:O219"/>
    <mergeCell ref="P217:P219"/>
    <mergeCell ref="Q217:Q219"/>
    <mergeCell ref="E214:E216"/>
    <mergeCell ref="F214:F216"/>
    <mergeCell ref="G214:G216"/>
    <mergeCell ref="H214:H216"/>
    <mergeCell ref="I214:I216"/>
    <mergeCell ref="N214:N216"/>
    <mergeCell ref="O214:O216"/>
    <mergeCell ref="P214:P216"/>
    <mergeCell ref="D214:D216"/>
    <mergeCell ref="M224:M225"/>
    <mergeCell ref="B226:O227"/>
    <mergeCell ref="P226:R226"/>
    <mergeCell ref="T226:T227"/>
    <mergeCell ref="P227:R227"/>
    <mergeCell ref="O220:O222"/>
    <mergeCell ref="P220:P222"/>
    <mergeCell ref="Q220:Q222"/>
    <mergeCell ref="R220:R222"/>
    <mergeCell ref="S220:S222"/>
    <mergeCell ref="T211:T225"/>
    <mergeCell ref="C214:C216"/>
    <mergeCell ref="U220:U222"/>
    <mergeCell ref="L221:L222"/>
    <mergeCell ref="M221:M222"/>
    <mergeCell ref="B223:B225"/>
    <mergeCell ref="C223:C225"/>
    <mergeCell ref="D223:D225"/>
    <mergeCell ref="E223:E225"/>
    <mergeCell ref="F223:F225"/>
    <mergeCell ref="G223:G225"/>
    <mergeCell ref="H223:H225"/>
    <mergeCell ref="I223:I225"/>
    <mergeCell ref="N223:N225"/>
    <mergeCell ref="O223:O225"/>
    <mergeCell ref="P223:P225"/>
    <mergeCell ref="Q223:Q225"/>
    <mergeCell ref="R223:R225"/>
    <mergeCell ref="S223:S225"/>
    <mergeCell ref="U223:U225"/>
    <mergeCell ref="L224:L225"/>
  </mergeCells>
  <conditionalFormatting sqref="K13">
    <cfRule type="expression" dxfId="6771" priority="12412">
      <formula>J13="NO CUMPLE"</formula>
    </cfRule>
    <cfRule type="expression" dxfId="6770" priority="12413">
      <formula>J13="CUMPLE"</formula>
    </cfRule>
  </conditionalFormatting>
  <conditionalFormatting sqref="M13">
    <cfRule type="expression" dxfId="6769" priority="12410">
      <formula>L13="NO CUMPLE"</formula>
    </cfRule>
    <cfRule type="expression" dxfId="6768" priority="12411">
      <formula>L13="CUMPLE"</formula>
    </cfRule>
  </conditionalFormatting>
  <conditionalFormatting sqref="J16:J24">
    <cfRule type="cellIs" dxfId="6767" priority="12405" operator="equal">
      <formula>"NO CUMPLE"</formula>
    </cfRule>
    <cfRule type="cellIs" dxfId="6766" priority="12406" operator="equal">
      <formula>"CUMPLE"</formula>
    </cfRule>
  </conditionalFormatting>
  <conditionalFormatting sqref="L13:L14">
    <cfRule type="cellIs" dxfId="6765" priority="12403" operator="equal">
      <formula>"NO CUMPLE"</formula>
    </cfRule>
    <cfRule type="cellIs" dxfId="6764" priority="12404" operator="equal">
      <formula>"CUMPLE"</formula>
    </cfRule>
  </conditionalFormatting>
  <conditionalFormatting sqref="T28">
    <cfRule type="cellIs" dxfId="6763" priority="12380" operator="equal">
      <formula>"NO CUMPLE"</formula>
    </cfRule>
    <cfRule type="cellIs" dxfId="6762" priority="12381" operator="equal">
      <formula>"CUMPLE"</formula>
    </cfRule>
  </conditionalFormatting>
  <conditionalFormatting sqref="B28">
    <cfRule type="cellIs" dxfId="6761" priority="12378" operator="equal">
      <formula>"NO CUMPLE CON LA EXPERIENCIA REQUERIDA"</formula>
    </cfRule>
    <cfRule type="cellIs" dxfId="6760" priority="12379" operator="equal">
      <formula>"CUMPLE CON LA EXPERIENCIA REQUERIDA"</formula>
    </cfRule>
  </conditionalFormatting>
  <conditionalFormatting sqref="H16 H19 H22 H25">
    <cfRule type="notContainsBlanks" dxfId="6759" priority="12377">
      <formula>LEN(TRIM(H16))&gt;0</formula>
    </cfRule>
  </conditionalFormatting>
  <conditionalFormatting sqref="T13">
    <cfRule type="cellIs" dxfId="6758" priority="12369" operator="equal">
      <formula>"NO"</formula>
    </cfRule>
    <cfRule type="cellIs" dxfId="6757" priority="12370" operator="equal">
      <formula>"SI"</formula>
    </cfRule>
  </conditionalFormatting>
  <conditionalFormatting sqref="K14:K15">
    <cfRule type="expression" dxfId="6756" priority="12367">
      <formula>J14="NO CUMPLE"</formula>
    </cfRule>
    <cfRule type="expression" dxfId="6755" priority="12368">
      <formula>J14="CUMPLE"</formula>
    </cfRule>
  </conditionalFormatting>
  <conditionalFormatting sqref="M14">
    <cfRule type="expression" dxfId="6754" priority="12363">
      <formula>L14="NO CUMPLE"</formula>
    </cfRule>
    <cfRule type="expression" dxfId="6753" priority="12364">
      <formula>L14="CUMPLE"</formula>
    </cfRule>
  </conditionalFormatting>
  <conditionalFormatting sqref="Z12:Z28">
    <cfRule type="cellIs" dxfId="6752" priority="12361" operator="equal">
      <formula>"NH"</formula>
    </cfRule>
    <cfRule type="cellIs" dxfId="6751" priority="12362" operator="equal">
      <formula>"H"</formula>
    </cfRule>
  </conditionalFormatting>
  <conditionalFormatting sqref="L19:L20">
    <cfRule type="cellIs" dxfId="6750" priority="12304" operator="equal">
      <formula>"NO CUMPLE"</formula>
    </cfRule>
    <cfRule type="cellIs" dxfId="6749" priority="12305" operator="equal">
      <formula>"CUMPLE"</formula>
    </cfRule>
  </conditionalFormatting>
  <conditionalFormatting sqref="L22:L23">
    <cfRule type="cellIs" dxfId="6748" priority="12256" operator="equal">
      <formula>"NO CUMPLE"</formula>
    </cfRule>
    <cfRule type="cellIs" dxfId="6747" priority="12257" operator="equal">
      <formula>"CUMPLE"</formula>
    </cfRule>
  </conditionalFormatting>
  <conditionalFormatting sqref="L16:L17">
    <cfRule type="cellIs" dxfId="6746" priority="12346" operator="equal">
      <formula>"NO CUMPLE"</formula>
    </cfRule>
    <cfRule type="cellIs" dxfId="6745" priority="12347" operator="equal">
      <formula>"CUMPLE"</formula>
    </cfRule>
  </conditionalFormatting>
  <conditionalFormatting sqref="G19">
    <cfRule type="notContainsBlanks" dxfId="6744" priority="12282">
      <formula>LEN(TRIM(G19))&gt;0</formula>
    </cfRule>
  </conditionalFormatting>
  <conditionalFormatting sqref="F19">
    <cfRule type="notContainsBlanks" dxfId="6743" priority="12281">
      <formula>LEN(TRIM(F19))&gt;0</formula>
    </cfRule>
  </conditionalFormatting>
  <conditionalFormatting sqref="E19">
    <cfRule type="notContainsBlanks" dxfId="6742" priority="12280">
      <formula>LEN(TRIM(E19))&gt;0</formula>
    </cfRule>
  </conditionalFormatting>
  <conditionalFormatting sqref="D19">
    <cfRule type="notContainsBlanks" dxfId="6741" priority="12279">
      <formula>LEN(TRIM(D19))&gt;0</formula>
    </cfRule>
  </conditionalFormatting>
  <conditionalFormatting sqref="C19">
    <cfRule type="notContainsBlanks" dxfId="6740" priority="12278">
      <formula>LEN(TRIM(C19))&gt;0</formula>
    </cfRule>
  </conditionalFormatting>
  <conditionalFormatting sqref="I19">
    <cfRule type="notContainsBlanks" dxfId="6739" priority="12277">
      <formula>LEN(TRIM(I19))&gt;0</formula>
    </cfRule>
  </conditionalFormatting>
  <conditionalFormatting sqref="J25">
    <cfRule type="cellIs" dxfId="6738" priority="12216" operator="equal">
      <formula>"NO CUMPLE"</formula>
    </cfRule>
    <cfRule type="cellIs" dxfId="6737" priority="12217" operator="equal">
      <formula>"CUMPLE"</formula>
    </cfRule>
  </conditionalFormatting>
  <conditionalFormatting sqref="L25:L26">
    <cfRule type="cellIs" dxfId="6736" priority="12214" operator="equal">
      <formula>"NO CUMPLE"</formula>
    </cfRule>
    <cfRule type="cellIs" dxfId="6735" priority="12215" operator="equal">
      <formula>"CUMPLE"</formula>
    </cfRule>
  </conditionalFormatting>
  <conditionalFormatting sqref="G25">
    <cfRule type="notContainsBlanks" dxfId="6734" priority="12192">
      <formula>LEN(TRIM(G25))&gt;0</formula>
    </cfRule>
  </conditionalFormatting>
  <conditionalFormatting sqref="F25">
    <cfRule type="notContainsBlanks" dxfId="6733" priority="12191">
      <formula>LEN(TRIM(F25))&gt;0</formula>
    </cfRule>
  </conditionalFormatting>
  <conditionalFormatting sqref="E25">
    <cfRule type="notContainsBlanks" dxfId="6732" priority="12190">
      <formula>LEN(TRIM(E25))&gt;0</formula>
    </cfRule>
  </conditionalFormatting>
  <conditionalFormatting sqref="D25">
    <cfRule type="notContainsBlanks" dxfId="6731" priority="12189">
      <formula>LEN(TRIM(D25))&gt;0</formula>
    </cfRule>
  </conditionalFormatting>
  <conditionalFormatting sqref="C25">
    <cfRule type="notContainsBlanks" dxfId="6730" priority="12188">
      <formula>LEN(TRIM(C25))&gt;0</formula>
    </cfRule>
  </conditionalFormatting>
  <conditionalFormatting sqref="I25">
    <cfRule type="notContainsBlanks" dxfId="6729" priority="12187">
      <formula>LEN(TRIM(I25))&gt;0</formula>
    </cfRule>
  </conditionalFormatting>
  <conditionalFormatting sqref="J26:J27">
    <cfRule type="cellIs" dxfId="6728" priority="12183" operator="equal">
      <formula>"NO CUMPLE"</formula>
    </cfRule>
    <cfRule type="cellIs" dxfId="6727" priority="12184" operator="equal">
      <formula>"CUMPLE"</formula>
    </cfRule>
  </conditionalFormatting>
  <conditionalFormatting sqref="G16">
    <cfRule type="notContainsBlanks" dxfId="6726" priority="12176">
      <formula>LEN(TRIM(G16))&gt;0</formula>
    </cfRule>
  </conditionalFormatting>
  <conditionalFormatting sqref="F16">
    <cfRule type="notContainsBlanks" dxfId="6725" priority="12175">
      <formula>LEN(TRIM(F16))&gt;0</formula>
    </cfRule>
  </conditionalFormatting>
  <conditionalFormatting sqref="E16">
    <cfRule type="notContainsBlanks" dxfId="6724" priority="12174">
      <formula>LEN(TRIM(E16))&gt;0</formula>
    </cfRule>
  </conditionalFormatting>
  <conditionalFormatting sqref="D16">
    <cfRule type="notContainsBlanks" dxfId="6723" priority="12173">
      <formula>LEN(TRIM(D16))&gt;0</formula>
    </cfRule>
  </conditionalFormatting>
  <conditionalFormatting sqref="C16">
    <cfRule type="notContainsBlanks" dxfId="6722" priority="12172">
      <formula>LEN(TRIM(C16))&gt;0</formula>
    </cfRule>
  </conditionalFormatting>
  <conditionalFormatting sqref="G22">
    <cfRule type="notContainsBlanks" dxfId="6721" priority="12171">
      <formula>LEN(TRIM(G22))&gt;0</formula>
    </cfRule>
  </conditionalFormatting>
  <conditionalFormatting sqref="F22">
    <cfRule type="notContainsBlanks" dxfId="6720" priority="12170">
      <formula>LEN(TRIM(F22))&gt;0</formula>
    </cfRule>
  </conditionalFormatting>
  <conditionalFormatting sqref="E22">
    <cfRule type="notContainsBlanks" dxfId="6719" priority="12169">
      <formula>LEN(TRIM(E22))&gt;0</formula>
    </cfRule>
  </conditionalFormatting>
  <conditionalFormatting sqref="D22">
    <cfRule type="notContainsBlanks" dxfId="6718" priority="12168">
      <formula>LEN(TRIM(D22))&gt;0</formula>
    </cfRule>
  </conditionalFormatting>
  <conditionalFormatting sqref="C22">
    <cfRule type="notContainsBlanks" dxfId="6717" priority="12167">
      <formula>LEN(TRIM(C22))&gt;0</formula>
    </cfRule>
  </conditionalFormatting>
  <conditionalFormatting sqref="I16">
    <cfRule type="notContainsBlanks" dxfId="6716" priority="12166">
      <formula>LEN(TRIM(I16))&gt;0</formula>
    </cfRule>
  </conditionalFormatting>
  <conditionalFormatting sqref="I22">
    <cfRule type="notContainsBlanks" dxfId="6715" priority="12165">
      <formula>LEN(TRIM(I22))&gt;0</formula>
    </cfRule>
  </conditionalFormatting>
  <conditionalFormatting sqref="S28">
    <cfRule type="expression" dxfId="6714" priority="12163">
      <formula>$S$28&gt;0</formula>
    </cfRule>
    <cfRule type="cellIs" dxfId="6713" priority="12164" operator="equal">
      <formula>0</formula>
    </cfRule>
  </conditionalFormatting>
  <conditionalFormatting sqref="S29">
    <cfRule type="expression" dxfId="6712" priority="12161">
      <formula>$S$28&gt;0</formula>
    </cfRule>
    <cfRule type="cellIs" dxfId="6711" priority="12162" operator="equal">
      <formula>0</formula>
    </cfRule>
  </conditionalFormatting>
  <conditionalFormatting sqref="U16:U18">
    <cfRule type="cellIs" dxfId="6710" priority="12157" operator="equal">
      <formula>0</formula>
    </cfRule>
    <cfRule type="cellIs" dxfId="6709" priority="12158" operator="equal">
      <formula>1</formula>
    </cfRule>
  </conditionalFormatting>
  <conditionalFormatting sqref="U19:U21">
    <cfRule type="cellIs" dxfId="6708" priority="12155" operator="equal">
      <formula>0</formula>
    </cfRule>
    <cfRule type="cellIs" dxfId="6707" priority="12156" operator="equal">
      <formula>1</formula>
    </cfRule>
  </conditionalFormatting>
  <conditionalFormatting sqref="U22:U24">
    <cfRule type="cellIs" dxfId="6706" priority="12153" operator="equal">
      <formula>0</formula>
    </cfRule>
    <cfRule type="cellIs" dxfId="6705" priority="12154" operator="equal">
      <formula>1</formula>
    </cfRule>
  </conditionalFormatting>
  <conditionalFormatting sqref="U25:U27">
    <cfRule type="cellIs" dxfId="6704" priority="12151" operator="equal">
      <formula>0</formula>
    </cfRule>
    <cfRule type="cellIs" dxfId="6703" priority="12152" operator="equal">
      <formula>1</formula>
    </cfRule>
  </conditionalFormatting>
  <conditionalFormatting sqref="L35:L36">
    <cfRule type="cellIs" dxfId="6702" priority="12140" operator="equal">
      <formula>"NO CUMPLE"</formula>
    </cfRule>
    <cfRule type="cellIs" dxfId="6701" priority="12141" operator="equal">
      <formula>"CUMPLE"</formula>
    </cfRule>
  </conditionalFormatting>
  <conditionalFormatting sqref="T50">
    <cfRule type="cellIs" dxfId="6700" priority="12117" operator="equal">
      <formula>"NO CUMPLE"</formula>
    </cfRule>
    <cfRule type="cellIs" dxfId="6699" priority="12118" operator="equal">
      <formula>"CUMPLE"</formula>
    </cfRule>
  </conditionalFormatting>
  <conditionalFormatting sqref="B50">
    <cfRule type="cellIs" dxfId="6698" priority="12115" operator="equal">
      <formula>"NO CUMPLE CON LA EXPERIENCIA REQUERIDA"</formula>
    </cfRule>
    <cfRule type="cellIs" dxfId="6697" priority="12116" operator="equal">
      <formula>"CUMPLE CON LA EXPERIENCIA REQUERIDA"</formula>
    </cfRule>
  </conditionalFormatting>
  <conditionalFormatting sqref="H41 H44 H47">
    <cfRule type="notContainsBlanks" dxfId="6696" priority="12114">
      <formula>LEN(TRIM(H41))&gt;0</formula>
    </cfRule>
  </conditionalFormatting>
  <conditionalFormatting sqref="T35">
    <cfRule type="cellIs" dxfId="6695" priority="12106" operator="equal">
      <formula>"NO"</formula>
    </cfRule>
    <cfRule type="cellIs" dxfId="6694" priority="12107" operator="equal">
      <formula>"SI"</formula>
    </cfRule>
  </conditionalFormatting>
  <conditionalFormatting sqref="G41">
    <cfRule type="notContainsBlanks" dxfId="6693" priority="12021">
      <formula>LEN(TRIM(G41))&gt;0</formula>
    </cfRule>
  </conditionalFormatting>
  <conditionalFormatting sqref="F41">
    <cfRule type="notContainsBlanks" dxfId="6692" priority="12020">
      <formula>LEN(TRIM(F41))&gt;0</formula>
    </cfRule>
  </conditionalFormatting>
  <conditionalFormatting sqref="E41">
    <cfRule type="notContainsBlanks" dxfId="6691" priority="12019">
      <formula>LEN(TRIM(E41))&gt;0</formula>
    </cfRule>
  </conditionalFormatting>
  <conditionalFormatting sqref="D41">
    <cfRule type="notContainsBlanks" dxfId="6690" priority="12018">
      <formula>LEN(TRIM(D41))&gt;0</formula>
    </cfRule>
  </conditionalFormatting>
  <conditionalFormatting sqref="C41">
    <cfRule type="notContainsBlanks" dxfId="6689" priority="12017">
      <formula>LEN(TRIM(C41))&gt;0</formula>
    </cfRule>
  </conditionalFormatting>
  <conditionalFormatting sqref="I41">
    <cfRule type="notContainsBlanks" dxfId="6688" priority="12016">
      <formula>LEN(TRIM(I41))&gt;0</formula>
    </cfRule>
  </conditionalFormatting>
  <conditionalFormatting sqref="G47">
    <cfRule type="notContainsBlanks" dxfId="6687" priority="11931">
      <formula>LEN(TRIM(G47))&gt;0</formula>
    </cfRule>
  </conditionalFormatting>
  <conditionalFormatting sqref="F47">
    <cfRule type="notContainsBlanks" dxfId="6686" priority="11930">
      <formula>LEN(TRIM(F47))&gt;0</formula>
    </cfRule>
  </conditionalFormatting>
  <conditionalFormatting sqref="E47">
    <cfRule type="notContainsBlanks" dxfId="6685" priority="11929">
      <formula>LEN(TRIM(E47))&gt;0</formula>
    </cfRule>
  </conditionalFormatting>
  <conditionalFormatting sqref="D47">
    <cfRule type="notContainsBlanks" dxfId="6684" priority="11928">
      <formula>LEN(TRIM(D47))&gt;0</formula>
    </cfRule>
  </conditionalFormatting>
  <conditionalFormatting sqref="C47">
    <cfRule type="notContainsBlanks" dxfId="6683" priority="11927">
      <formula>LEN(TRIM(C47))&gt;0</formula>
    </cfRule>
  </conditionalFormatting>
  <conditionalFormatting sqref="I47">
    <cfRule type="notContainsBlanks" dxfId="6682" priority="11926">
      <formula>LEN(TRIM(I47))&gt;0</formula>
    </cfRule>
  </conditionalFormatting>
  <conditionalFormatting sqref="G44">
    <cfRule type="notContainsBlanks" dxfId="6681" priority="11910">
      <formula>LEN(TRIM(G44))&gt;0</formula>
    </cfRule>
  </conditionalFormatting>
  <conditionalFormatting sqref="F44">
    <cfRule type="notContainsBlanks" dxfId="6680" priority="11909">
      <formula>LEN(TRIM(F44))&gt;0</formula>
    </cfRule>
  </conditionalFormatting>
  <conditionalFormatting sqref="E44">
    <cfRule type="notContainsBlanks" dxfId="6679" priority="11908">
      <formula>LEN(TRIM(E44))&gt;0</formula>
    </cfRule>
  </conditionalFormatting>
  <conditionalFormatting sqref="D44">
    <cfRule type="notContainsBlanks" dxfId="6678" priority="11907">
      <formula>LEN(TRIM(D44))&gt;0</formula>
    </cfRule>
  </conditionalFormatting>
  <conditionalFormatting sqref="C44">
    <cfRule type="notContainsBlanks" dxfId="6677" priority="11906">
      <formula>LEN(TRIM(C44))&gt;0</formula>
    </cfRule>
  </conditionalFormatting>
  <conditionalFormatting sqref="I44">
    <cfRule type="notContainsBlanks" dxfId="6676" priority="11904">
      <formula>LEN(TRIM(I44))&gt;0</formula>
    </cfRule>
  </conditionalFormatting>
  <conditionalFormatting sqref="S50">
    <cfRule type="expression" dxfId="6675" priority="11902">
      <formula>$S$28&gt;0</formula>
    </cfRule>
    <cfRule type="cellIs" dxfId="6674" priority="11903" operator="equal">
      <formula>0</formula>
    </cfRule>
  </conditionalFormatting>
  <conditionalFormatting sqref="S51">
    <cfRule type="expression" dxfId="6673" priority="11900">
      <formula>$S$28&gt;0</formula>
    </cfRule>
    <cfRule type="cellIs" dxfId="6672" priority="11901" operator="equal">
      <formula>0</formula>
    </cfRule>
  </conditionalFormatting>
  <conditionalFormatting sqref="N16 N19 N22 N25">
    <cfRule type="expression" dxfId="6671" priority="7957">
      <formula>N16=" "</formula>
    </cfRule>
    <cfRule type="expression" dxfId="6670" priority="7958">
      <formula>N16="NO PRESENTÓ CERTIFICADO"</formula>
    </cfRule>
    <cfRule type="expression" dxfId="6669" priority="7959">
      <formula>N16="PRESENTÓ CERTIFICADO"</formula>
    </cfRule>
  </conditionalFormatting>
  <conditionalFormatting sqref="Q19 Q22 Q25">
    <cfRule type="containsBlanks" dxfId="6668" priority="7939">
      <formula>LEN(TRIM(Q19))=0</formula>
    </cfRule>
    <cfRule type="cellIs" dxfId="6667" priority="7948" operator="equal">
      <formula>"REQUERIMIENTOS SUBSANADOS"</formula>
    </cfRule>
    <cfRule type="containsText" dxfId="6666" priority="7954" operator="containsText" text="NO SUBSANABLE">
      <formula>NOT(ISERROR(SEARCH("NO SUBSANABLE",Q19)))</formula>
    </cfRule>
    <cfRule type="containsText" dxfId="6665" priority="7955" operator="containsText" text="PENDIENTES POR SUBSANAR">
      <formula>NOT(ISERROR(SEARCH("PENDIENTES POR SUBSANAR",Q19)))</formula>
    </cfRule>
    <cfRule type="containsText" dxfId="6664" priority="7956" operator="containsText" text="SIN OBSERVACIÓN">
      <formula>NOT(ISERROR(SEARCH("SIN OBSERVACIÓN",Q19)))</formula>
    </cfRule>
  </conditionalFormatting>
  <conditionalFormatting sqref="R19 R22 R25">
    <cfRule type="containsBlanks" dxfId="6663" priority="7938">
      <formula>LEN(TRIM(R19))=0</formula>
    </cfRule>
    <cfRule type="cellIs" dxfId="6662" priority="7940" operator="equal">
      <formula>"NO CUMPLEN CON LO SOLICITADO"</formula>
    </cfRule>
    <cfRule type="cellIs" dxfId="6661" priority="7941" operator="equal">
      <formula>"CUMPLEN CON LO SOLICITADO"</formula>
    </cfRule>
    <cfRule type="cellIs" dxfId="6660" priority="7942" operator="equal">
      <formula>"PENDIENTES"</formula>
    </cfRule>
    <cfRule type="cellIs" dxfId="6659" priority="7943" operator="equal">
      <formula>"NINGUNO"</formula>
    </cfRule>
  </conditionalFormatting>
  <conditionalFormatting sqref="P16 P19 P22 P25">
    <cfRule type="expression" dxfId="6658" priority="7929">
      <formula>Q16="NO SUBSANABLE"</formula>
    </cfRule>
    <cfRule type="expression" dxfId="6657" priority="7930">
      <formula>Q16="REQUERIMIENTOS SUBSANADOS"</formula>
    </cfRule>
    <cfRule type="expression" dxfId="6656" priority="7931">
      <formula>Q16="PENDIENTES POR SUBSANAR"</formula>
    </cfRule>
    <cfRule type="expression" dxfId="6655" priority="7932">
      <formula>Q16="SIN OBSERVACIÓN"</formula>
    </cfRule>
    <cfRule type="containsBlanks" dxfId="6654" priority="7933">
      <formula>LEN(TRIM(P16))=0</formula>
    </cfRule>
  </conditionalFormatting>
  <conditionalFormatting sqref="T72">
    <cfRule type="cellIs" dxfId="6653" priority="7084" operator="equal">
      <formula>"NO CUMPLE"</formula>
    </cfRule>
    <cfRule type="cellIs" dxfId="6652" priority="7085" operator="equal">
      <formula>"CUMPLE"</formula>
    </cfRule>
  </conditionalFormatting>
  <conditionalFormatting sqref="B72">
    <cfRule type="cellIs" dxfId="6651" priority="7082" operator="equal">
      <formula>"NO CUMPLE CON LA EXPERIENCIA REQUERIDA"</formula>
    </cfRule>
    <cfRule type="cellIs" dxfId="6650" priority="7083" operator="equal">
      <formula>"CUMPLE CON LA EXPERIENCIA REQUERIDA"</formula>
    </cfRule>
  </conditionalFormatting>
  <conditionalFormatting sqref="T57">
    <cfRule type="cellIs" dxfId="6649" priority="7073" operator="equal">
      <formula>"NO"</formula>
    </cfRule>
    <cfRule type="cellIs" dxfId="6648" priority="7074" operator="equal">
      <formula>"SI"</formula>
    </cfRule>
  </conditionalFormatting>
  <conditionalFormatting sqref="S72">
    <cfRule type="expression" dxfId="6647" priority="6977">
      <formula>$S$28&gt;0</formula>
    </cfRule>
    <cfRule type="cellIs" dxfId="6646" priority="6978" operator="equal">
      <formula>0</formula>
    </cfRule>
  </conditionalFormatting>
  <conditionalFormatting sqref="S73">
    <cfRule type="expression" dxfId="6645" priority="6975">
      <formula>$S$28&gt;0</formula>
    </cfRule>
    <cfRule type="cellIs" dxfId="6644" priority="6976" operator="equal">
      <formula>0</formula>
    </cfRule>
  </conditionalFormatting>
  <conditionalFormatting sqref="T94">
    <cfRule type="cellIs" dxfId="6643" priority="6901" operator="equal">
      <formula>"NO CUMPLE"</formula>
    </cfRule>
    <cfRule type="cellIs" dxfId="6642" priority="6902" operator="equal">
      <formula>"CUMPLE"</formula>
    </cfRule>
  </conditionalFormatting>
  <conditionalFormatting sqref="B94">
    <cfRule type="cellIs" dxfId="6641" priority="6899" operator="equal">
      <formula>"NO CUMPLE CON LA EXPERIENCIA REQUERIDA"</formula>
    </cfRule>
    <cfRule type="cellIs" dxfId="6640" priority="6900" operator="equal">
      <formula>"CUMPLE CON LA EXPERIENCIA REQUERIDA"</formula>
    </cfRule>
  </conditionalFormatting>
  <conditionalFormatting sqref="H79 H82 H85 H88 H91">
    <cfRule type="notContainsBlanks" dxfId="6639" priority="6898">
      <formula>LEN(TRIM(H79))&gt;0</formula>
    </cfRule>
  </conditionalFormatting>
  <conditionalFormatting sqref="G79">
    <cfRule type="notContainsBlanks" dxfId="6638" priority="6897">
      <formula>LEN(TRIM(G79))&gt;0</formula>
    </cfRule>
  </conditionalFormatting>
  <conditionalFormatting sqref="F79">
    <cfRule type="notContainsBlanks" dxfId="6637" priority="6896">
      <formula>LEN(TRIM(F79))&gt;0</formula>
    </cfRule>
  </conditionalFormatting>
  <conditionalFormatting sqref="E79">
    <cfRule type="notContainsBlanks" dxfId="6636" priority="6895">
      <formula>LEN(TRIM(E79))&gt;0</formula>
    </cfRule>
  </conditionalFormatting>
  <conditionalFormatting sqref="D79">
    <cfRule type="notContainsBlanks" dxfId="6635" priority="6894">
      <formula>LEN(TRIM(D79))&gt;0</formula>
    </cfRule>
  </conditionalFormatting>
  <conditionalFormatting sqref="C79">
    <cfRule type="notContainsBlanks" dxfId="6634" priority="6893">
      <formula>LEN(TRIM(C79))&gt;0</formula>
    </cfRule>
  </conditionalFormatting>
  <conditionalFormatting sqref="I79">
    <cfRule type="notContainsBlanks" dxfId="6633" priority="6892">
      <formula>LEN(TRIM(I79))&gt;0</formula>
    </cfRule>
  </conditionalFormatting>
  <conditionalFormatting sqref="T79">
    <cfRule type="cellIs" dxfId="6632" priority="6890" operator="equal">
      <formula>"NO"</formula>
    </cfRule>
    <cfRule type="cellIs" dxfId="6631" priority="6891" operator="equal">
      <formula>"SI"</formula>
    </cfRule>
  </conditionalFormatting>
  <conditionalFormatting sqref="G85">
    <cfRule type="notContainsBlanks" dxfId="6630" priority="6857">
      <formula>LEN(TRIM(G85))&gt;0</formula>
    </cfRule>
  </conditionalFormatting>
  <conditionalFormatting sqref="F85">
    <cfRule type="notContainsBlanks" dxfId="6629" priority="6856">
      <formula>LEN(TRIM(F85))&gt;0</formula>
    </cfRule>
  </conditionalFormatting>
  <conditionalFormatting sqref="E85">
    <cfRule type="notContainsBlanks" dxfId="6628" priority="6855">
      <formula>LEN(TRIM(E85))&gt;0</formula>
    </cfRule>
  </conditionalFormatting>
  <conditionalFormatting sqref="D85">
    <cfRule type="notContainsBlanks" dxfId="6627" priority="6854">
      <formula>LEN(TRIM(D85))&gt;0</formula>
    </cfRule>
  </conditionalFormatting>
  <conditionalFormatting sqref="C85">
    <cfRule type="notContainsBlanks" dxfId="6626" priority="6853">
      <formula>LEN(TRIM(C85))&gt;0</formula>
    </cfRule>
  </conditionalFormatting>
  <conditionalFormatting sqref="I85">
    <cfRule type="notContainsBlanks" dxfId="6625" priority="6852">
      <formula>LEN(TRIM(I85))&gt;0</formula>
    </cfRule>
  </conditionalFormatting>
  <conditionalFormatting sqref="G91">
    <cfRule type="notContainsBlanks" dxfId="6624" priority="6819">
      <formula>LEN(TRIM(G91))&gt;0</formula>
    </cfRule>
  </conditionalFormatting>
  <conditionalFormatting sqref="F91">
    <cfRule type="notContainsBlanks" dxfId="6623" priority="6818">
      <formula>LEN(TRIM(F91))&gt;0</formula>
    </cfRule>
  </conditionalFormatting>
  <conditionalFormatting sqref="E91">
    <cfRule type="notContainsBlanks" dxfId="6622" priority="6817">
      <formula>LEN(TRIM(E91))&gt;0</formula>
    </cfRule>
  </conditionalFormatting>
  <conditionalFormatting sqref="D91">
    <cfRule type="notContainsBlanks" dxfId="6621" priority="6816">
      <formula>LEN(TRIM(D91))&gt;0</formula>
    </cfRule>
  </conditionalFormatting>
  <conditionalFormatting sqref="C91">
    <cfRule type="notContainsBlanks" dxfId="6620" priority="6815">
      <formula>LEN(TRIM(C91))&gt;0</formula>
    </cfRule>
  </conditionalFormatting>
  <conditionalFormatting sqref="I91">
    <cfRule type="notContainsBlanks" dxfId="6619" priority="6814">
      <formula>LEN(TRIM(I91))&gt;0</formula>
    </cfRule>
  </conditionalFormatting>
  <conditionalFormatting sqref="G82">
    <cfRule type="notContainsBlanks" dxfId="6618" priority="6807">
      <formula>LEN(TRIM(G82))&gt;0</formula>
    </cfRule>
  </conditionalFormatting>
  <conditionalFormatting sqref="F82">
    <cfRule type="notContainsBlanks" dxfId="6617" priority="6806">
      <formula>LEN(TRIM(F82))&gt;0</formula>
    </cfRule>
  </conditionalFormatting>
  <conditionalFormatting sqref="E82">
    <cfRule type="notContainsBlanks" dxfId="6616" priority="6805">
      <formula>LEN(TRIM(E82))&gt;0</formula>
    </cfRule>
  </conditionalFormatting>
  <conditionalFormatting sqref="D82">
    <cfRule type="notContainsBlanks" dxfId="6615" priority="6804">
      <formula>LEN(TRIM(D82))&gt;0</formula>
    </cfRule>
  </conditionalFormatting>
  <conditionalFormatting sqref="C82">
    <cfRule type="notContainsBlanks" dxfId="6614" priority="6803">
      <formula>LEN(TRIM(C82))&gt;0</formula>
    </cfRule>
  </conditionalFormatting>
  <conditionalFormatting sqref="G88">
    <cfRule type="notContainsBlanks" dxfId="6613" priority="6802">
      <formula>LEN(TRIM(G88))&gt;0</formula>
    </cfRule>
  </conditionalFormatting>
  <conditionalFormatting sqref="F88">
    <cfRule type="notContainsBlanks" dxfId="6612" priority="6801">
      <formula>LEN(TRIM(F88))&gt;0</formula>
    </cfRule>
  </conditionalFormatting>
  <conditionalFormatting sqref="E88">
    <cfRule type="notContainsBlanks" dxfId="6611" priority="6800">
      <formula>LEN(TRIM(E88))&gt;0</formula>
    </cfRule>
  </conditionalFormatting>
  <conditionalFormatting sqref="D88">
    <cfRule type="notContainsBlanks" dxfId="6610" priority="6799">
      <formula>LEN(TRIM(D88))&gt;0</formula>
    </cfRule>
  </conditionalFormatting>
  <conditionalFormatting sqref="C88">
    <cfRule type="notContainsBlanks" dxfId="6609" priority="6798">
      <formula>LEN(TRIM(C88))&gt;0</formula>
    </cfRule>
  </conditionalFormatting>
  <conditionalFormatting sqref="I82">
    <cfRule type="notContainsBlanks" dxfId="6608" priority="6797">
      <formula>LEN(TRIM(I82))&gt;0</formula>
    </cfRule>
  </conditionalFormatting>
  <conditionalFormatting sqref="I88">
    <cfRule type="notContainsBlanks" dxfId="6607" priority="6796">
      <formula>LEN(TRIM(I88))&gt;0</formula>
    </cfRule>
  </conditionalFormatting>
  <conditionalFormatting sqref="S94">
    <cfRule type="expression" dxfId="6606" priority="6794">
      <formula>$S$28&gt;0</formula>
    </cfRule>
    <cfRule type="cellIs" dxfId="6605" priority="6795" operator="equal">
      <formula>0</formula>
    </cfRule>
  </conditionalFormatting>
  <conditionalFormatting sqref="S95">
    <cfRule type="expression" dxfId="6604" priority="6792">
      <formula>$S$28&gt;0</formula>
    </cfRule>
    <cfRule type="cellIs" dxfId="6603" priority="6793" operator="equal">
      <formula>0</formula>
    </cfRule>
  </conditionalFormatting>
  <conditionalFormatting sqref="S101">
    <cfRule type="cellIs" dxfId="6602" priority="6720" operator="greaterThan">
      <formula>0</formula>
    </cfRule>
    <cfRule type="top10" dxfId="6601" priority="6721" rank="10"/>
  </conditionalFormatting>
  <conditionalFormatting sqref="B116">
    <cfRule type="cellIs" dxfId="6600" priority="6716" operator="equal">
      <formula>"NO CUMPLE CON LA EXPERIENCIA REQUERIDA"</formula>
    </cfRule>
    <cfRule type="cellIs" dxfId="6599" priority="6717" operator="equal">
      <formula>"CUMPLE CON LA EXPERIENCIA REQUERIDA"</formula>
    </cfRule>
  </conditionalFormatting>
  <conditionalFormatting sqref="H101 H110 H113">
    <cfRule type="notContainsBlanks" dxfId="6598" priority="6715">
      <formula>LEN(TRIM(H101))&gt;0</formula>
    </cfRule>
  </conditionalFormatting>
  <conditionalFormatting sqref="G101">
    <cfRule type="notContainsBlanks" dxfId="6597" priority="6714">
      <formula>LEN(TRIM(G101))&gt;0</formula>
    </cfRule>
  </conditionalFormatting>
  <conditionalFormatting sqref="F101">
    <cfRule type="notContainsBlanks" dxfId="6596" priority="6713">
      <formula>LEN(TRIM(F101))&gt;0</formula>
    </cfRule>
  </conditionalFormatting>
  <conditionalFormatting sqref="E101">
    <cfRule type="notContainsBlanks" dxfId="6595" priority="6712">
      <formula>LEN(TRIM(E101))&gt;0</formula>
    </cfRule>
  </conditionalFormatting>
  <conditionalFormatting sqref="D101">
    <cfRule type="notContainsBlanks" dxfId="6594" priority="6711">
      <formula>LEN(TRIM(D101))&gt;0</formula>
    </cfRule>
  </conditionalFormatting>
  <conditionalFormatting sqref="C101">
    <cfRule type="notContainsBlanks" dxfId="6593" priority="6710">
      <formula>LEN(TRIM(C101))&gt;0</formula>
    </cfRule>
  </conditionalFormatting>
  <conditionalFormatting sqref="I101">
    <cfRule type="notContainsBlanks" dxfId="6592" priority="6709">
      <formula>LEN(TRIM(I101))&gt;0</formula>
    </cfRule>
  </conditionalFormatting>
  <conditionalFormatting sqref="S104">
    <cfRule type="cellIs" dxfId="6591" priority="6691" operator="greaterThan">
      <formula>0</formula>
    </cfRule>
    <cfRule type="top10" dxfId="6590" priority="6692" rank="10"/>
  </conditionalFormatting>
  <conditionalFormatting sqref="S107">
    <cfRule type="cellIs" dxfId="6589" priority="6675" operator="greaterThan">
      <formula>0</formula>
    </cfRule>
    <cfRule type="top10" dxfId="6588" priority="6676" rank="10"/>
  </conditionalFormatting>
  <conditionalFormatting sqref="G107">
    <cfRule type="notContainsBlanks" dxfId="6587" priority="6674">
      <formula>LEN(TRIM(G107))&gt;0</formula>
    </cfRule>
  </conditionalFormatting>
  <conditionalFormatting sqref="F107">
    <cfRule type="notContainsBlanks" dxfId="6586" priority="6673">
      <formula>LEN(TRIM(F107))&gt;0</formula>
    </cfRule>
  </conditionalFormatting>
  <conditionalFormatting sqref="E107">
    <cfRule type="notContainsBlanks" dxfId="6585" priority="6672">
      <formula>LEN(TRIM(E107))&gt;0</formula>
    </cfRule>
  </conditionalFormatting>
  <conditionalFormatting sqref="D107">
    <cfRule type="notContainsBlanks" dxfId="6584" priority="6671">
      <formula>LEN(TRIM(D107))&gt;0</formula>
    </cfRule>
  </conditionalFormatting>
  <conditionalFormatting sqref="C107">
    <cfRule type="notContainsBlanks" dxfId="6583" priority="6670">
      <formula>LEN(TRIM(C107))&gt;0</formula>
    </cfRule>
  </conditionalFormatting>
  <conditionalFormatting sqref="S110">
    <cfRule type="cellIs" dxfId="6582" priority="6653" operator="greaterThan">
      <formula>0</formula>
    </cfRule>
    <cfRule type="top10" dxfId="6581" priority="6654" rank="10"/>
  </conditionalFormatting>
  <conditionalFormatting sqref="S113">
    <cfRule type="cellIs" dxfId="6580" priority="6637" operator="greaterThan">
      <formula>0</formula>
    </cfRule>
    <cfRule type="top10" dxfId="6579" priority="6638" rank="10"/>
  </conditionalFormatting>
  <conditionalFormatting sqref="G113">
    <cfRule type="notContainsBlanks" dxfId="6578" priority="6636">
      <formula>LEN(TRIM(G113))&gt;0</formula>
    </cfRule>
  </conditionalFormatting>
  <conditionalFormatting sqref="F113">
    <cfRule type="notContainsBlanks" dxfId="6577" priority="6635">
      <formula>LEN(TRIM(F113))&gt;0</formula>
    </cfRule>
  </conditionalFormatting>
  <conditionalFormatting sqref="E113">
    <cfRule type="notContainsBlanks" dxfId="6576" priority="6634">
      <formula>LEN(TRIM(E113))&gt;0</formula>
    </cfRule>
  </conditionalFormatting>
  <conditionalFormatting sqref="D113">
    <cfRule type="notContainsBlanks" dxfId="6575" priority="6633">
      <formula>LEN(TRIM(D113))&gt;0</formula>
    </cfRule>
  </conditionalFormatting>
  <conditionalFormatting sqref="C113">
    <cfRule type="notContainsBlanks" dxfId="6574" priority="6632">
      <formula>LEN(TRIM(C113))&gt;0</formula>
    </cfRule>
  </conditionalFormatting>
  <conditionalFormatting sqref="I113">
    <cfRule type="notContainsBlanks" dxfId="6573" priority="6631">
      <formula>LEN(TRIM(I113))&gt;0</formula>
    </cfRule>
  </conditionalFormatting>
  <conditionalFormatting sqref="G104">
    <cfRule type="notContainsBlanks" dxfId="6572" priority="6624">
      <formula>LEN(TRIM(G104))&gt;0</formula>
    </cfRule>
  </conditionalFormatting>
  <conditionalFormatting sqref="F104">
    <cfRule type="notContainsBlanks" dxfId="6571" priority="6623">
      <formula>LEN(TRIM(F104))&gt;0</formula>
    </cfRule>
  </conditionalFormatting>
  <conditionalFormatting sqref="E104">
    <cfRule type="notContainsBlanks" dxfId="6570" priority="6622">
      <formula>LEN(TRIM(E104))&gt;0</formula>
    </cfRule>
  </conditionalFormatting>
  <conditionalFormatting sqref="D104">
    <cfRule type="notContainsBlanks" dxfId="6569" priority="6621">
      <formula>LEN(TRIM(D104))&gt;0</formula>
    </cfRule>
  </conditionalFormatting>
  <conditionalFormatting sqref="C104">
    <cfRule type="notContainsBlanks" dxfId="6568" priority="6620">
      <formula>LEN(TRIM(C104))&gt;0</formula>
    </cfRule>
  </conditionalFormatting>
  <conditionalFormatting sqref="G110">
    <cfRule type="notContainsBlanks" dxfId="6567" priority="6619">
      <formula>LEN(TRIM(G110))&gt;0</formula>
    </cfRule>
  </conditionalFormatting>
  <conditionalFormatting sqref="F110">
    <cfRule type="notContainsBlanks" dxfId="6566" priority="6618">
      <formula>LEN(TRIM(F110))&gt;0</formula>
    </cfRule>
  </conditionalFormatting>
  <conditionalFormatting sqref="E110">
    <cfRule type="notContainsBlanks" dxfId="6565" priority="6617">
      <formula>LEN(TRIM(E110))&gt;0</formula>
    </cfRule>
  </conditionalFormatting>
  <conditionalFormatting sqref="D110">
    <cfRule type="notContainsBlanks" dxfId="6564" priority="6616">
      <formula>LEN(TRIM(D110))&gt;0</formula>
    </cfRule>
  </conditionalFormatting>
  <conditionalFormatting sqref="C110">
    <cfRule type="notContainsBlanks" dxfId="6563" priority="6615">
      <formula>LEN(TRIM(C110))&gt;0</formula>
    </cfRule>
  </conditionalFormatting>
  <conditionalFormatting sqref="I110">
    <cfRule type="notContainsBlanks" dxfId="6562" priority="6613">
      <formula>LEN(TRIM(I110))&gt;0</formula>
    </cfRule>
  </conditionalFormatting>
  <conditionalFormatting sqref="S116">
    <cfRule type="expression" dxfId="6561" priority="6611">
      <formula>$S$28&gt;0</formula>
    </cfRule>
    <cfRule type="cellIs" dxfId="6560" priority="6612" operator="equal">
      <formula>0</formula>
    </cfRule>
  </conditionalFormatting>
  <conditionalFormatting sqref="S117">
    <cfRule type="expression" dxfId="6559" priority="6609">
      <formula>$S$28&gt;0</formula>
    </cfRule>
    <cfRule type="cellIs" dxfId="6558" priority="6610" operator="equal">
      <formula>0</formula>
    </cfRule>
  </conditionalFormatting>
  <conditionalFormatting sqref="S123">
    <cfRule type="cellIs" dxfId="6557" priority="6537" operator="greaterThan">
      <formula>0</formula>
    </cfRule>
    <cfRule type="top10" dxfId="6556" priority="6538" rank="10"/>
  </conditionalFormatting>
  <conditionalFormatting sqref="B138">
    <cfRule type="cellIs" dxfId="6555" priority="6533" operator="equal">
      <formula>"NO CUMPLE CON LA EXPERIENCIA REQUERIDA"</formula>
    </cfRule>
    <cfRule type="cellIs" dxfId="6554" priority="6534" operator="equal">
      <formula>"CUMPLE CON LA EXPERIENCIA REQUERIDA"</formula>
    </cfRule>
  </conditionalFormatting>
  <conditionalFormatting sqref="H123 H132 H135">
    <cfRule type="notContainsBlanks" dxfId="6553" priority="6532">
      <formula>LEN(TRIM(H123))&gt;0</formula>
    </cfRule>
  </conditionalFormatting>
  <conditionalFormatting sqref="G123">
    <cfRule type="notContainsBlanks" dxfId="6552" priority="6531">
      <formula>LEN(TRIM(G123))&gt;0</formula>
    </cfRule>
  </conditionalFormatting>
  <conditionalFormatting sqref="F123">
    <cfRule type="notContainsBlanks" dxfId="6551" priority="6530">
      <formula>LEN(TRIM(F123))&gt;0</formula>
    </cfRule>
  </conditionalFormatting>
  <conditionalFormatting sqref="E123">
    <cfRule type="notContainsBlanks" dxfId="6550" priority="6529">
      <formula>LEN(TRIM(E123))&gt;0</formula>
    </cfRule>
  </conditionalFormatting>
  <conditionalFormatting sqref="D123">
    <cfRule type="notContainsBlanks" dxfId="6549" priority="6528">
      <formula>LEN(TRIM(D123))&gt;0</formula>
    </cfRule>
  </conditionalFormatting>
  <conditionalFormatting sqref="C123">
    <cfRule type="notContainsBlanks" dxfId="6548" priority="6527">
      <formula>LEN(TRIM(C123))&gt;0</formula>
    </cfRule>
  </conditionalFormatting>
  <conditionalFormatting sqref="I123">
    <cfRule type="notContainsBlanks" dxfId="6547" priority="6526">
      <formula>LEN(TRIM(I123))&gt;0</formula>
    </cfRule>
  </conditionalFormatting>
  <conditionalFormatting sqref="S126">
    <cfRule type="cellIs" dxfId="6546" priority="6508" operator="greaterThan">
      <formula>0</formula>
    </cfRule>
    <cfRule type="top10" dxfId="6545" priority="6509" rank="10"/>
  </conditionalFormatting>
  <conditionalFormatting sqref="S129">
    <cfRule type="cellIs" dxfId="6544" priority="6492" operator="greaterThan">
      <formula>0</formula>
    </cfRule>
    <cfRule type="top10" dxfId="6543" priority="6493" rank="10"/>
  </conditionalFormatting>
  <conditionalFormatting sqref="G129">
    <cfRule type="notContainsBlanks" dxfId="6542" priority="6491">
      <formula>LEN(TRIM(G129))&gt;0</formula>
    </cfRule>
  </conditionalFormatting>
  <conditionalFormatting sqref="F129">
    <cfRule type="notContainsBlanks" dxfId="6541" priority="6490">
      <formula>LEN(TRIM(F129))&gt;0</formula>
    </cfRule>
  </conditionalFormatting>
  <conditionalFormatting sqref="E129">
    <cfRule type="notContainsBlanks" dxfId="6540" priority="6489">
      <formula>LEN(TRIM(E129))&gt;0</formula>
    </cfRule>
  </conditionalFormatting>
  <conditionalFormatting sqref="D129">
    <cfRule type="notContainsBlanks" dxfId="6539" priority="6488">
      <formula>LEN(TRIM(D129))&gt;0</formula>
    </cfRule>
  </conditionalFormatting>
  <conditionalFormatting sqref="C129">
    <cfRule type="notContainsBlanks" dxfId="6538" priority="6487">
      <formula>LEN(TRIM(C129))&gt;0</formula>
    </cfRule>
  </conditionalFormatting>
  <conditionalFormatting sqref="S132">
    <cfRule type="cellIs" dxfId="6537" priority="6470" operator="greaterThan">
      <formula>0</formula>
    </cfRule>
    <cfRule type="top10" dxfId="6536" priority="6471" rank="10"/>
  </conditionalFormatting>
  <conditionalFormatting sqref="S135">
    <cfRule type="cellIs" dxfId="6535" priority="6454" operator="greaterThan">
      <formula>0</formula>
    </cfRule>
    <cfRule type="top10" dxfId="6534" priority="6455" rank="10"/>
  </conditionalFormatting>
  <conditionalFormatting sqref="G135">
    <cfRule type="notContainsBlanks" dxfId="6533" priority="6453">
      <formula>LEN(TRIM(G135))&gt;0</formula>
    </cfRule>
  </conditionalFormatting>
  <conditionalFormatting sqref="F135">
    <cfRule type="notContainsBlanks" dxfId="6532" priority="6452">
      <formula>LEN(TRIM(F135))&gt;0</formula>
    </cfRule>
  </conditionalFormatting>
  <conditionalFormatting sqref="E135">
    <cfRule type="notContainsBlanks" dxfId="6531" priority="6451">
      <formula>LEN(TRIM(E135))&gt;0</formula>
    </cfRule>
  </conditionalFormatting>
  <conditionalFormatting sqref="D135">
    <cfRule type="notContainsBlanks" dxfId="6530" priority="6450">
      <formula>LEN(TRIM(D135))&gt;0</formula>
    </cfRule>
  </conditionalFormatting>
  <conditionalFormatting sqref="C135">
    <cfRule type="notContainsBlanks" dxfId="6529" priority="6449">
      <formula>LEN(TRIM(C135))&gt;0</formula>
    </cfRule>
  </conditionalFormatting>
  <conditionalFormatting sqref="I135">
    <cfRule type="notContainsBlanks" dxfId="6528" priority="6448">
      <formula>LEN(TRIM(I135))&gt;0</formula>
    </cfRule>
  </conditionalFormatting>
  <conditionalFormatting sqref="G126">
    <cfRule type="notContainsBlanks" dxfId="6527" priority="6441">
      <formula>LEN(TRIM(G126))&gt;0</formula>
    </cfRule>
  </conditionalFormatting>
  <conditionalFormatting sqref="F126">
    <cfRule type="notContainsBlanks" dxfId="6526" priority="6440">
      <formula>LEN(TRIM(F126))&gt;0</formula>
    </cfRule>
  </conditionalFormatting>
  <conditionalFormatting sqref="E126">
    <cfRule type="notContainsBlanks" dxfId="6525" priority="6439">
      <formula>LEN(TRIM(E126))&gt;0</formula>
    </cfRule>
  </conditionalFormatting>
  <conditionalFormatting sqref="D126">
    <cfRule type="notContainsBlanks" dxfId="6524" priority="6438">
      <formula>LEN(TRIM(D126))&gt;0</formula>
    </cfRule>
  </conditionalFormatting>
  <conditionalFormatting sqref="C126">
    <cfRule type="notContainsBlanks" dxfId="6523" priority="6437">
      <formula>LEN(TRIM(C126))&gt;0</formula>
    </cfRule>
  </conditionalFormatting>
  <conditionalFormatting sqref="G132">
    <cfRule type="notContainsBlanks" dxfId="6522" priority="6436">
      <formula>LEN(TRIM(G132))&gt;0</formula>
    </cfRule>
  </conditionalFormatting>
  <conditionalFormatting sqref="F132">
    <cfRule type="notContainsBlanks" dxfId="6521" priority="6435">
      <formula>LEN(TRIM(F132))&gt;0</formula>
    </cfRule>
  </conditionalFormatting>
  <conditionalFormatting sqref="E132">
    <cfRule type="notContainsBlanks" dxfId="6520" priority="6434">
      <formula>LEN(TRIM(E132))&gt;0</formula>
    </cfRule>
  </conditionalFormatting>
  <conditionalFormatting sqref="D132">
    <cfRule type="notContainsBlanks" dxfId="6519" priority="6433">
      <formula>LEN(TRIM(D132))&gt;0</formula>
    </cfRule>
  </conditionalFormatting>
  <conditionalFormatting sqref="C132">
    <cfRule type="notContainsBlanks" dxfId="6518" priority="6432">
      <formula>LEN(TRIM(C132))&gt;0</formula>
    </cfRule>
  </conditionalFormatting>
  <conditionalFormatting sqref="I132">
    <cfRule type="notContainsBlanks" dxfId="6517" priority="6430">
      <formula>LEN(TRIM(I132))&gt;0</formula>
    </cfRule>
  </conditionalFormatting>
  <conditionalFormatting sqref="S138">
    <cfRule type="expression" dxfId="6516" priority="6428">
      <formula>$S$28&gt;0</formula>
    </cfRule>
    <cfRule type="cellIs" dxfId="6515" priority="6429" operator="equal">
      <formula>0</formula>
    </cfRule>
  </conditionalFormatting>
  <conditionalFormatting sqref="S139">
    <cfRule type="expression" dxfId="6514" priority="6426">
      <formula>$S$28&gt;0</formula>
    </cfRule>
    <cfRule type="cellIs" dxfId="6513" priority="6427" operator="equal">
      <formula>0</formula>
    </cfRule>
  </conditionalFormatting>
  <conditionalFormatting sqref="S145">
    <cfRule type="cellIs" dxfId="6512" priority="6354" operator="greaterThan">
      <formula>0</formula>
    </cfRule>
    <cfRule type="top10" dxfId="6511" priority="6355" rank="10"/>
  </conditionalFormatting>
  <conditionalFormatting sqref="B160">
    <cfRule type="cellIs" dxfId="6510" priority="6350" operator="equal">
      <formula>"NO CUMPLE CON LA EXPERIENCIA REQUERIDA"</formula>
    </cfRule>
    <cfRule type="cellIs" dxfId="6509" priority="6351" operator="equal">
      <formula>"CUMPLE CON LA EXPERIENCIA REQUERIDA"</formula>
    </cfRule>
  </conditionalFormatting>
  <conditionalFormatting sqref="H145 H148 H151 H154 H157">
    <cfRule type="notContainsBlanks" dxfId="6508" priority="6349">
      <formula>LEN(TRIM(H145))&gt;0</formula>
    </cfRule>
  </conditionalFormatting>
  <conditionalFormatting sqref="G145">
    <cfRule type="notContainsBlanks" dxfId="6507" priority="6348">
      <formula>LEN(TRIM(G145))&gt;0</formula>
    </cfRule>
  </conditionalFormatting>
  <conditionalFormatting sqref="F145">
    <cfRule type="notContainsBlanks" dxfId="6506" priority="6347">
      <formula>LEN(TRIM(F145))&gt;0</formula>
    </cfRule>
  </conditionalFormatting>
  <conditionalFormatting sqref="E145">
    <cfRule type="notContainsBlanks" dxfId="6505" priority="6346">
      <formula>LEN(TRIM(E145))&gt;0</formula>
    </cfRule>
  </conditionalFormatting>
  <conditionalFormatting sqref="D145">
    <cfRule type="notContainsBlanks" dxfId="6504" priority="6345">
      <formula>LEN(TRIM(D145))&gt;0</formula>
    </cfRule>
  </conditionalFormatting>
  <conditionalFormatting sqref="C145">
    <cfRule type="notContainsBlanks" dxfId="6503" priority="6344">
      <formula>LEN(TRIM(C145))&gt;0</formula>
    </cfRule>
  </conditionalFormatting>
  <conditionalFormatting sqref="I145">
    <cfRule type="notContainsBlanks" dxfId="6502" priority="6343">
      <formula>LEN(TRIM(I145))&gt;0</formula>
    </cfRule>
  </conditionalFormatting>
  <conditionalFormatting sqref="S148">
    <cfRule type="cellIs" dxfId="6501" priority="6325" operator="greaterThan">
      <formula>0</formula>
    </cfRule>
    <cfRule type="top10" dxfId="6500" priority="6326" rank="10"/>
  </conditionalFormatting>
  <conditionalFormatting sqref="S151">
    <cfRule type="cellIs" dxfId="6499" priority="6309" operator="greaterThan">
      <formula>0</formula>
    </cfRule>
    <cfRule type="top10" dxfId="6498" priority="6310" rank="10"/>
  </conditionalFormatting>
  <conditionalFormatting sqref="G151">
    <cfRule type="notContainsBlanks" dxfId="6497" priority="6308">
      <formula>LEN(TRIM(G151))&gt;0</formula>
    </cfRule>
  </conditionalFormatting>
  <conditionalFormatting sqref="F151">
    <cfRule type="notContainsBlanks" dxfId="6496" priority="6307">
      <formula>LEN(TRIM(F151))&gt;0</formula>
    </cfRule>
  </conditionalFormatting>
  <conditionalFormatting sqref="E151">
    <cfRule type="notContainsBlanks" dxfId="6495" priority="6306">
      <formula>LEN(TRIM(E151))&gt;0</formula>
    </cfRule>
  </conditionalFormatting>
  <conditionalFormatting sqref="D151">
    <cfRule type="notContainsBlanks" dxfId="6494" priority="6305">
      <formula>LEN(TRIM(D151))&gt;0</formula>
    </cfRule>
  </conditionalFormatting>
  <conditionalFormatting sqref="C151">
    <cfRule type="notContainsBlanks" dxfId="6493" priority="6304">
      <formula>LEN(TRIM(C151))&gt;0</formula>
    </cfRule>
  </conditionalFormatting>
  <conditionalFormatting sqref="I151">
    <cfRule type="notContainsBlanks" dxfId="6492" priority="6303">
      <formula>LEN(TRIM(I151))&gt;0</formula>
    </cfRule>
  </conditionalFormatting>
  <conditionalFormatting sqref="S154">
    <cfRule type="cellIs" dxfId="6491" priority="6287" operator="greaterThan">
      <formula>0</formula>
    </cfRule>
    <cfRule type="top10" dxfId="6490" priority="6288" rank="10"/>
  </conditionalFormatting>
  <conditionalFormatting sqref="S157">
    <cfRule type="cellIs" dxfId="6489" priority="6271" operator="greaterThan">
      <formula>0</formula>
    </cfRule>
    <cfRule type="top10" dxfId="6488" priority="6272" rank="10"/>
  </conditionalFormatting>
  <conditionalFormatting sqref="G157">
    <cfRule type="notContainsBlanks" dxfId="6487" priority="6270">
      <formula>LEN(TRIM(G157))&gt;0</formula>
    </cfRule>
  </conditionalFormatting>
  <conditionalFormatting sqref="F157">
    <cfRule type="notContainsBlanks" dxfId="6486" priority="6269">
      <formula>LEN(TRIM(F157))&gt;0</formula>
    </cfRule>
  </conditionalFormatting>
  <conditionalFormatting sqref="E157">
    <cfRule type="notContainsBlanks" dxfId="6485" priority="6268">
      <formula>LEN(TRIM(E157))&gt;0</formula>
    </cfRule>
  </conditionalFormatting>
  <conditionalFormatting sqref="D157">
    <cfRule type="notContainsBlanks" dxfId="6484" priority="6267">
      <formula>LEN(TRIM(D157))&gt;0</formula>
    </cfRule>
  </conditionalFormatting>
  <conditionalFormatting sqref="C157">
    <cfRule type="notContainsBlanks" dxfId="6483" priority="6266">
      <formula>LEN(TRIM(C157))&gt;0</formula>
    </cfRule>
  </conditionalFormatting>
  <conditionalFormatting sqref="I157">
    <cfRule type="notContainsBlanks" dxfId="6482" priority="6265">
      <formula>LEN(TRIM(I157))&gt;0</formula>
    </cfRule>
  </conditionalFormatting>
  <conditionalFormatting sqref="G148">
    <cfRule type="notContainsBlanks" dxfId="6481" priority="6258">
      <formula>LEN(TRIM(G148))&gt;0</formula>
    </cfRule>
  </conditionalFormatting>
  <conditionalFormatting sqref="E148">
    <cfRule type="notContainsBlanks" dxfId="6480" priority="6256">
      <formula>LEN(TRIM(E148))&gt;0</formula>
    </cfRule>
  </conditionalFormatting>
  <conditionalFormatting sqref="D148">
    <cfRule type="notContainsBlanks" dxfId="6479" priority="6255">
      <formula>LEN(TRIM(D148))&gt;0</formula>
    </cfRule>
  </conditionalFormatting>
  <conditionalFormatting sqref="C148">
    <cfRule type="notContainsBlanks" dxfId="6478" priority="6254">
      <formula>LEN(TRIM(C148))&gt;0</formula>
    </cfRule>
  </conditionalFormatting>
  <conditionalFormatting sqref="G154">
    <cfRule type="notContainsBlanks" dxfId="6477" priority="6253">
      <formula>LEN(TRIM(G154))&gt;0</formula>
    </cfRule>
  </conditionalFormatting>
  <conditionalFormatting sqref="F154">
    <cfRule type="notContainsBlanks" dxfId="6476" priority="6252">
      <formula>LEN(TRIM(F154))&gt;0</formula>
    </cfRule>
  </conditionalFormatting>
  <conditionalFormatting sqref="E154">
    <cfRule type="notContainsBlanks" dxfId="6475" priority="6251">
      <formula>LEN(TRIM(E154))&gt;0</formula>
    </cfRule>
  </conditionalFormatting>
  <conditionalFormatting sqref="D154">
    <cfRule type="notContainsBlanks" dxfId="6474" priority="6250">
      <formula>LEN(TRIM(D154))&gt;0</formula>
    </cfRule>
  </conditionalFormatting>
  <conditionalFormatting sqref="C154">
    <cfRule type="notContainsBlanks" dxfId="6473" priority="6249">
      <formula>LEN(TRIM(C154))&gt;0</formula>
    </cfRule>
  </conditionalFormatting>
  <conditionalFormatting sqref="I148">
    <cfRule type="notContainsBlanks" dxfId="6472" priority="6248">
      <formula>LEN(TRIM(I148))&gt;0</formula>
    </cfRule>
  </conditionalFormatting>
  <conditionalFormatting sqref="I154">
    <cfRule type="notContainsBlanks" dxfId="6471" priority="6247">
      <formula>LEN(TRIM(I154))&gt;0</formula>
    </cfRule>
  </conditionalFormatting>
  <conditionalFormatting sqref="S160">
    <cfRule type="expression" dxfId="6470" priority="6245">
      <formula>$S$28&gt;0</formula>
    </cfRule>
    <cfRule type="cellIs" dxfId="6469" priority="6246" operator="equal">
      <formula>0</formula>
    </cfRule>
  </conditionalFormatting>
  <conditionalFormatting sqref="S161">
    <cfRule type="expression" dxfId="6468" priority="6243">
      <formula>$S$28&gt;0</formula>
    </cfRule>
    <cfRule type="cellIs" dxfId="6467" priority="6244" operator="equal">
      <formula>0</formula>
    </cfRule>
  </conditionalFormatting>
  <conditionalFormatting sqref="N157">
    <cfRule type="expression" dxfId="6466" priority="6204">
      <formula>N157=" "</formula>
    </cfRule>
    <cfRule type="expression" dxfId="6465" priority="6205">
      <formula>N157="NO PRESENTÓ CERTIFICADO"</formula>
    </cfRule>
    <cfRule type="expression" dxfId="6464" priority="6206">
      <formula>N157="PRESENTÓ CERTIFICADO"</formula>
    </cfRule>
  </conditionalFormatting>
  <conditionalFormatting sqref="O157">
    <cfRule type="cellIs" dxfId="6463" priority="6186" operator="equal">
      <formula>"PENDIENTE POR DESCRIPCIÓN"</formula>
    </cfRule>
    <cfRule type="cellIs" dxfId="6462" priority="6187" operator="equal">
      <formula>"DESCRIPCIÓN INSUFICIENTE"</formula>
    </cfRule>
    <cfRule type="cellIs" dxfId="6461" priority="6188" operator="equal">
      <formula>"NO ESTÁ ACORDE A ITEM 5.2.2 (T.R.)"</formula>
    </cfRule>
    <cfRule type="cellIs" dxfId="6460" priority="6189" operator="equal">
      <formula>"ACORDE A ITEM 5.2.2 (T.R.)"</formula>
    </cfRule>
    <cfRule type="cellIs" dxfId="6459" priority="6196" operator="equal">
      <formula>"PENDIENTE POR DESCRIPCIÓN"</formula>
    </cfRule>
    <cfRule type="cellIs" dxfId="6458" priority="6198" operator="equal">
      <formula>"DESCRIPCIÓN INSUFICIENTE"</formula>
    </cfRule>
    <cfRule type="cellIs" dxfId="6457" priority="6199" operator="equal">
      <formula>"NO ESTÁ ACORDE A ITEM 5.2.1 (T.R.)"</formula>
    </cfRule>
    <cfRule type="cellIs" dxfId="6456" priority="6200" operator="equal">
      <formula>"ACORDE A ITEM 5.2.1 (T.R.)"</formula>
    </cfRule>
  </conditionalFormatting>
  <conditionalFormatting sqref="Q157">
    <cfRule type="containsBlanks" dxfId="6455" priority="6191">
      <formula>LEN(TRIM(Q157))=0</formula>
    </cfRule>
    <cfRule type="cellIs" dxfId="6454" priority="6197" operator="equal">
      <formula>"REQUERIMIENTOS SUBSANADOS"</formula>
    </cfRule>
    <cfRule type="containsText" dxfId="6453" priority="6201" operator="containsText" text="NO SUBSANABLE">
      <formula>NOT(ISERROR(SEARCH("NO SUBSANABLE",Q157)))</formula>
    </cfRule>
    <cfRule type="containsText" dxfId="6452" priority="6202" operator="containsText" text="PENDIENTES POR SUBSANAR">
      <formula>NOT(ISERROR(SEARCH("PENDIENTES POR SUBSANAR",Q157)))</formula>
    </cfRule>
    <cfRule type="containsText" dxfId="6451" priority="6203" operator="containsText" text="SIN OBSERVACIÓN">
      <formula>NOT(ISERROR(SEARCH("SIN OBSERVACIÓN",Q157)))</formula>
    </cfRule>
  </conditionalFormatting>
  <conditionalFormatting sqref="R157">
    <cfRule type="containsBlanks" dxfId="6450" priority="6190">
      <formula>LEN(TRIM(R157))=0</formula>
    </cfRule>
    <cfRule type="cellIs" dxfId="6449" priority="6192" operator="equal">
      <formula>"NO CUMPLEN CON LO SOLICITADO"</formula>
    </cfRule>
    <cfRule type="cellIs" dxfId="6448" priority="6193" operator="equal">
      <formula>"CUMPLEN CON LO SOLICITADO"</formula>
    </cfRule>
    <cfRule type="cellIs" dxfId="6447" priority="6194" operator="equal">
      <formula>"PENDIENTES"</formula>
    </cfRule>
    <cfRule type="cellIs" dxfId="6446" priority="6195" operator="equal">
      <formula>"NINGUNO"</formula>
    </cfRule>
  </conditionalFormatting>
  <conditionalFormatting sqref="P157">
    <cfRule type="expression" dxfId="6445" priority="6181">
      <formula>Q157="NO SUBSANABLE"</formula>
    </cfRule>
    <cfRule type="expression" dxfId="6444" priority="6182">
      <formula>Q157="REQUERIMIENTOS SUBSANADOS"</formula>
    </cfRule>
    <cfRule type="expression" dxfId="6443" priority="6183">
      <formula>Q157="PENDIENTES POR SUBSANAR"</formula>
    </cfRule>
    <cfRule type="expression" dxfId="6442" priority="6184">
      <formula>Q157="SIN OBSERVACIÓN"</formula>
    </cfRule>
    <cfRule type="containsBlanks" dxfId="6441" priority="6185">
      <formula>LEN(TRIM(P157))=0</formula>
    </cfRule>
  </conditionalFormatting>
  <conditionalFormatting sqref="S167">
    <cfRule type="cellIs" dxfId="6440" priority="6171" operator="greaterThan">
      <formula>0</formula>
    </cfRule>
    <cfRule type="top10" dxfId="6439" priority="6172" rank="10"/>
  </conditionalFormatting>
  <conditionalFormatting sqref="B182">
    <cfRule type="cellIs" dxfId="6438" priority="6167" operator="equal">
      <formula>"NO CUMPLE CON LA EXPERIENCIA REQUERIDA"</formula>
    </cfRule>
    <cfRule type="cellIs" dxfId="6437" priority="6168" operator="equal">
      <formula>"CUMPLE CON LA EXPERIENCIA REQUERIDA"</formula>
    </cfRule>
  </conditionalFormatting>
  <conditionalFormatting sqref="H167 H176 H179">
    <cfRule type="notContainsBlanks" dxfId="6436" priority="6166">
      <formula>LEN(TRIM(H167))&gt;0</formula>
    </cfRule>
  </conditionalFormatting>
  <conditionalFormatting sqref="G167">
    <cfRule type="notContainsBlanks" dxfId="6435" priority="6165">
      <formula>LEN(TRIM(G167))&gt;0</formula>
    </cfRule>
  </conditionalFormatting>
  <conditionalFormatting sqref="F167">
    <cfRule type="notContainsBlanks" dxfId="6434" priority="6164">
      <formula>LEN(TRIM(F167))&gt;0</formula>
    </cfRule>
  </conditionalFormatting>
  <conditionalFormatting sqref="E167">
    <cfRule type="notContainsBlanks" dxfId="6433" priority="6163">
      <formula>LEN(TRIM(E167))&gt;0</formula>
    </cfRule>
  </conditionalFormatting>
  <conditionalFormatting sqref="D167">
    <cfRule type="notContainsBlanks" dxfId="6432" priority="6162">
      <formula>LEN(TRIM(D167))&gt;0</formula>
    </cfRule>
  </conditionalFormatting>
  <conditionalFormatting sqref="C167">
    <cfRule type="notContainsBlanks" dxfId="6431" priority="6161">
      <formula>LEN(TRIM(C167))&gt;0</formula>
    </cfRule>
  </conditionalFormatting>
  <conditionalFormatting sqref="I167">
    <cfRule type="notContainsBlanks" dxfId="6430" priority="6160">
      <formula>LEN(TRIM(I167))&gt;0</formula>
    </cfRule>
  </conditionalFormatting>
  <conditionalFormatting sqref="S170">
    <cfRule type="cellIs" dxfId="6429" priority="6142" operator="greaterThan">
      <formula>0</formula>
    </cfRule>
    <cfRule type="top10" dxfId="6428" priority="6143" rank="10"/>
  </conditionalFormatting>
  <conditionalFormatting sqref="S173">
    <cfRule type="cellIs" dxfId="6427" priority="6126" operator="greaterThan">
      <formula>0</formula>
    </cfRule>
    <cfRule type="top10" dxfId="6426" priority="6127" rank="10"/>
  </conditionalFormatting>
  <conditionalFormatting sqref="G173">
    <cfRule type="notContainsBlanks" dxfId="6425" priority="6125">
      <formula>LEN(TRIM(G173))&gt;0</formula>
    </cfRule>
  </conditionalFormatting>
  <conditionalFormatting sqref="F173">
    <cfRule type="notContainsBlanks" dxfId="6424" priority="6124">
      <formula>LEN(TRIM(F173))&gt;0</formula>
    </cfRule>
  </conditionalFormatting>
  <conditionalFormatting sqref="E173">
    <cfRule type="notContainsBlanks" dxfId="6423" priority="6123">
      <formula>LEN(TRIM(E173))&gt;0</formula>
    </cfRule>
  </conditionalFormatting>
  <conditionalFormatting sqref="D173">
    <cfRule type="notContainsBlanks" dxfId="6422" priority="6122">
      <formula>LEN(TRIM(D173))&gt;0</formula>
    </cfRule>
  </conditionalFormatting>
  <conditionalFormatting sqref="C173">
    <cfRule type="notContainsBlanks" dxfId="6421" priority="6121">
      <formula>LEN(TRIM(C173))&gt;0</formula>
    </cfRule>
  </conditionalFormatting>
  <conditionalFormatting sqref="I173">
    <cfRule type="notContainsBlanks" dxfId="6420" priority="6120">
      <formula>LEN(TRIM(I173))&gt;0</formula>
    </cfRule>
  </conditionalFormatting>
  <conditionalFormatting sqref="S176">
    <cfRule type="cellIs" dxfId="6419" priority="6104" operator="greaterThan">
      <formula>0</formula>
    </cfRule>
    <cfRule type="top10" dxfId="6418" priority="6105" rank="10"/>
  </conditionalFormatting>
  <conditionalFormatting sqref="S179">
    <cfRule type="cellIs" dxfId="6417" priority="6088" operator="greaterThan">
      <formula>0</formula>
    </cfRule>
    <cfRule type="top10" dxfId="6416" priority="6089" rank="10"/>
  </conditionalFormatting>
  <conditionalFormatting sqref="G179">
    <cfRule type="notContainsBlanks" dxfId="6415" priority="6087">
      <formula>LEN(TRIM(G179))&gt;0</formula>
    </cfRule>
  </conditionalFormatting>
  <conditionalFormatting sqref="F179">
    <cfRule type="notContainsBlanks" dxfId="6414" priority="6086">
      <formula>LEN(TRIM(F179))&gt;0</formula>
    </cfRule>
  </conditionalFormatting>
  <conditionalFormatting sqref="E179">
    <cfRule type="notContainsBlanks" dxfId="6413" priority="6085">
      <formula>LEN(TRIM(E179))&gt;0</formula>
    </cfRule>
  </conditionalFormatting>
  <conditionalFormatting sqref="D179">
    <cfRule type="notContainsBlanks" dxfId="6412" priority="6084">
      <formula>LEN(TRIM(D179))&gt;0</formula>
    </cfRule>
  </conditionalFormatting>
  <conditionalFormatting sqref="C179">
    <cfRule type="notContainsBlanks" dxfId="6411" priority="6083">
      <formula>LEN(TRIM(C179))&gt;0</formula>
    </cfRule>
  </conditionalFormatting>
  <conditionalFormatting sqref="I179">
    <cfRule type="notContainsBlanks" dxfId="6410" priority="6082">
      <formula>LEN(TRIM(I179))&gt;0</formula>
    </cfRule>
  </conditionalFormatting>
  <conditionalFormatting sqref="G170">
    <cfRule type="notContainsBlanks" dxfId="6409" priority="6075">
      <formula>LEN(TRIM(G170))&gt;0</formula>
    </cfRule>
  </conditionalFormatting>
  <conditionalFormatting sqref="F170">
    <cfRule type="notContainsBlanks" dxfId="6408" priority="6074">
      <formula>LEN(TRIM(F170))&gt;0</formula>
    </cfRule>
  </conditionalFormatting>
  <conditionalFormatting sqref="E170">
    <cfRule type="notContainsBlanks" dxfId="6407" priority="6073">
      <formula>LEN(TRIM(E170))&gt;0</formula>
    </cfRule>
  </conditionalFormatting>
  <conditionalFormatting sqref="D170">
    <cfRule type="notContainsBlanks" dxfId="6406" priority="6072">
      <formula>LEN(TRIM(D170))&gt;0</formula>
    </cfRule>
  </conditionalFormatting>
  <conditionalFormatting sqref="C170">
    <cfRule type="notContainsBlanks" dxfId="6405" priority="6071">
      <formula>LEN(TRIM(C170))&gt;0</formula>
    </cfRule>
  </conditionalFormatting>
  <conditionalFormatting sqref="G176">
    <cfRule type="notContainsBlanks" dxfId="6404" priority="6070">
      <formula>LEN(TRIM(G176))&gt;0</formula>
    </cfRule>
  </conditionalFormatting>
  <conditionalFormatting sqref="F176">
    <cfRule type="notContainsBlanks" dxfId="6403" priority="6069">
      <formula>LEN(TRIM(F176))&gt;0</formula>
    </cfRule>
  </conditionalFormatting>
  <conditionalFormatting sqref="E176">
    <cfRule type="notContainsBlanks" dxfId="6402" priority="6068">
      <formula>LEN(TRIM(E176))&gt;0</formula>
    </cfRule>
  </conditionalFormatting>
  <conditionalFormatting sqref="D176">
    <cfRule type="notContainsBlanks" dxfId="6401" priority="6067">
      <formula>LEN(TRIM(D176))&gt;0</formula>
    </cfRule>
  </conditionalFormatting>
  <conditionalFormatting sqref="C176">
    <cfRule type="notContainsBlanks" dxfId="6400" priority="6066">
      <formula>LEN(TRIM(C176))&gt;0</formula>
    </cfRule>
  </conditionalFormatting>
  <conditionalFormatting sqref="I170">
    <cfRule type="notContainsBlanks" dxfId="6399" priority="6065">
      <formula>LEN(TRIM(I170))&gt;0</formula>
    </cfRule>
  </conditionalFormatting>
  <conditionalFormatting sqref="I176">
    <cfRule type="notContainsBlanks" dxfId="6398" priority="6064">
      <formula>LEN(TRIM(I176))&gt;0</formula>
    </cfRule>
  </conditionalFormatting>
  <conditionalFormatting sqref="S182">
    <cfRule type="expression" dxfId="6397" priority="6062">
      <formula>$S$28&gt;0</formula>
    </cfRule>
    <cfRule type="cellIs" dxfId="6396" priority="6063" operator="equal">
      <formula>0</formula>
    </cfRule>
  </conditionalFormatting>
  <conditionalFormatting sqref="S183">
    <cfRule type="expression" dxfId="6395" priority="6060">
      <formula>$S$28&gt;0</formula>
    </cfRule>
    <cfRule type="cellIs" dxfId="6394" priority="6061" operator="equal">
      <formula>0</formula>
    </cfRule>
  </conditionalFormatting>
  <conditionalFormatting sqref="B204">
    <cfRule type="cellIs" dxfId="6393" priority="5984" operator="equal">
      <formula>"NO CUMPLE CON LA EXPERIENCIA REQUERIDA"</formula>
    </cfRule>
    <cfRule type="cellIs" dxfId="6392" priority="5985" operator="equal">
      <formula>"CUMPLE CON LA EXPERIENCIA REQUERIDA"</formula>
    </cfRule>
  </conditionalFormatting>
  <conditionalFormatting sqref="H189 H192 H195 H198 H201">
    <cfRule type="notContainsBlanks" dxfId="6391" priority="5983">
      <formula>LEN(TRIM(H189))&gt;0</formula>
    </cfRule>
  </conditionalFormatting>
  <conditionalFormatting sqref="G189">
    <cfRule type="notContainsBlanks" dxfId="6390" priority="5982">
      <formula>LEN(TRIM(G189))&gt;0</formula>
    </cfRule>
  </conditionalFormatting>
  <conditionalFormatting sqref="F189">
    <cfRule type="notContainsBlanks" dxfId="6389" priority="5981">
      <formula>LEN(TRIM(F189))&gt;0</formula>
    </cfRule>
  </conditionalFormatting>
  <conditionalFormatting sqref="E189">
    <cfRule type="notContainsBlanks" dxfId="6388" priority="5980">
      <formula>LEN(TRIM(E189))&gt;0</formula>
    </cfRule>
  </conditionalFormatting>
  <conditionalFormatting sqref="D189">
    <cfRule type="notContainsBlanks" dxfId="6387" priority="5979">
      <formula>LEN(TRIM(D189))&gt;0</formula>
    </cfRule>
  </conditionalFormatting>
  <conditionalFormatting sqref="C189">
    <cfRule type="notContainsBlanks" dxfId="6386" priority="5978">
      <formula>LEN(TRIM(C189))&gt;0</formula>
    </cfRule>
  </conditionalFormatting>
  <conditionalFormatting sqref="I189">
    <cfRule type="notContainsBlanks" dxfId="6385" priority="5977">
      <formula>LEN(TRIM(I189))&gt;0</formula>
    </cfRule>
  </conditionalFormatting>
  <conditionalFormatting sqref="S192">
    <cfRule type="cellIs" dxfId="6384" priority="5959" operator="greaterThan">
      <formula>0</formula>
    </cfRule>
    <cfRule type="top10" dxfId="6383" priority="5960" rank="10"/>
  </conditionalFormatting>
  <conditionalFormatting sqref="S195">
    <cfRule type="cellIs" dxfId="6382" priority="5943" operator="greaterThan">
      <formula>0</formula>
    </cfRule>
    <cfRule type="top10" dxfId="6381" priority="5944" rank="10"/>
  </conditionalFormatting>
  <conditionalFormatting sqref="G195">
    <cfRule type="notContainsBlanks" dxfId="6380" priority="5942">
      <formula>LEN(TRIM(G195))&gt;0</formula>
    </cfRule>
  </conditionalFormatting>
  <conditionalFormatting sqref="F195">
    <cfRule type="notContainsBlanks" dxfId="6379" priority="5941">
      <formula>LEN(TRIM(F195))&gt;0</formula>
    </cfRule>
  </conditionalFormatting>
  <conditionalFormatting sqref="E195">
    <cfRule type="notContainsBlanks" dxfId="6378" priority="5940">
      <formula>LEN(TRIM(E195))&gt;0</formula>
    </cfRule>
  </conditionalFormatting>
  <conditionalFormatting sqref="D195">
    <cfRule type="notContainsBlanks" dxfId="6377" priority="5939">
      <formula>LEN(TRIM(D195))&gt;0</formula>
    </cfRule>
  </conditionalFormatting>
  <conditionalFormatting sqref="C195">
    <cfRule type="notContainsBlanks" dxfId="6376" priority="5938">
      <formula>LEN(TRIM(C195))&gt;0</formula>
    </cfRule>
  </conditionalFormatting>
  <conditionalFormatting sqref="I195">
    <cfRule type="notContainsBlanks" dxfId="6375" priority="5937">
      <formula>LEN(TRIM(I195))&gt;0</formula>
    </cfRule>
  </conditionalFormatting>
  <conditionalFormatting sqref="S198">
    <cfRule type="cellIs" dxfId="6374" priority="5921" operator="greaterThan">
      <formula>0</formula>
    </cfRule>
    <cfRule type="top10" dxfId="6373" priority="5922" rank="10"/>
  </conditionalFormatting>
  <conditionalFormatting sqref="S201">
    <cfRule type="cellIs" dxfId="6372" priority="5905" operator="greaterThan">
      <formula>0</formula>
    </cfRule>
    <cfRule type="top10" dxfId="6371" priority="5906" rank="10"/>
  </conditionalFormatting>
  <conditionalFormatting sqref="G201">
    <cfRule type="notContainsBlanks" dxfId="6370" priority="5904">
      <formula>LEN(TRIM(G201))&gt;0</formula>
    </cfRule>
  </conditionalFormatting>
  <conditionalFormatting sqref="F201">
    <cfRule type="notContainsBlanks" dxfId="6369" priority="5903">
      <formula>LEN(TRIM(F201))&gt;0</formula>
    </cfRule>
  </conditionalFormatting>
  <conditionalFormatting sqref="E201">
    <cfRule type="notContainsBlanks" dxfId="6368" priority="5902">
      <formula>LEN(TRIM(E201))&gt;0</formula>
    </cfRule>
  </conditionalFormatting>
  <conditionalFormatting sqref="D201">
    <cfRule type="notContainsBlanks" dxfId="6367" priority="5901">
      <formula>LEN(TRIM(D201))&gt;0</formula>
    </cfRule>
  </conditionalFormatting>
  <conditionalFormatting sqref="C201">
    <cfRule type="notContainsBlanks" dxfId="6366" priority="5900">
      <formula>LEN(TRIM(C201))&gt;0</formula>
    </cfRule>
  </conditionalFormatting>
  <conditionalFormatting sqref="I201">
    <cfRule type="notContainsBlanks" dxfId="6365" priority="5899">
      <formula>LEN(TRIM(I201))&gt;0</formula>
    </cfRule>
  </conditionalFormatting>
  <conditionalFormatting sqref="G192">
    <cfRule type="notContainsBlanks" dxfId="6364" priority="5892">
      <formula>LEN(TRIM(G192))&gt;0</formula>
    </cfRule>
  </conditionalFormatting>
  <conditionalFormatting sqref="F192">
    <cfRule type="notContainsBlanks" dxfId="6363" priority="5891">
      <formula>LEN(TRIM(F192))&gt;0</formula>
    </cfRule>
  </conditionalFormatting>
  <conditionalFormatting sqref="E192">
    <cfRule type="notContainsBlanks" dxfId="6362" priority="5890">
      <formula>LEN(TRIM(E192))&gt;0</formula>
    </cfRule>
  </conditionalFormatting>
  <conditionalFormatting sqref="D192">
    <cfRule type="notContainsBlanks" dxfId="6361" priority="5889">
      <formula>LEN(TRIM(D192))&gt;0</formula>
    </cfRule>
  </conditionalFormatting>
  <conditionalFormatting sqref="C192">
    <cfRule type="notContainsBlanks" dxfId="6360" priority="5888">
      <formula>LEN(TRIM(C192))&gt;0</formula>
    </cfRule>
  </conditionalFormatting>
  <conditionalFormatting sqref="G198">
    <cfRule type="notContainsBlanks" dxfId="6359" priority="5887">
      <formula>LEN(TRIM(G198))&gt;0</formula>
    </cfRule>
  </conditionalFormatting>
  <conditionalFormatting sqref="F198">
    <cfRule type="notContainsBlanks" dxfId="6358" priority="5886">
      <formula>LEN(TRIM(F198))&gt;0</formula>
    </cfRule>
  </conditionalFormatting>
  <conditionalFormatting sqref="E198">
    <cfRule type="notContainsBlanks" dxfId="6357" priority="5885">
      <formula>LEN(TRIM(E198))&gt;0</formula>
    </cfRule>
  </conditionalFormatting>
  <conditionalFormatting sqref="D198">
    <cfRule type="notContainsBlanks" dxfId="6356" priority="5884">
      <formula>LEN(TRIM(D198))&gt;0</formula>
    </cfRule>
  </conditionalFormatting>
  <conditionalFormatting sqref="C198">
    <cfRule type="notContainsBlanks" dxfId="6355" priority="5883">
      <formula>LEN(TRIM(C198))&gt;0</formula>
    </cfRule>
  </conditionalFormatting>
  <conditionalFormatting sqref="I192">
    <cfRule type="notContainsBlanks" dxfId="6354" priority="5882">
      <formula>LEN(TRIM(I192))&gt;0</formula>
    </cfRule>
  </conditionalFormatting>
  <conditionalFormatting sqref="I198">
    <cfRule type="notContainsBlanks" dxfId="6353" priority="5881">
      <formula>LEN(TRIM(I198))&gt;0</formula>
    </cfRule>
  </conditionalFormatting>
  <conditionalFormatting sqref="S204">
    <cfRule type="expression" dxfId="6352" priority="5879">
      <formula>$S$28&gt;0</formula>
    </cfRule>
    <cfRule type="cellIs" dxfId="6351" priority="5880" operator="equal">
      <formula>0</formula>
    </cfRule>
  </conditionalFormatting>
  <conditionalFormatting sqref="S205">
    <cfRule type="expression" dxfId="6350" priority="5877">
      <formula>$S$28&gt;0</formula>
    </cfRule>
    <cfRule type="cellIs" dxfId="6349" priority="5878" operator="equal">
      <formula>0</formula>
    </cfRule>
  </conditionalFormatting>
  <conditionalFormatting sqref="N201">
    <cfRule type="expression" dxfId="6348" priority="5838">
      <formula>N201=" "</formula>
    </cfRule>
    <cfRule type="expression" dxfId="6347" priority="5839">
      <formula>N201="NO PRESENTÓ CERTIFICADO"</formula>
    </cfRule>
    <cfRule type="expression" dxfId="6346" priority="5840">
      <formula>N201="PRESENTÓ CERTIFICADO"</formula>
    </cfRule>
  </conditionalFormatting>
  <conditionalFormatting sqref="O201">
    <cfRule type="cellIs" dxfId="6345" priority="5820" operator="equal">
      <formula>"PENDIENTE POR DESCRIPCIÓN"</formula>
    </cfRule>
    <cfRule type="cellIs" dxfId="6344" priority="5821" operator="equal">
      <formula>"DESCRIPCIÓN INSUFICIENTE"</formula>
    </cfRule>
    <cfRule type="cellIs" dxfId="6343" priority="5822" operator="equal">
      <formula>"NO ESTÁ ACORDE A ITEM 5.2.2 (T.R.)"</formula>
    </cfRule>
    <cfRule type="cellIs" dxfId="6342" priority="5823" operator="equal">
      <formula>"ACORDE A ITEM 5.2.2 (T.R.)"</formula>
    </cfRule>
    <cfRule type="cellIs" dxfId="6341" priority="5830" operator="equal">
      <formula>"PENDIENTE POR DESCRIPCIÓN"</formula>
    </cfRule>
    <cfRule type="cellIs" dxfId="6340" priority="5832" operator="equal">
      <formula>"DESCRIPCIÓN INSUFICIENTE"</formula>
    </cfRule>
    <cfRule type="cellIs" dxfId="6339" priority="5833" operator="equal">
      <formula>"NO ESTÁ ACORDE A ITEM 5.2.1 (T.R.)"</formula>
    </cfRule>
    <cfRule type="cellIs" dxfId="6338" priority="5834" operator="equal">
      <formula>"ACORDE A ITEM 5.2.1 (T.R.)"</formula>
    </cfRule>
  </conditionalFormatting>
  <conditionalFormatting sqref="Q201">
    <cfRule type="containsBlanks" dxfId="6337" priority="5825">
      <formula>LEN(TRIM(Q201))=0</formula>
    </cfRule>
    <cfRule type="cellIs" dxfId="6336" priority="5831" operator="equal">
      <formula>"REQUERIMIENTOS SUBSANADOS"</formula>
    </cfRule>
    <cfRule type="containsText" dxfId="6335" priority="5835" operator="containsText" text="NO SUBSANABLE">
      <formula>NOT(ISERROR(SEARCH("NO SUBSANABLE",Q201)))</formula>
    </cfRule>
    <cfRule type="containsText" dxfId="6334" priority="5836" operator="containsText" text="PENDIENTES POR SUBSANAR">
      <formula>NOT(ISERROR(SEARCH("PENDIENTES POR SUBSANAR",Q201)))</formula>
    </cfRule>
    <cfRule type="containsText" dxfId="6333" priority="5837" operator="containsText" text="SIN OBSERVACIÓN">
      <formula>NOT(ISERROR(SEARCH("SIN OBSERVACIÓN",Q201)))</formula>
    </cfRule>
  </conditionalFormatting>
  <conditionalFormatting sqref="R201">
    <cfRule type="containsBlanks" dxfId="6332" priority="5824">
      <formula>LEN(TRIM(R201))=0</formula>
    </cfRule>
    <cfRule type="cellIs" dxfId="6331" priority="5826" operator="equal">
      <formula>"NO CUMPLEN CON LO SOLICITADO"</formula>
    </cfRule>
    <cfRule type="cellIs" dxfId="6330" priority="5827" operator="equal">
      <formula>"CUMPLEN CON LO SOLICITADO"</formula>
    </cfRule>
    <cfRule type="cellIs" dxfId="6329" priority="5828" operator="equal">
      <formula>"PENDIENTES"</formula>
    </cfRule>
    <cfRule type="cellIs" dxfId="6328" priority="5829" operator="equal">
      <formula>"NINGUNO"</formula>
    </cfRule>
  </conditionalFormatting>
  <conditionalFormatting sqref="P192 P195 P198 P201">
    <cfRule type="expression" dxfId="6327" priority="5815">
      <formula>Q192="NO SUBSANABLE"</formula>
    </cfRule>
    <cfRule type="expression" dxfId="6326" priority="5816">
      <formula>Q192="REQUERIMIENTOS SUBSANADOS"</formula>
    </cfRule>
    <cfRule type="expression" dxfId="6325" priority="5817">
      <formula>Q192="PENDIENTES POR SUBSANAR"</formula>
    </cfRule>
    <cfRule type="expression" dxfId="6324" priority="5818">
      <formula>Q192="SIN OBSERVACIÓN"</formula>
    </cfRule>
    <cfRule type="containsBlanks" dxfId="6323" priority="5819">
      <formula>LEN(TRIM(P192))=0</formula>
    </cfRule>
  </conditionalFormatting>
  <conditionalFormatting sqref="N192">
    <cfRule type="expression" dxfId="6322" priority="4154">
      <formula>N192=" "</formula>
    </cfRule>
    <cfRule type="expression" dxfId="6321" priority="4155">
      <formula>N192="NO PRESENTÓ CERTIFICADO"</formula>
    </cfRule>
    <cfRule type="expression" dxfId="6320" priority="4156">
      <formula>N192="PRESENTÓ CERTIFICADO"</formula>
    </cfRule>
  </conditionalFormatting>
  <conditionalFormatting sqref="N195">
    <cfRule type="expression" dxfId="6319" priority="4151">
      <formula>N195=" "</formula>
    </cfRule>
    <cfRule type="expression" dxfId="6318" priority="4152">
      <formula>N195="NO PRESENTÓ CERTIFICADO"</formula>
    </cfRule>
    <cfRule type="expression" dxfId="6317" priority="4153">
      <formula>N195="PRESENTÓ CERTIFICADO"</formula>
    </cfRule>
  </conditionalFormatting>
  <conditionalFormatting sqref="N198">
    <cfRule type="expression" dxfId="6316" priority="4148">
      <formula>N198=" "</formula>
    </cfRule>
    <cfRule type="expression" dxfId="6315" priority="4149">
      <formula>N198="NO PRESENTÓ CERTIFICADO"</formula>
    </cfRule>
    <cfRule type="expression" dxfId="6314" priority="4150">
      <formula>N198="PRESENTÓ CERTIFICADO"</formula>
    </cfRule>
  </conditionalFormatting>
  <conditionalFormatting sqref="O192">
    <cfRule type="cellIs" dxfId="6313" priority="4140" operator="equal">
      <formula>"PENDIENTE POR DESCRIPCIÓN"</formula>
    </cfRule>
    <cfRule type="cellIs" dxfId="6312" priority="4141" operator="equal">
      <formula>"DESCRIPCIÓN INSUFICIENTE"</formula>
    </cfRule>
    <cfRule type="cellIs" dxfId="6311" priority="4142" operator="equal">
      <formula>"NO ESTÁ ACORDE A ITEM 5.2.2 (T.R.)"</formula>
    </cfRule>
    <cfRule type="cellIs" dxfId="6310" priority="4143" operator="equal">
      <formula>"ACORDE A ITEM 5.2.2 (T.R.)"</formula>
    </cfRule>
    <cfRule type="cellIs" dxfId="6309" priority="4144" operator="equal">
      <formula>"PENDIENTE POR DESCRIPCIÓN"</formula>
    </cfRule>
    <cfRule type="cellIs" dxfId="6308" priority="4145" operator="equal">
      <formula>"DESCRIPCIÓN INSUFICIENTE"</formula>
    </cfRule>
    <cfRule type="cellIs" dxfId="6307" priority="4146" operator="equal">
      <formula>"NO ESTÁ ACORDE A ITEM 5.2.1 (T.R.)"</formula>
    </cfRule>
    <cfRule type="cellIs" dxfId="6306" priority="4147" operator="equal">
      <formula>"ACORDE A ITEM 5.2.1 (T.R.)"</formula>
    </cfRule>
  </conditionalFormatting>
  <conditionalFormatting sqref="O195">
    <cfRule type="cellIs" dxfId="6305" priority="4132" operator="equal">
      <formula>"PENDIENTE POR DESCRIPCIÓN"</formula>
    </cfRule>
    <cfRule type="cellIs" dxfId="6304" priority="4133" operator="equal">
      <formula>"DESCRIPCIÓN INSUFICIENTE"</formula>
    </cfRule>
    <cfRule type="cellIs" dxfId="6303" priority="4134" operator="equal">
      <formula>"NO ESTÁ ACORDE A ITEM 5.2.2 (T.R.)"</formula>
    </cfRule>
    <cfRule type="cellIs" dxfId="6302" priority="4135" operator="equal">
      <formula>"ACORDE A ITEM 5.2.2 (T.R.)"</formula>
    </cfRule>
    <cfRule type="cellIs" dxfId="6301" priority="4136" operator="equal">
      <formula>"PENDIENTE POR DESCRIPCIÓN"</formula>
    </cfRule>
    <cfRule type="cellIs" dxfId="6300" priority="4137" operator="equal">
      <formula>"DESCRIPCIÓN INSUFICIENTE"</formula>
    </cfRule>
    <cfRule type="cellIs" dxfId="6299" priority="4138" operator="equal">
      <formula>"NO ESTÁ ACORDE A ITEM 5.2.1 (T.R.)"</formula>
    </cfRule>
    <cfRule type="cellIs" dxfId="6298" priority="4139" operator="equal">
      <formula>"ACORDE A ITEM 5.2.1 (T.R.)"</formula>
    </cfRule>
  </conditionalFormatting>
  <conditionalFormatting sqref="O198">
    <cfRule type="cellIs" dxfId="6297" priority="4124" operator="equal">
      <formula>"PENDIENTE POR DESCRIPCIÓN"</formula>
    </cfRule>
    <cfRule type="cellIs" dxfId="6296" priority="4125" operator="equal">
      <formula>"DESCRIPCIÓN INSUFICIENTE"</formula>
    </cfRule>
    <cfRule type="cellIs" dxfId="6295" priority="4126" operator="equal">
      <formula>"NO ESTÁ ACORDE A ITEM 5.2.2 (T.R.)"</formula>
    </cfRule>
    <cfRule type="cellIs" dxfId="6294" priority="4127" operator="equal">
      <formula>"ACORDE A ITEM 5.2.2 (T.R.)"</formula>
    </cfRule>
    <cfRule type="cellIs" dxfId="6293" priority="4128" operator="equal">
      <formula>"PENDIENTE POR DESCRIPCIÓN"</formula>
    </cfRule>
    <cfRule type="cellIs" dxfId="6292" priority="4129" operator="equal">
      <formula>"DESCRIPCIÓN INSUFICIENTE"</formula>
    </cfRule>
    <cfRule type="cellIs" dxfId="6291" priority="4130" operator="equal">
      <formula>"NO ESTÁ ACORDE A ITEM 5.2.1 (T.R.)"</formula>
    </cfRule>
    <cfRule type="cellIs" dxfId="6290" priority="4131" operator="equal">
      <formula>"ACORDE A ITEM 5.2.1 (T.R.)"</formula>
    </cfRule>
  </conditionalFormatting>
  <conditionalFormatting sqref="Q192">
    <cfRule type="containsBlanks" dxfId="6289" priority="4115">
      <formula>LEN(TRIM(Q192))=0</formula>
    </cfRule>
    <cfRule type="cellIs" dxfId="6288" priority="4120" operator="equal">
      <formula>"REQUERIMIENTOS SUBSANADOS"</formula>
    </cfRule>
    <cfRule type="containsText" dxfId="6287" priority="4121" operator="containsText" text="NO SUBSANABLE">
      <formula>NOT(ISERROR(SEARCH("NO SUBSANABLE",Q192)))</formula>
    </cfRule>
    <cfRule type="containsText" dxfId="6286" priority="4122" operator="containsText" text="PENDIENTES POR SUBSANAR">
      <formula>NOT(ISERROR(SEARCH("PENDIENTES POR SUBSANAR",Q192)))</formula>
    </cfRule>
    <cfRule type="containsText" dxfId="6285" priority="4123" operator="containsText" text="SIN OBSERVACIÓN">
      <formula>NOT(ISERROR(SEARCH("SIN OBSERVACIÓN",Q192)))</formula>
    </cfRule>
  </conditionalFormatting>
  <conditionalFormatting sqref="R192">
    <cfRule type="containsBlanks" dxfId="6284" priority="4114">
      <formula>LEN(TRIM(R192))=0</formula>
    </cfRule>
    <cfRule type="cellIs" dxfId="6283" priority="4116" operator="equal">
      <formula>"NO CUMPLEN CON LO SOLICITADO"</formula>
    </cfRule>
    <cfRule type="cellIs" dxfId="6282" priority="4117" operator="equal">
      <formula>"CUMPLEN CON LO SOLICITADO"</formula>
    </cfRule>
    <cfRule type="cellIs" dxfId="6281" priority="4118" operator="equal">
      <formula>"PENDIENTES"</formula>
    </cfRule>
    <cfRule type="cellIs" dxfId="6280" priority="4119" operator="equal">
      <formula>"NINGUNO"</formula>
    </cfRule>
  </conditionalFormatting>
  <conditionalFormatting sqref="Q195">
    <cfRule type="containsBlanks" dxfId="6279" priority="4105">
      <formula>LEN(TRIM(Q195))=0</formula>
    </cfRule>
    <cfRule type="cellIs" dxfId="6278" priority="4110" operator="equal">
      <formula>"REQUERIMIENTOS SUBSANADOS"</formula>
    </cfRule>
    <cfRule type="containsText" dxfId="6277" priority="4111" operator="containsText" text="NO SUBSANABLE">
      <formula>NOT(ISERROR(SEARCH("NO SUBSANABLE",Q195)))</formula>
    </cfRule>
    <cfRule type="containsText" dxfId="6276" priority="4112" operator="containsText" text="PENDIENTES POR SUBSANAR">
      <formula>NOT(ISERROR(SEARCH("PENDIENTES POR SUBSANAR",Q195)))</formula>
    </cfRule>
    <cfRule type="containsText" dxfId="6275" priority="4113" operator="containsText" text="SIN OBSERVACIÓN">
      <formula>NOT(ISERROR(SEARCH("SIN OBSERVACIÓN",Q195)))</formula>
    </cfRule>
  </conditionalFormatting>
  <conditionalFormatting sqref="R195">
    <cfRule type="containsBlanks" dxfId="6274" priority="4104">
      <formula>LEN(TRIM(R195))=0</formula>
    </cfRule>
    <cfRule type="cellIs" dxfId="6273" priority="4106" operator="equal">
      <formula>"NO CUMPLEN CON LO SOLICITADO"</formula>
    </cfRule>
    <cfRule type="cellIs" dxfId="6272" priority="4107" operator="equal">
      <formula>"CUMPLEN CON LO SOLICITADO"</formula>
    </cfRule>
    <cfRule type="cellIs" dxfId="6271" priority="4108" operator="equal">
      <formula>"PENDIENTES"</formula>
    </cfRule>
    <cfRule type="cellIs" dxfId="6270" priority="4109" operator="equal">
      <formula>"NINGUNO"</formula>
    </cfRule>
  </conditionalFormatting>
  <conditionalFormatting sqref="Q198">
    <cfRule type="containsBlanks" dxfId="6269" priority="4095">
      <formula>LEN(TRIM(Q198))=0</formula>
    </cfRule>
    <cfRule type="cellIs" dxfId="6268" priority="4100" operator="equal">
      <formula>"REQUERIMIENTOS SUBSANADOS"</formula>
    </cfRule>
    <cfRule type="containsText" dxfId="6267" priority="4101" operator="containsText" text="NO SUBSANABLE">
      <formula>NOT(ISERROR(SEARCH("NO SUBSANABLE",Q198)))</formula>
    </cfRule>
    <cfRule type="containsText" dxfId="6266" priority="4102" operator="containsText" text="PENDIENTES POR SUBSANAR">
      <formula>NOT(ISERROR(SEARCH("PENDIENTES POR SUBSANAR",Q198)))</formula>
    </cfRule>
    <cfRule type="containsText" dxfId="6265" priority="4103" operator="containsText" text="SIN OBSERVACIÓN">
      <formula>NOT(ISERROR(SEARCH("SIN OBSERVACIÓN",Q198)))</formula>
    </cfRule>
  </conditionalFormatting>
  <conditionalFormatting sqref="R198">
    <cfRule type="containsBlanks" dxfId="6264" priority="4094">
      <formula>LEN(TRIM(R198))=0</formula>
    </cfRule>
    <cfRule type="cellIs" dxfId="6263" priority="4096" operator="equal">
      <formula>"NO CUMPLEN CON LO SOLICITADO"</formula>
    </cfRule>
    <cfRule type="cellIs" dxfId="6262" priority="4097" operator="equal">
      <formula>"CUMPLEN CON LO SOLICITADO"</formula>
    </cfRule>
    <cfRule type="cellIs" dxfId="6261" priority="4098" operator="equal">
      <formula>"PENDIENTES"</formula>
    </cfRule>
    <cfRule type="cellIs" dxfId="6260" priority="4099" operator="equal">
      <formula>"NINGUNO"</formula>
    </cfRule>
  </conditionalFormatting>
  <conditionalFormatting sqref="M198">
    <cfRule type="expression" dxfId="6259" priority="3262">
      <formula>L198="NO CUMPLE"</formula>
    </cfRule>
    <cfRule type="expression" dxfId="6258" priority="3263">
      <formula>L198="CUMPLE"</formula>
    </cfRule>
  </conditionalFormatting>
  <conditionalFormatting sqref="L198:L199">
    <cfRule type="cellIs" dxfId="6257" priority="3260" operator="equal">
      <formula>"NO CUMPLE"</formula>
    </cfRule>
    <cfRule type="cellIs" dxfId="6256" priority="3261" operator="equal">
      <formula>"CUMPLE"</formula>
    </cfRule>
  </conditionalFormatting>
  <conditionalFormatting sqref="M199">
    <cfRule type="expression" dxfId="6255" priority="3258">
      <formula>L199="NO CUMPLE"</formula>
    </cfRule>
    <cfRule type="expression" dxfId="6254" priority="3259">
      <formula>L199="CUMPLE"</formula>
    </cfRule>
  </conditionalFormatting>
  <conditionalFormatting sqref="M127">
    <cfRule type="expression" dxfId="6253" priority="3360">
      <formula>L127="NO CUMPLE"</formula>
    </cfRule>
    <cfRule type="expression" dxfId="6252" priority="3361">
      <formula>L127="CUMPLE"</formula>
    </cfRule>
  </conditionalFormatting>
  <conditionalFormatting sqref="L148:L149">
    <cfRule type="cellIs" dxfId="6251" priority="3332" operator="equal">
      <formula>"NO CUMPLE"</formula>
    </cfRule>
    <cfRule type="cellIs" dxfId="6250" priority="3333" operator="equal">
      <formula>"CUMPLE"</formula>
    </cfRule>
  </conditionalFormatting>
  <conditionalFormatting sqref="M149">
    <cfRule type="expression" dxfId="6249" priority="3330">
      <formula>L149="NO CUMPLE"</formula>
    </cfRule>
    <cfRule type="expression" dxfId="6248" priority="3331">
      <formula>L149="CUMPLE"</formula>
    </cfRule>
  </conditionalFormatting>
  <conditionalFormatting sqref="L151:L152">
    <cfRule type="cellIs" dxfId="6247" priority="3326" operator="equal">
      <formula>"NO CUMPLE"</formula>
    </cfRule>
    <cfRule type="cellIs" dxfId="6246" priority="3327" operator="equal">
      <formula>"CUMPLE"</formula>
    </cfRule>
  </conditionalFormatting>
  <conditionalFormatting sqref="M152">
    <cfRule type="expression" dxfId="6245" priority="3324">
      <formula>L152="NO CUMPLE"</formula>
    </cfRule>
    <cfRule type="expression" dxfId="6244" priority="3325">
      <formula>L152="CUMPLE"</formula>
    </cfRule>
  </conditionalFormatting>
  <conditionalFormatting sqref="M133">
    <cfRule type="expression" dxfId="6243" priority="3348">
      <formula>L133="NO CUMPLE"</formula>
    </cfRule>
    <cfRule type="expression" dxfId="6242" priority="3349">
      <formula>L133="CUMPLE"</formula>
    </cfRule>
  </conditionalFormatting>
  <conditionalFormatting sqref="L154:L155">
    <cfRule type="cellIs" dxfId="6241" priority="3320" operator="equal">
      <formula>"NO CUMPLE"</formula>
    </cfRule>
    <cfRule type="cellIs" dxfId="6240" priority="3321" operator="equal">
      <formula>"CUMPLE"</formula>
    </cfRule>
  </conditionalFormatting>
  <conditionalFormatting sqref="L135:L136">
    <cfRule type="cellIs" dxfId="6239" priority="3344" operator="equal">
      <formula>"NO CUMPLE"</formula>
    </cfRule>
    <cfRule type="cellIs" dxfId="6238" priority="3345" operator="equal">
      <formula>"CUMPLE"</formula>
    </cfRule>
  </conditionalFormatting>
  <conditionalFormatting sqref="M136">
    <cfRule type="expression" dxfId="6237" priority="3342">
      <formula>L136="NO CUMPLE"</formula>
    </cfRule>
    <cfRule type="expression" dxfId="6236" priority="3343">
      <formula>L136="CUMPLE"</formula>
    </cfRule>
  </conditionalFormatting>
  <conditionalFormatting sqref="M145">
    <cfRule type="expression" dxfId="6235" priority="3340">
      <formula>L145="NO CUMPLE"</formula>
    </cfRule>
    <cfRule type="expression" dxfId="6234" priority="3341">
      <formula>L145="CUMPLE"</formula>
    </cfRule>
  </conditionalFormatting>
  <conditionalFormatting sqref="M126">
    <cfRule type="expression" dxfId="6233" priority="3364">
      <formula>L126="NO CUMPLE"</formula>
    </cfRule>
    <cfRule type="expression" dxfId="6232" priority="3365">
      <formula>L126="CUMPLE"</formula>
    </cfRule>
  </conditionalFormatting>
  <conditionalFormatting sqref="L126:L127">
    <cfRule type="cellIs" dxfId="6231" priority="3362" operator="equal">
      <formula>"NO CUMPLE"</formula>
    </cfRule>
    <cfRule type="cellIs" dxfId="6230" priority="3363" operator="equal">
      <formula>"CUMPLE"</formula>
    </cfRule>
  </conditionalFormatting>
  <conditionalFormatting sqref="M148">
    <cfRule type="expression" dxfId="6229" priority="3334">
      <formula>L148="NO CUMPLE"</formula>
    </cfRule>
    <cfRule type="expression" dxfId="6228" priority="3335">
      <formula>L148="CUMPLE"</formula>
    </cfRule>
  </conditionalFormatting>
  <conditionalFormatting sqref="L129:L130">
    <cfRule type="cellIs" dxfId="6227" priority="3356" operator="equal">
      <formula>"NO CUMPLE"</formula>
    </cfRule>
    <cfRule type="cellIs" dxfId="6226" priority="3357" operator="equal">
      <formula>"CUMPLE"</formula>
    </cfRule>
  </conditionalFormatting>
  <conditionalFormatting sqref="M130">
    <cfRule type="expression" dxfId="6225" priority="3354">
      <formula>L130="NO CUMPLE"</formula>
    </cfRule>
    <cfRule type="expression" dxfId="6224" priority="3355">
      <formula>L130="CUMPLE"</formula>
    </cfRule>
  </conditionalFormatting>
  <conditionalFormatting sqref="M132">
    <cfRule type="expression" dxfId="6223" priority="3352">
      <formula>L132="NO CUMPLE"</formula>
    </cfRule>
    <cfRule type="expression" dxfId="6222" priority="3353">
      <formula>L132="CUMPLE"</formula>
    </cfRule>
  </conditionalFormatting>
  <conditionalFormatting sqref="L132:L133">
    <cfRule type="cellIs" dxfId="6221" priority="3350" operator="equal">
      <formula>"NO CUMPLE"</formula>
    </cfRule>
    <cfRule type="cellIs" dxfId="6220" priority="3351" operator="equal">
      <formula>"CUMPLE"</formula>
    </cfRule>
  </conditionalFormatting>
  <conditionalFormatting sqref="M135">
    <cfRule type="expression" dxfId="6219" priority="3346">
      <formula>L135="NO CUMPLE"</formula>
    </cfRule>
    <cfRule type="expression" dxfId="6218" priority="3347">
      <formula>L135="CUMPLE"</formula>
    </cfRule>
  </conditionalFormatting>
  <conditionalFormatting sqref="M155">
    <cfRule type="expression" dxfId="6217" priority="3318">
      <formula>L155="NO CUMPLE"</formula>
    </cfRule>
    <cfRule type="expression" dxfId="6216" priority="3319">
      <formula>L155="CUMPLE"</formula>
    </cfRule>
  </conditionalFormatting>
  <conditionalFormatting sqref="M129">
    <cfRule type="expression" dxfId="6215" priority="3358">
      <formula>L129="NO CUMPLE"</formula>
    </cfRule>
    <cfRule type="expression" dxfId="6214" priority="3359">
      <formula>L129="CUMPLE"</formula>
    </cfRule>
  </conditionalFormatting>
  <conditionalFormatting sqref="M154">
    <cfRule type="expression" dxfId="6213" priority="3322">
      <formula>L154="NO CUMPLE"</formula>
    </cfRule>
    <cfRule type="expression" dxfId="6212" priority="3323">
      <formula>L154="CUMPLE"</formula>
    </cfRule>
  </conditionalFormatting>
  <conditionalFormatting sqref="M114">
    <cfRule type="expression" dxfId="6211" priority="3372">
      <formula>L114="NO CUMPLE"</formula>
    </cfRule>
    <cfRule type="expression" dxfId="6210" priority="3373">
      <formula>L114="CUMPLE"</formula>
    </cfRule>
  </conditionalFormatting>
  <conditionalFormatting sqref="L145:L146">
    <cfRule type="cellIs" dxfId="6209" priority="3338" operator="equal">
      <formula>"NO CUMPLE"</formula>
    </cfRule>
    <cfRule type="cellIs" dxfId="6208" priority="3339" operator="equal">
      <formula>"CUMPLE"</formula>
    </cfRule>
  </conditionalFormatting>
  <conditionalFormatting sqref="M146">
    <cfRule type="expression" dxfId="6207" priority="3336">
      <formula>L146="NO CUMPLE"</formula>
    </cfRule>
    <cfRule type="expression" dxfId="6206" priority="3337">
      <formula>L146="CUMPLE"</formula>
    </cfRule>
  </conditionalFormatting>
  <conditionalFormatting sqref="M151">
    <cfRule type="expression" dxfId="6205" priority="3328">
      <formula>L151="NO CUMPLE"</formula>
    </cfRule>
    <cfRule type="expression" dxfId="6204" priority="3329">
      <formula>L151="CUMPLE"</formula>
    </cfRule>
  </conditionalFormatting>
  <conditionalFormatting sqref="M113">
    <cfRule type="expression" dxfId="6203" priority="3376">
      <formula>L113="NO CUMPLE"</formula>
    </cfRule>
    <cfRule type="expression" dxfId="6202" priority="3377">
      <formula>L113="CUMPLE"</formula>
    </cfRule>
  </conditionalFormatting>
  <conditionalFormatting sqref="L113:L114">
    <cfRule type="cellIs" dxfId="6201" priority="3374" operator="equal">
      <formula>"NO CUMPLE"</formula>
    </cfRule>
    <cfRule type="cellIs" dxfId="6200" priority="3375" operator="equal">
      <formula>"CUMPLE"</formula>
    </cfRule>
  </conditionalFormatting>
  <conditionalFormatting sqref="L123:L124">
    <cfRule type="cellIs" dxfId="6199" priority="3368" operator="equal">
      <formula>"NO CUMPLE"</formula>
    </cfRule>
    <cfRule type="cellIs" dxfId="6198" priority="3369" operator="equal">
      <formula>"CUMPLE"</formula>
    </cfRule>
  </conditionalFormatting>
  <conditionalFormatting sqref="M124">
    <cfRule type="expression" dxfId="6197" priority="3366">
      <formula>L124="NO CUMPLE"</formula>
    </cfRule>
    <cfRule type="expression" dxfId="6196" priority="3367">
      <formula>L124="CUMPLE"</formula>
    </cfRule>
  </conditionalFormatting>
  <conditionalFormatting sqref="J41:J46">
    <cfRule type="cellIs" dxfId="6195" priority="3690" operator="equal">
      <formula>"NO CUMPLE"</formula>
    </cfRule>
    <cfRule type="cellIs" dxfId="6194" priority="3691" operator="equal">
      <formula>"CUMPLE"</formula>
    </cfRule>
  </conditionalFormatting>
  <conditionalFormatting sqref="K38">
    <cfRule type="expression" dxfId="6193" priority="3686">
      <formula>J38="NO CUMPLE"</formula>
    </cfRule>
    <cfRule type="expression" dxfId="6192" priority="3687">
      <formula>J38="CUMPLE"</formula>
    </cfRule>
  </conditionalFormatting>
  <conditionalFormatting sqref="K39:K40">
    <cfRule type="expression" dxfId="6191" priority="3684">
      <formula>J39="NO CUMPLE"</formula>
    </cfRule>
    <cfRule type="expression" dxfId="6190" priority="3685">
      <formula>J39="CUMPLE"</formula>
    </cfRule>
  </conditionalFormatting>
  <conditionalFormatting sqref="J47">
    <cfRule type="cellIs" dxfId="6189" priority="3682" operator="equal">
      <formula>"NO CUMPLE"</formula>
    </cfRule>
    <cfRule type="cellIs" dxfId="6188" priority="3683" operator="equal">
      <formula>"CUMPLE"</formula>
    </cfRule>
  </conditionalFormatting>
  <conditionalFormatting sqref="J48:J49">
    <cfRule type="cellIs" dxfId="6187" priority="3680" operator="equal">
      <formula>"NO CUMPLE"</formula>
    </cfRule>
    <cfRule type="cellIs" dxfId="6186" priority="3681" operator="equal">
      <formula>"CUMPLE"</formula>
    </cfRule>
  </conditionalFormatting>
  <conditionalFormatting sqref="K41">
    <cfRule type="expression" dxfId="6185" priority="3678">
      <formula>J41="NO CUMPLE"</formula>
    </cfRule>
    <cfRule type="expression" dxfId="6184" priority="3679">
      <formula>J41="CUMPLE"</formula>
    </cfRule>
  </conditionalFormatting>
  <conditionalFormatting sqref="K42:K43">
    <cfRule type="expression" dxfId="6183" priority="3676">
      <formula>J42="NO CUMPLE"</formula>
    </cfRule>
    <cfRule type="expression" dxfId="6182" priority="3677">
      <formula>J42="CUMPLE"</formula>
    </cfRule>
  </conditionalFormatting>
  <conditionalFormatting sqref="K44">
    <cfRule type="expression" dxfId="6181" priority="3674">
      <formula>J44="NO CUMPLE"</formula>
    </cfRule>
    <cfRule type="expression" dxfId="6180" priority="3675">
      <formula>J44="CUMPLE"</formula>
    </cfRule>
  </conditionalFormatting>
  <conditionalFormatting sqref="K45:K46">
    <cfRule type="expression" dxfId="6179" priority="3672">
      <formula>J45="NO CUMPLE"</formula>
    </cfRule>
    <cfRule type="expression" dxfId="6178" priority="3673">
      <formula>J45="CUMPLE"</formula>
    </cfRule>
  </conditionalFormatting>
  <conditionalFormatting sqref="K47">
    <cfRule type="expression" dxfId="6177" priority="3670">
      <formula>J47="NO CUMPLE"</formula>
    </cfRule>
    <cfRule type="expression" dxfId="6176" priority="3671">
      <formula>J47="CUMPLE"</formula>
    </cfRule>
  </conditionalFormatting>
  <conditionalFormatting sqref="K48:K49">
    <cfRule type="expression" dxfId="6175" priority="3668">
      <formula>J48="NO CUMPLE"</formula>
    </cfRule>
    <cfRule type="expression" dxfId="6174" priority="3669">
      <formula>J48="CUMPLE"</formula>
    </cfRule>
  </conditionalFormatting>
  <conditionalFormatting sqref="K60">
    <cfRule type="expression" dxfId="6173" priority="3660">
      <formula>J60="NO CUMPLE"</formula>
    </cfRule>
    <cfRule type="expression" dxfId="6172" priority="3661">
      <formula>J60="CUMPLE"</formula>
    </cfRule>
  </conditionalFormatting>
  <conditionalFormatting sqref="K61:K62">
    <cfRule type="expression" dxfId="6171" priority="3658">
      <formula>J61="NO CUMPLE"</formula>
    </cfRule>
    <cfRule type="expression" dxfId="6170" priority="3659">
      <formula>J61="CUMPLE"</formula>
    </cfRule>
  </conditionalFormatting>
  <conditionalFormatting sqref="K63">
    <cfRule type="expression" dxfId="6169" priority="3652">
      <formula>J63="NO CUMPLE"</formula>
    </cfRule>
    <cfRule type="expression" dxfId="6168" priority="3653">
      <formula>J63="CUMPLE"</formula>
    </cfRule>
  </conditionalFormatting>
  <conditionalFormatting sqref="K64:K65">
    <cfRule type="expression" dxfId="6167" priority="3650">
      <formula>J64="NO CUMPLE"</formula>
    </cfRule>
    <cfRule type="expression" dxfId="6166" priority="3651">
      <formula>J64="CUMPLE"</formula>
    </cfRule>
  </conditionalFormatting>
  <conditionalFormatting sqref="K66">
    <cfRule type="expression" dxfId="6165" priority="3648">
      <formula>J66="NO CUMPLE"</formula>
    </cfRule>
    <cfRule type="expression" dxfId="6164" priority="3649">
      <formula>J66="CUMPLE"</formula>
    </cfRule>
  </conditionalFormatting>
  <conditionalFormatting sqref="K67:K68">
    <cfRule type="expression" dxfId="6163" priority="3646">
      <formula>J67="NO CUMPLE"</formula>
    </cfRule>
    <cfRule type="expression" dxfId="6162" priority="3647">
      <formula>J67="CUMPLE"</formula>
    </cfRule>
  </conditionalFormatting>
  <conditionalFormatting sqref="K69">
    <cfRule type="expression" dxfId="6161" priority="3644">
      <formula>J69="NO CUMPLE"</formula>
    </cfRule>
    <cfRule type="expression" dxfId="6160" priority="3645">
      <formula>J69="CUMPLE"</formula>
    </cfRule>
  </conditionalFormatting>
  <conditionalFormatting sqref="K70:K71">
    <cfRule type="expression" dxfId="6159" priority="3642">
      <formula>J70="NO CUMPLE"</formula>
    </cfRule>
    <cfRule type="expression" dxfId="6158" priority="3643">
      <formula>J70="CUMPLE"</formula>
    </cfRule>
  </conditionalFormatting>
  <conditionalFormatting sqref="J88:J90">
    <cfRule type="cellIs" dxfId="6157" priority="3638" operator="equal">
      <formula>"NO CUMPLE"</formula>
    </cfRule>
    <cfRule type="cellIs" dxfId="6156" priority="3639" operator="equal">
      <formula>"CUMPLE"</formula>
    </cfRule>
  </conditionalFormatting>
  <conditionalFormatting sqref="K82">
    <cfRule type="expression" dxfId="6155" priority="3634">
      <formula>J82="NO CUMPLE"</formula>
    </cfRule>
    <cfRule type="expression" dxfId="6154" priority="3635">
      <formula>J82="CUMPLE"</formula>
    </cfRule>
  </conditionalFormatting>
  <conditionalFormatting sqref="K83:K84">
    <cfRule type="expression" dxfId="6153" priority="3632">
      <formula>J83="NO CUMPLE"</formula>
    </cfRule>
    <cfRule type="expression" dxfId="6152" priority="3633">
      <formula>J83="CUMPLE"</formula>
    </cfRule>
  </conditionalFormatting>
  <conditionalFormatting sqref="J91">
    <cfRule type="cellIs" dxfId="6151" priority="3630" operator="equal">
      <formula>"NO CUMPLE"</formula>
    </cfRule>
    <cfRule type="cellIs" dxfId="6150" priority="3631" operator="equal">
      <formula>"CUMPLE"</formula>
    </cfRule>
  </conditionalFormatting>
  <conditionalFormatting sqref="J92:J93">
    <cfRule type="cellIs" dxfId="6149" priority="3628" operator="equal">
      <formula>"NO CUMPLE"</formula>
    </cfRule>
    <cfRule type="cellIs" dxfId="6148" priority="3629" operator="equal">
      <formula>"CUMPLE"</formula>
    </cfRule>
  </conditionalFormatting>
  <conditionalFormatting sqref="K85">
    <cfRule type="expression" dxfId="6147" priority="3626">
      <formula>J85="NO CUMPLE"</formula>
    </cfRule>
    <cfRule type="expression" dxfId="6146" priority="3627">
      <formula>J85="CUMPLE"</formula>
    </cfRule>
  </conditionalFormatting>
  <conditionalFormatting sqref="K86:K87">
    <cfRule type="expression" dxfId="6145" priority="3624">
      <formula>J86="NO CUMPLE"</formula>
    </cfRule>
    <cfRule type="expression" dxfId="6144" priority="3625">
      <formula>J86="CUMPLE"</formula>
    </cfRule>
  </conditionalFormatting>
  <conditionalFormatting sqref="K88">
    <cfRule type="expression" dxfId="6143" priority="3622">
      <formula>J88="NO CUMPLE"</formula>
    </cfRule>
    <cfRule type="expression" dxfId="6142" priority="3623">
      <formula>J88="CUMPLE"</formula>
    </cfRule>
  </conditionalFormatting>
  <conditionalFormatting sqref="K89:K90">
    <cfRule type="expression" dxfId="6141" priority="3620">
      <formula>J89="NO CUMPLE"</formula>
    </cfRule>
    <cfRule type="expression" dxfId="6140" priority="3621">
      <formula>J89="CUMPLE"</formula>
    </cfRule>
  </conditionalFormatting>
  <conditionalFormatting sqref="K91">
    <cfRule type="expression" dxfId="6139" priority="3618">
      <formula>J91="NO CUMPLE"</formula>
    </cfRule>
    <cfRule type="expression" dxfId="6138" priority="3619">
      <formula>J91="CUMPLE"</formula>
    </cfRule>
  </conditionalFormatting>
  <conditionalFormatting sqref="K92:K93">
    <cfRule type="expression" dxfId="6137" priority="3616">
      <formula>J92="NO CUMPLE"</formula>
    </cfRule>
    <cfRule type="expression" dxfId="6136" priority="3617">
      <formula>J92="CUMPLE"</formula>
    </cfRule>
  </conditionalFormatting>
  <conditionalFormatting sqref="J101:J112">
    <cfRule type="cellIs" dxfId="6135" priority="3612" operator="equal">
      <formula>"NO CUMPLE"</formula>
    </cfRule>
    <cfRule type="cellIs" dxfId="6134" priority="3613" operator="equal">
      <formula>"CUMPLE"</formula>
    </cfRule>
  </conditionalFormatting>
  <conditionalFormatting sqref="K104">
    <cfRule type="expression" dxfId="6133" priority="3608">
      <formula>J104="NO CUMPLE"</formula>
    </cfRule>
    <cfRule type="expression" dxfId="6132" priority="3609">
      <formula>J104="CUMPLE"</formula>
    </cfRule>
  </conditionalFormatting>
  <conditionalFormatting sqref="K105:K106">
    <cfRule type="expression" dxfId="6131" priority="3606">
      <formula>J105="NO CUMPLE"</formula>
    </cfRule>
    <cfRule type="expression" dxfId="6130" priority="3607">
      <formula>J105="CUMPLE"</formula>
    </cfRule>
  </conditionalFormatting>
  <conditionalFormatting sqref="K107">
    <cfRule type="expression" dxfId="6129" priority="3600">
      <formula>J107="NO CUMPLE"</formula>
    </cfRule>
    <cfRule type="expression" dxfId="6128" priority="3601">
      <formula>J107="CUMPLE"</formula>
    </cfRule>
  </conditionalFormatting>
  <conditionalFormatting sqref="K108:K109">
    <cfRule type="expression" dxfId="6127" priority="3598">
      <formula>J108="NO CUMPLE"</formula>
    </cfRule>
    <cfRule type="expression" dxfId="6126" priority="3599">
      <formula>J108="CUMPLE"</formula>
    </cfRule>
  </conditionalFormatting>
  <conditionalFormatting sqref="K110">
    <cfRule type="expression" dxfId="6125" priority="3596">
      <formula>J110="NO CUMPLE"</formula>
    </cfRule>
    <cfRule type="expression" dxfId="6124" priority="3597">
      <formula>J110="CUMPLE"</formula>
    </cfRule>
  </conditionalFormatting>
  <conditionalFormatting sqref="K111:K112">
    <cfRule type="expression" dxfId="6123" priority="3594">
      <formula>J111="NO CUMPLE"</formula>
    </cfRule>
    <cfRule type="expression" dxfId="6122" priority="3595">
      <formula>J111="CUMPLE"</formula>
    </cfRule>
  </conditionalFormatting>
  <conditionalFormatting sqref="K113">
    <cfRule type="expression" dxfId="6121" priority="3592">
      <formula>J113="NO CUMPLE"</formula>
    </cfRule>
    <cfRule type="expression" dxfId="6120" priority="3593">
      <formula>J113="CUMPLE"</formula>
    </cfRule>
  </conditionalFormatting>
  <conditionalFormatting sqref="K114:K115">
    <cfRule type="expression" dxfId="6119" priority="3590">
      <formula>J114="NO CUMPLE"</formula>
    </cfRule>
    <cfRule type="expression" dxfId="6118" priority="3591">
      <formula>J114="CUMPLE"</formula>
    </cfRule>
  </conditionalFormatting>
  <conditionalFormatting sqref="J123:J134">
    <cfRule type="cellIs" dxfId="6117" priority="3586" operator="equal">
      <formula>"NO CUMPLE"</formula>
    </cfRule>
    <cfRule type="cellIs" dxfId="6116" priority="3587" operator="equal">
      <formula>"CUMPLE"</formula>
    </cfRule>
  </conditionalFormatting>
  <conditionalFormatting sqref="K126">
    <cfRule type="expression" dxfId="6115" priority="3582">
      <formula>J126="NO CUMPLE"</formula>
    </cfRule>
    <cfRule type="expression" dxfId="6114" priority="3583">
      <formula>J126="CUMPLE"</formula>
    </cfRule>
  </conditionalFormatting>
  <conditionalFormatting sqref="K127:K128">
    <cfRule type="expression" dxfId="6113" priority="3580">
      <formula>J127="NO CUMPLE"</formula>
    </cfRule>
    <cfRule type="expression" dxfId="6112" priority="3581">
      <formula>J127="CUMPLE"</formula>
    </cfRule>
  </conditionalFormatting>
  <conditionalFormatting sqref="J135">
    <cfRule type="cellIs" dxfId="6111" priority="3578" operator="equal">
      <formula>"NO CUMPLE"</formula>
    </cfRule>
    <cfRule type="cellIs" dxfId="6110" priority="3579" operator="equal">
      <formula>"CUMPLE"</formula>
    </cfRule>
  </conditionalFormatting>
  <conditionalFormatting sqref="J136:J137">
    <cfRule type="cellIs" dxfId="6109" priority="3576" operator="equal">
      <formula>"NO CUMPLE"</formula>
    </cfRule>
    <cfRule type="cellIs" dxfId="6108" priority="3577" operator="equal">
      <formula>"CUMPLE"</formula>
    </cfRule>
  </conditionalFormatting>
  <conditionalFormatting sqref="K129">
    <cfRule type="expression" dxfId="6107" priority="3574">
      <formula>J129="NO CUMPLE"</formula>
    </cfRule>
    <cfRule type="expression" dxfId="6106" priority="3575">
      <formula>J129="CUMPLE"</formula>
    </cfRule>
  </conditionalFormatting>
  <conditionalFormatting sqref="K130:K131">
    <cfRule type="expression" dxfId="6105" priority="3572">
      <formula>J130="NO CUMPLE"</formula>
    </cfRule>
    <cfRule type="expression" dxfId="6104" priority="3573">
      <formula>J130="CUMPLE"</formula>
    </cfRule>
  </conditionalFormatting>
  <conditionalFormatting sqref="K132">
    <cfRule type="expression" dxfId="6103" priority="3570">
      <formula>J132="NO CUMPLE"</formula>
    </cfRule>
    <cfRule type="expression" dxfId="6102" priority="3571">
      <formula>J132="CUMPLE"</formula>
    </cfRule>
  </conditionalFormatting>
  <conditionalFormatting sqref="K133:K134">
    <cfRule type="expression" dxfId="6101" priority="3568">
      <formula>J133="NO CUMPLE"</formula>
    </cfRule>
    <cfRule type="expression" dxfId="6100" priority="3569">
      <formula>J133="CUMPLE"</formula>
    </cfRule>
  </conditionalFormatting>
  <conditionalFormatting sqref="K135">
    <cfRule type="expression" dxfId="6099" priority="3566">
      <formula>J135="NO CUMPLE"</formula>
    </cfRule>
    <cfRule type="expression" dxfId="6098" priority="3567">
      <formula>J135="CUMPLE"</formula>
    </cfRule>
  </conditionalFormatting>
  <conditionalFormatting sqref="K136:K137">
    <cfRule type="expression" dxfId="6097" priority="3564">
      <formula>J136="NO CUMPLE"</formula>
    </cfRule>
    <cfRule type="expression" dxfId="6096" priority="3565">
      <formula>J136="CUMPLE"</formula>
    </cfRule>
  </conditionalFormatting>
  <conditionalFormatting sqref="J145:J156">
    <cfRule type="cellIs" dxfId="6095" priority="3560" operator="equal">
      <formula>"NO CUMPLE"</formula>
    </cfRule>
    <cfRule type="cellIs" dxfId="6094" priority="3561" operator="equal">
      <formula>"CUMPLE"</formula>
    </cfRule>
  </conditionalFormatting>
  <conditionalFormatting sqref="K148">
    <cfRule type="expression" dxfId="6093" priority="3556">
      <formula>J148="NO CUMPLE"</formula>
    </cfRule>
    <cfRule type="expression" dxfId="6092" priority="3557">
      <formula>J148="CUMPLE"</formula>
    </cfRule>
  </conditionalFormatting>
  <conditionalFormatting sqref="K149:K150">
    <cfRule type="expression" dxfId="6091" priority="3554">
      <formula>J149="NO CUMPLE"</formula>
    </cfRule>
    <cfRule type="expression" dxfId="6090" priority="3555">
      <formula>J149="CUMPLE"</formula>
    </cfRule>
  </conditionalFormatting>
  <conditionalFormatting sqref="J157">
    <cfRule type="cellIs" dxfId="6089" priority="3552" operator="equal">
      <formula>"NO CUMPLE"</formula>
    </cfRule>
    <cfRule type="cellIs" dxfId="6088" priority="3553" operator="equal">
      <formula>"CUMPLE"</formula>
    </cfRule>
  </conditionalFormatting>
  <conditionalFormatting sqref="J158:J159">
    <cfRule type="cellIs" dxfId="6087" priority="3550" operator="equal">
      <formula>"NO CUMPLE"</formula>
    </cfRule>
    <cfRule type="cellIs" dxfId="6086" priority="3551" operator="equal">
      <formula>"CUMPLE"</formula>
    </cfRule>
  </conditionalFormatting>
  <conditionalFormatting sqref="K151">
    <cfRule type="expression" dxfId="6085" priority="3548">
      <formula>J151="NO CUMPLE"</formula>
    </cfRule>
    <cfRule type="expression" dxfId="6084" priority="3549">
      <formula>J151="CUMPLE"</formula>
    </cfRule>
  </conditionalFormatting>
  <conditionalFormatting sqref="K152:K153">
    <cfRule type="expression" dxfId="6083" priority="3546">
      <formula>J152="NO CUMPLE"</formula>
    </cfRule>
    <cfRule type="expression" dxfId="6082" priority="3547">
      <formula>J152="CUMPLE"</formula>
    </cfRule>
  </conditionalFormatting>
  <conditionalFormatting sqref="K154">
    <cfRule type="expression" dxfId="6081" priority="3544">
      <formula>J154="NO CUMPLE"</formula>
    </cfRule>
    <cfRule type="expression" dxfId="6080" priority="3545">
      <formula>J154="CUMPLE"</formula>
    </cfRule>
  </conditionalFormatting>
  <conditionalFormatting sqref="K155:K156">
    <cfRule type="expression" dxfId="6079" priority="3542">
      <formula>J155="NO CUMPLE"</formula>
    </cfRule>
    <cfRule type="expression" dxfId="6078" priority="3543">
      <formula>J155="CUMPLE"</formula>
    </cfRule>
  </conditionalFormatting>
  <conditionalFormatting sqref="K157">
    <cfRule type="expression" dxfId="6077" priority="3540">
      <formula>J157="NO CUMPLE"</formula>
    </cfRule>
    <cfRule type="expression" dxfId="6076" priority="3541">
      <formula>J157="CUMPLE"</formula>
    </cfRule>
  </conditionalFormatting>
  <conditionalFormatting sqref="K158:K159">
    <cfRule type="expression" dxfId="6075" priority="3538">
      <formula>J158="NO CUMPLE"</formula>
    </cfRule>
    <cfRule type="expression" dxfId="6074" priority="3539">
      <formula>J158="CUMPLE"</formula>
    </cfRule>
  </conditionalFormatting>
  <conditionalFormatting sqref="K170">
    <cfRule type="expression" dxfId="6073" priority="3530">
      <formula>J170="NO CUMPLE"</formula>
    </cfRule>
    <cfRule type="expression" dxfId="6072" priority="3531">
      <formula>J170="CUMPLE"</formula>
    </cfRule>
  </conditionalFormatting>
  <conditionalFormatting sqref="K171:K172">
    <cfRule type="expression" dxfId="6071" priority="3528">
      <formula>J171="NO CUMPLE"</formula>
    </cfRule>
    <cfRule type="expression" dxfId="6070" priority="3529">
      <formula>J171="CUMPLE"</formula>
    </cfRule>
  </conditionalFormatting>
  <conditionalFormatting sqref="J181">
    <cfRule type="cellIs" dxfId="6069" priority="3524" operator="equal">
      <formula>"NO CUMPLE"</formula>
    </cfRule>
    <cfRule type="cellIs" dxfId="6068" priority="3525" operator="equal">
      <formula>"CUMPLE"</formula>
    </cfRule>
  </conditionalFormatting>
  <conditionalFormatting sqref="K173">
    <cfRule type="expression" dxfId="6067" priority="3522">
      <formula>J173="NO CUMPLE"</formula>
    </cfRule>
    <cfRule type="expression" dxfId="6066" priority="3523">
      <formula>J173="CUMPLE"</formula>
    </cfRule>
  </conditionalFormatting>
  <conditionalFormatting sqref="K174:K175">
    <cfRule type="expression" dxfId="6065" priority="3520">
      <formula>J174="NO CUMPLE"</formula>
    </cfRule>
    <cfRule type="expression" dxfId="6064" priority="3521">
      <formula>J174="CUMPLE"</formula>
    </cfRule>
  </conditionalFormatting>
  <conditionalFormatting sqref="K176">
    <cfRule type="expression" dxfId="6063" priority="3518">
      <formula>J176="NO CUMPLE"</formula>
    </cfRule>
    <cfRule type="expression" dxfId="6062" priority="3519">
      <formula>J176="CUMPLE"</formula>
    </cfRule>
  </conditionalFormatting>
  <conditionalFormatting sqref="K177:K178">
    <cfRule type="expression" dxfId="6061" priority="3516">
      <formula>J177="NO CUMPLE"</formula>
    </cfRule>
    <cfRule type="expression" dxfId="6060" priority="3517">
      <formula>J177="CUMPLE"</formula>
    </cfRule>
  </conditionalFormatting>
  <conditionalFormatting sqref="K179">
    <cfRule type="expression" dxfId="6059" priority="3514">
      <formula>J179="NO CUMPLE"</formula>
    </cfRule>
    <cfRule type="expression" dxfId="6058" priority="3515">
      <formula>J179="CUMPLE"</formula>
    </cfRule>
  </conditionalFormatting>
  <conditionalFormatting sqref="K180:K181">
    <cfRule type="expression" dxfId="6057" priority="3512">
      <formula>J180="NO CUMPLE"</formula>
    </cfRule>
    <cfRule type="expression" dxfId="6056" priority="3513">
      <formula>J180="CUMPLE"</formula>
    </cfRule>
  </conditionalFormatting>
  <conditionalFormatting sqref="J192:J200">
    <cfRule type="cellIs" dxfId="6055" priority="3508" operator="equal">
      <formula>"NO CUMPLE"</formula>
    </cfRule>
    <cfRule type="cellIs" dxfId="6054" priority="3509" operator="equal">
      <formula>"CUMPLE"</formula>
    </cfRule>
  </conditionalFormatting>
  <conditionalFormatting sqref="K192">
    <cfRule type="expression" dxfId="6053" priority="3504">
      <formula>J192="NO CUMPLE"</formula>
    </cfRule>
    <cfRule type="expression" dxfId="6052" priority="3505">
      <formula>J192="CUMPLE"</formula>
    </cfRule>
  </conditionalFormatting>
  <conditionalFormatting sqref="K193:K194">
    <cfRule type="expression" dxfId="6051" priority="3502">
      <formula>J193="NO CUMPLE"</formula>
    </cfRule>
    <cfRule type="expression" dxfId="6050" priority="3503">
      <formula>J193="CUMPLE"</formula>
    </cfRule>
  </conditionalFormatting>
  <conditionalFormatting sqref="J201">
    <cfRule type="cellIs" dxfId="6049" priority="3500" operator="equal">
      <formula>"NO CUMPLE"</formula>
    </cfRule>
    <cfRule type="cellIs" dxfId="6048" priority="3501" operator="equal">
      <formula>"CUMPLE"</formula>
    </cfRule>
  </conditionalFormatting>
  <conditionalFormatting sqref="J202:J203">
    <cfRule type="cellIs" dxfId="6047" priority="3498" operator="equal">
      <formula>"NO CUMPLE"</formula>
    </cfRule>
    <cfRule type="cellIs" dxfId="6046" priority="3499" operator="equal">
      <formula>"CUMPLE"</formula>
    </cfRule>
  </conditionalFormatting>
  <conditionalFormatting sqref="K195">
    <cfRule type="expression" dxfId="6045" priority="3496">
      <formula>J195="NO CUMPLE"</formula>
    </cfRule>
    <cfRule type="expression" dxfId="6044" priority="3497">
      <formula>J195="CUMPLE"</formula>
    </cfRule>
  </conditionalFormatting>
  <conditionalFormatting sqref="K196:K197">
    <cfRule type="expression" dxfId="6043" priority="3494">
      <formula>J196="NO CUMPLE"</formula>
    </cfRule>
    <cfRule type="expression" dxfId="6042" priority="3495">
      <formula>J196="CUMPLE"</formula>
    </cfRule>
  </conditionalFormatting>
  <conditionalFormatting sqref="K198">
    <cfRule type="expression" dxfId="6041" priority="3492">
      <formula>J198="NO CUMPLE"</formula>
    </cfRule>
    <cfRule type="expression" dxfId="6040" priority="3493">
      <formula>J198="CUMPLE"</formula>
    </cfRule>
  </conditionalFormatting>
  <conditionalFormatting sqref="K199:K200">
    <cfRule type="expression" dxfId="6039" priority="3490">
      <formula>J199="NO CUMPLE"</formula>
    </cfRule>
    <cfRule type="expression" dxfId="6038" priority="3491">
      <formula>J199="CUMPLE"</formula>
    </cfRule>
  </conditionalFormatting>
  <conditionalFormatting sqref="K201">
    <cfRule type="expression" dxfId="6037" priority="3488">
      <formula>J201="NO CUMPLE"</formula>
    </cfRule>
    <cfRule type="expression" dxfId="6036" priority="3489">
      <formula>J201="CUMPLE"</formula>
    </cfRule>
  </conditionalFormatting>
  <conditionalFormatting sqref="K202:K203">
    <cfRule type="expression" dxfId="6035" priority="3486">
      <formula>J202="NO CUMPLE"</formula>
    </cfRule>
    <cfRule type="expression" dxfId="6034" priority="3487">
      <formula>J202="CUMPLE"</formula>
    </cfRule>
  </conditionalFormatting>
  <conditionalFormatting sqref="M193">
    <cfRule type="expression" dxfId="6033" priority="3270">
      <formula>L193="NO CUMPLE"</formula>
    </cfRule>
    <cfRule type="expression" dxfId="6032" priority="3271">
      <formula>L193="CUMPLE"</formula>
    </cfRule>
  </conditionalFormatting>
  <conditionalFormatting sqref="L192:L193">
    <cfRule type="cellIs" dxfId="6031" priority="3272" operator="equal">
      <formula>"NO CUMPLE"</formula>
    </cfRule>
    <cfRule type="cellIs" dxfId="6030" priority="3273" operator="equal">
      <formula>"CUMPLE"</formula>
    </cfRule>
  </conditionalFormatting>
  <conditionalFormatting sqref="M58">
    <cfRule type="expression" dxfId="6029" priority="3480">
      <formula>L58="NO CUMPLE"</formula>
    </cfRule>
    <cfRule type="expression" dxfId="6028" priority="3481">
      <formula>L58="CUMPLE"</formula>
    </cfRule>
  </conditionalFormatting>
  <conditionalFormatting sqref="M57">
    <cfRule type="expression" dxfId="6027" priority="3484">
      <formula>L57="NO CUMPLE"</formula>
    </cfRule>
    <cfRule type="expression" dxfId="6026" priority="3485">
      <formula>L57="CUMPLE"</formula>
    </cfRule>
  </conditionalFormatting>
  <conditionalFormatting sqref="L57:L58">
    <cfRule type="cellIs" dxfId="6025" priority="3482" operator="equal">
      <formula>"NO CUMPLE"</formula>
    </cfRule>
    <cfRule type="cellIs" dxfId="6024" priority="3483" operator="equal">
      <formula>"CUMPLE"</formula>
    </cfRule>
  </conditionalFormatting>
  <conditionalFormatting sqref="M192">
    <cfRule type="expression" dxfId="6023" priority="3274">
      <formula>L192="NO CUMPLE"</formula>
    </cfRule>
    <cfRule type="expression" dxfId="6022" priority="3275">
      <formula>L192="CUMPLE"</formula>
    </cfRule>
  </conditionalFormatting>
  <conditionalFormatting sqref="L38:L39">
    <cfRule type="cellIs" dxfId="6021" priority="3246" operator="equal">
      <formula>"NO CUMPLE"</formula>
    </cfRule>
    <cfRule type="cellIs" dxfId="6020" priority="3247" operator="equal">
      <formula>"CUMPLE"</formula>
    </cfRule>
  </conditionalFormatting>
  <conditionalFormatting sqref="M61">
    <cfRule type="expression" dxfId="6019" priority="3450">
      <formula>L61="NO CUMPLE"</formula>
    </cfRule>
    <cfRule type="expression" dxfId="6018" priority="3451">
      <formula>L61="CUMPLE"</formula>
    </cfRule>
  </conditionalFormatting>
  <conditionalFormatting sqref="M60">
    <cfRule type="expression" dxfId="6017" priority="3454">
      <formula>L60="NO CUMPLE"</formula>
    </cfRule>
    <cfRule type="expression" dxfId="6016" priority="3455">
      <formula>L60="CUMPLE"</formula>
    </cfRule>
  </conditionalFormatting>
  <conditionalFormatting sqref="L60:L61">
    <cfRule type="cellIs" dxfId="6015" priority="3452" operator="equal">
      <formula>"NO CUMPLE"</formula>
    </cfRule>
    <cfRule type="cellIs" dxfId="6014" priority="3453" operator="equal">
      <formula>"CUMPLE"</formula>
    </cfRule>
  </conditionalFormatting>
  <conditionalFormatting sqref="M64">
    <cfRule type="expression" dxfId="6013" priority="3444">
      <formula>L64="NO CUMPLE"</formula>
    </cfRule>
    <cfRule type="expression" dxfId="6012" priority="3445">
      <formula>L64="CUMPLE"</formula>
    </cfRule>
  </conditionalFormatting>
  <conditionalFormatting sqref="M63">
    <cfRule type="expression" dxfId="6011" priority="3448">
      <formula>L63="NO CUMPLE"</formula>
    </cfRule>
    <cfRule type="expression" dxfId="6010" priority="3449">
      <formula>L63="CUMPLE"</formula>
    </cfRule>
  </conditionalFormatting>
  <conditionalFormatting sqref="L63:L64">
    <cfRule type="cellIs" dxfId="6009" priority="3446" operator="equal">
      <formula>"NO CUMPLE"</formula>
    </cfRule>
    <cfRule type="cellIs" dxfId="6008" priority="3447" operator="equal">
      <formula>"CUMPLE"</formula>
    </cfRule>
  </conditionalFormatting>
  <conditionalFormatting sqref="M67">
    <cfRule type="expression" dxfId="6007" priority="3438">
      <formula>L67="NO CUMPLE"</formula>
    </cfRule>
    <cfRule type="expression" dxfId="6006" priority="3439">
      <formula>L67="CUMPLE"</formula>
    </cfRule>
  </conditionalFormatting>
  <conditionalFormatting sqref="M66">
    <cfRule type="expression" dxfId="6005" priority="3442">
      <formula>L66="NO CUMPLE"</formula>
    </cfRule>
    <cfRule type="expression" dxfId="6004" priority="3443">
      <formula>L66="CUMPLE"</formula>
    </cfRule>
  </conditionalFormatting>
  <conditionalFormatting sqref="L66:L67">
    <cfRule type="cellIs" dxfId="6003" priority="3440" operator="equal">
      <formula>"NO CUMPLE"</formula>
    </cfRule>
    <cfRule type="cellIs" dxfId="6002" priority="3441" operator="equal">
      <formula>"CUMPLE"</formula>
    </cfRule>
  </conditionalFormatting>
  <conditionalFormatting sqref="M70">
    <cfRule type="expression" dxfId="6001" priority="3432">
      <formula>L70="NO CUMPLE"</formula>
    </cfRule>
    <cfRule type="expression" dxfId="6000" priority="3433">
      <formula>L70="CUMPLE"</formula>
    </cfRule>
  </conditionalFormatting>
  <conditionalFormatting sqref="M69">
    <cfRule type="expression" dxfId="5999" priority="3436">
      <formula>L69="NO CUMPLE"</formula>
    </cfRule>
    <cfRule type="expression" dxfId="5998" priority="3437">
      <formula>L69="CUMPLE"</formula>
    </cfRule>
  </conditionalFormatting>
  <conditionalFormatting sqref="L69:L70">
    <cfRule type="cellIs" dxfId="5997" priority="3434" operator="equal">
      <formula>"NO CUMPLE"</formula>
    </cfRule>
    <cfRule type="cellIs" dxfId="5996" priority="3435" operator="equal">
      <formula>"CUMPLE"</formula>
    </cfRule>
  </conditionalFormatting>
  <conditionalFormatting sqref="M80">
    <cfRule type="expression" dxfId="5995" priority="3426">
      <formula>L80="NO CUMPLE"</formula>
    </cfRule>
    <cfRule type="expression" dxfId="5994" priority="3427">
      <formula>L80="CUMPLE"</formula>
    </cfRule>
  </conditionalFormatting>
  <conditionalFormatting sqref="M79">
    <cfRule type="expression" dxfId="5993" priority="3430">
      <formula>L79="NO CUMPLE"</formula>
    </cfRule>
    <cfRule type="expression" dxfId="5992" priority="3431">
      <formula>L79="CUMPLE"</formula>
    </cfRule>
  </conditionalFormatting>
  <conditionalFormatting sqref="L79:L80">
    <cfRule type="cellIs" dxfId="5991" priority="3428" operator="equal">
      <formula>"NO CUMPLE"</formula>
    </cfRule>
    <cfRule type="cellIs" dxfId="5990" priority="3429" operator="equal">
      <formula>"CUMPLE"</formula>
    </cfRule>
  </conditionalFormatting>
  <conditionalFormatting sqref="M83">
    <cfRule type="expression" dxfId="5989" priority="3420">
      <formula>L83="NO CUMPLE"</formula>
    </cfRule>
    <cfRule type="expression" dxfId="5988" priority="3421">
      <formula>L83="CUMPLE"</formula>
    </cfRule>
  </conditionalFormatting>
  <conditionalFormatting sqref="M82">
    <cfRule type="expression" dxfId="5987" priority="3424">
      <formula>L82="NO CUMPLE"</formula>
    </cfRule>
    <cfRule type="expression" dxfId="5986" priority="3425">
      <formula>L82="CUMPLE"</formula>
    </cfRule>
  </conditionalFormatting>
  <conditionalFormatting sqref="L82:L83">
    <cfRule type="cellIs" dxfId="5985" priority="3422" operator="equal">
      <formula>"NO CUMPLE"</formula>
    </cfRule>
    <cfRule type="cellIs" dxfId="5984" priority="3423" operator="equal">
      <formula>"CUMPLE"</formula>
    </cfRule>
  </conditionalFormatting>
  <conditionalFormatting sqref="M86">
    <cfRule type="expression" dxfId="5983" priority="3414">
      <formula>L86="NO CUMPLE"</formula>
    </cfRule>
    <cfRule type="expression" dxfId="5982" priority="3415">
      <formula>L86="CUMPLE"</formula>
    </cfRule>
  </conditionalFormatting>
  <conditionalFormatting sqref="M85">
    <cfRule type="expression" dxfId="5981" priority="3418">
      <formula>L85="NO CUMPLE"</formula>
    </cfRule>
    <cfRule type="expression" dxfId="5980" priority="3419">
      <formula>L85="CUMPLE"</formula>
    </cfRule>
  </conditionalFormatting>
  <conditionalFormatting sqref="L85:L86">
    <cfRule type="cellIs" dxfId="5979" priority="3416" operator="equal">
      <formula>"NO CUMPLE"</formula>
    </cfRule>
    <cfRule type="cellIs" dxfId="5978" priority="3417" operator="equal">
      <formula>"CUMPLE"</formula>
    </cfRule>
  </conditionalFormatting>
  <conditionalFormatting sqref="M89">
    <cfRule type="expression" dxfId="5977" priority="3408">
      <formula>L89="NO CUMPLE"</formula>
    </cfRule>
    <cfRule type="expression" dxfId="5976" priority="3409">
      <formula>L89="CUMPLE"</formula>
    </cfRule>
  </conditionalFormatting>
  <conditionalFormatting sqref="M88">
    <cfRule type="expression" dxfId="5975" priority="3412">
      <formula>L88="NO CUMPLE"</formula>
    </cfRule>
    <cfRule type="expression" dxfId="5974" priority="3413">
      <formula>L88="CUMPLE"</formula>
    </cfRule>
  </conditionalFormatting>
  <conditionalFormatting sqref="L88:L89">
    <cfRule type="cellIs" dxfId="5973" priority="3410" operator="equal">
      <formula>"NO CUMPLE"</formula>
    </cfRule>
    <cfRule type="cellIs" dxfId="5972" priority="3411" operator="equal">
      <formula>"CUMPLE"</formula>
    </cfRule>
  </conditionalFormatting>
  <conditionalFormatting sqref="M92">
    <cfRule type="expression" dxfId="5971" priority="3402">
      <formula>L92="NO CUMPLE"</formula>
    </cfRule>
    <cfRule type="expression" dxfId="5970" priority="3403">
      <formula>L92="CUMPLE"</formula>
    </cfRule>
  </conditionalFormatting>
  <conditionalFormatting sqref="M91">
    <cfRule type="expression" dxfId="5969" priority="3406">
      <formula>L91="NO CUMPLE"</formula>
    </cfRule>
    <cfRule type="expression" dxfId="5968" priority="3407">
      <formula>L91="CUMPLE"</formula>
    </cfRule>
  </conditionalFormatting>
  <conditionalFormatting sqref="L91:L92">
    <cfRule type="cellIs" dxfId="5967" priority="3404" operator="equal">
      <formula>"NO CUMPLE"</formula>
    </cfRule>
    <cfRule type="cellIs" dxfId="5966" priority="3405" operator="equal">
      <formula>"CUMPLE"</formula>
    </cfRule>
  </conditionalFormatting>
  <conditionalFormatting sqref="M102">
    <cfRule type="expression" dxfId="5965" priority="3396">
      <formula>L102="NO CUMPLE"</formula>
    </cfRule>
    <cfRule type="expression" dxfId="5964" priority="3397">
      <formula>L102="CUMPLE"</formula>
    </cfRule>
  </conditionalFormatting>
  <conditionalFormatting sqref="M101">
    <cfRule type="expression" dxfId="5963" priority="3400">
      <formula>L101="NO CUMPLE"</formula>
    </cfRule>
    <cfRule type="expression" dxfId="5962" priority="3401">
      <formula>L101="CUMPLE"</formula>
    </cfRule>
  </conditionalFormatting>
  <conditionalFormatting sqref="L101:L102">
    <cfRule type="cellIs" dxfId="5961" priority="3398" operator="equal">
      <formula>"NO CUMPLE"</formula>
    </cfRule>
    <cfRule type="cellIs" dxfId="5960" priority="3399" operator="equal">
      <formula>"CUMPLE"</formula>
    </cfRule>
  </conditionalFormatting>
  <conditionalFormatting sqref="M105">
    <cfRule type="expression" dxfId="5959" priority="3390">
      <formula>L105="NO CUMPLE"</formula>
    </cfRule>
    <cfRule type="expression" dxfId="5958" priority="3391">
      <formula>L105="CUMPLE"</formula>
    </cfRule>
  </conditionalFormatting>
  <conditionalFormatting sqref="M104">
    <cfRule type="expression" dxfId="5957" priority="3394">
      <formula>L104="NO CUMPLE"</formula>
    </cfRule>
    <cfRule type="expression" dxfId="5956" priority="3395">
      <formula>L104="CUMPLE"</formula>
    </cfRule>
  </conditionalFormatting>
  <conditionalFormatting sqref="L104:L105">
    <cfRule type="cellIs" dxfId="5955" priority="3392" operator="equal">
      <formula>"NO CUMPLE"</formula>
    </cfRule>
    <cfRule type="cellIs" dxfId="5954" priority="3393" operator="equal">
      <formula>"CUMPLE"</formula>
    </cfRule>
  </conditionalFormatting>
  <conditionalFormatting sqref="M108">
    <cfRule type="expression" dxfId="5953" priority="3384">
      <formula>L108="NO CUMPLE"</formula>
    </cfRule>
    <cfRule type="expression" dxfId="5952" priority="3385">
      <formula>L108="CUMPLE"</formula>
    </cfRule>
  </conditionalFormatting>
  <conditionalFormatting sqref="M107">
    <cfRule type="expression" dxfId="5951" priority="3388">
      <formula>L107="NO CUMPLE"</formula>
    </cfRule>
    <cfRule type="expression" dxfId="5950" priority="3389">
      <formula>L107="CUMPLE"</formula>
    </cfRule>
  </conditionalFormatting>
  <conditionalFormatting sqref="L107:L108">
    <cfRule type="cellIs" dxfId="5949" priority="3386" operator="equal">
      <formula>"NO CUMPLE"</formula>
    </cfRule>
    <cfRule type="cellIs" dxfId="5948" priority="3387" operator="equal">
      <formula>"CUMPLE"</formula>
    </cfRule>
  </conditionalFormatting>
  <conditionalFormatting sqref="M111">
    <cfRule type="expression" dxfId="5947" priority="3378">
      <formula>L111="NO CUMPLE"</formula>
    </cfRule>
    <cfRule type="expression" dxfId="5946" priority="3379">
      <formula>L111="CUMPLE"</formula>
    </cfRule>
  </conditionalFormatting>
  <conditionalFormatting sqref="M110">
    <cfRule type="expression" dxfId="5945" priority="3382">
      <formula>L110="NO CUMPLE"</formula>
    </cfRule>
    <cfRule type="expression" dxfId="5944" priority="3383">
      <formula>L110="CUMPLE"</formula>
    </cfRule>
  </conditionalFormatting>
  <conditionalFormatting sqref="L110:L111">
    <cfRule type="cellIs" dxfId="5943" priority="3380" operator="equal">
      <formula>"NO CUMPLE"</formula>
    </cfRule>
    <cfRule type="cellIs" dxfId="5942" priority="3381" operator="equal">
      <formula>"CUMPLE"</formula>
    </cfRule>
  </conditionalFormatting>
  <conditionalFormatting sqref="M123">
    <cfRule type="expression" dxfId="5941" priority="3370">
      <formula>L123="NO CUMPLE"</formula>
    </cfRule>
    <cfRule type="expression" dxfId="5940" priority="3371">
      <formula>L123="CUMPLE"</formula>
    </cfRule>
  </conditionalFormatting>
  <conditionalFormatting sqref="M157">
    <cfRule type="expression" dxfId="5939" priority="3316">
      <formula>L157="NO CUMPLE"</formula>
    </cfRule>
    <cfRule type="expression" dxfId="5938" priority="3317">
      <formula>L157="CUMPLE"</formula>
    </cfRule>
  </conditionalFormatting>
  <conditionalFormatting sqref="M158">
    <cfRule type="expression" dxfId="5937" priority="3312">
      <formula>L158="NO CUMPLE"</formula>
    </cfRule>
    <cfRule type="expression" dxfId="5936" priority="3313">
      <formula>L158="CUMPLE"</formula>
    </cfRule>
  </conditionalFormatting>
  <conditionalFormatting sqref="L157:L158">
    <cfRule type="cellIs" dxfId="5935" priority="3314" operator="equal">
      <formula>"NO CUMPLE"</formula>
    </cfRule>
    <cfRule type="cellIs" dxfId="5934" priority="3315" operator="equal">
      <formula>"CUMPLE"</formula>
    </cfRule>
  </conditionalFormatting>
  <conditionalFormatting sqref="M168">
    <cfRule type="expression" dxfId="5933" priority="3306">
      <formula>L168="NO CUMPLE"</formula>
    </cfRule>
    <cfRule type="expression" dxfId="5932" priority="3307">
      <formula>L168="CUMPLE"</formula>
    </cfRule>
  </conditionalFormatting>
  <conditionalFormatting sqref="M167">
    <cfRule type="expression" dxfId="5931" priority="3310">
      <formula>L167="NO CUMPLE"</formula>
    </cfRule>
    <cfRule type="expression" dxfId="5930" priority="3311">
      <formula>L167="CUMPLE"</formula>
    </cfRule>
  </conditionalFormatting>
  <conditionalFormatting sqref="L167:L168">
    <cfRule type="cellIs" dxfId="5929" priority="3308" operator="equal">
      <formula>"NO CUMPLE"</formula>
    </cfRule>
    <cfRule type="cellIs" dxfId="5928" priority="3309" operator="equal">
      <formula>"CUMPLE"</formula>
    </cfRule>
  </conditionalFormatting>
  <conditionalFormatting sqref="M171">
    <cfRule type="expression" dxfId="5927" priority="3300">
      <formula>L171="NO CUMPLE"</formula>
    </cfRule>
    <cfRule type="expression" dxfId="5926" priority="3301">
      <formula>L171="CUMPLE"</formula>
    </cfRule>
  </conditionalFormatting>
  <conditionalFormatting sqref="M170">
    <cfRule type="expression" dxfId="5925" priority="3304">
      <formula>L170="NO CUMPLE"</formula>
    </cfRule>
    <cfRule type="expression" dxfId="5924" priority="3305">
      <formula>L170="CUMPLE"</formula>
    </cfRule>
  </conditionalFormatting>
  <conditionalFormatting sqref="L170:L171">
    <cfRule type="cellIs" dxfId="5923" priority="3302" operator="equal">
      <formula>"NO CUMPLE"</formula>
    </cfRule>
    <cfRule type="cellIs" dxfId="5922" priority="3303" operator="equal">
      <formula>"CUMPLE"</formula>
    </cfRule>
  </conditionalFormatting>
  <conditionalFormatting sqref="M174">
    <cfRule type="expression" dxfId="5921" priority="3294">
      <formula>L174="NO CUMPLE"</formula>
    </cfRule>
    <cfRule type="expression" dxfId="5920" priority="3295">
      <formula>L174="CUMPLE"</formula>
    </cfRule>
  </conditionalFormatting>
  <conditionalFormatting sqref="M173">
    <cfRule type="expression" dxfId="5919" priority="3298">
      <formula>L173="NO CUMPLE"</formula>
    </cfRule>
    <cfRule type="expression" dxfId="5918" priority="3299">
      <formula>L173="CUMPLE"</formula>
    </cfRule>
  </conditionalFormatting>
  <conditionalFormatting sqref="L173:L174">
    <cfRule type="cellIs" dxfId="5917" priority="3296" operator="equal">
      <formula>"NO CUMPLE"</formula>
    </cfRule>
    <cfRule type="cellIs" dxfId="5916" priority="3297" operator="equal">
      <formula>"CUMPLE"</formula>
    </cfRule>
  </conditionalFormatting>
  <conditionalFormatting sqref="M177">
    <cfRule type="expression" dxfId="5915" priority="3288">
      <formula>L177="NO CUMPLE"</formula>
    </cfRule>
    <cfRule type="expression" dxfId="5914" priority="3289">
      <formula>L177="CUMPLE"</formula>
    </cfRule>
  </conditionalFormatting>
  <conditionalFormatting sqref="M176">
    <cfRule type="expression" dxfId="5913" priority="3292">
      <formula>L176="NO CUMPLE"</formula>
    </cfRule>
    <cfRule type="expression" dxfId="5912" priority="3293">
      <formula>L176="CUMPLE"</formula>
    </cfRule>
  </conditionalFormatting>
  <conditionalFormatting sqref="L176:L177">
    <cfRule type="cellIs" dxfId="5911" priority="3290" operator="equal">
      <formula>"NO CUMPLE"</formula>
    </cfRule>
    <cfRule type="cellIs" dxfId="5910" priority="3291" operator="equal">
      <formula>"CUMPLE"</formula>
    </cfRule>
  </conditionalFormatting>
  <conditionalFormatting sqref="M180">
    <cfRule type="expression" dxfId="5909" priority="3282">
      <formula>L180="NO CUMPLE"</formula>
    </cfRule>
    <cfRule type="expression" dxfId="5908" priority="3283">
      <formula>L180="CUMPLE"</formula>
    </cfRule>
  </conditionalFormatting>
  <conditionalFormatting sqref="M179">
    <cfRule type="expression" dxfId="5907" priority="3286">
      <formula>L179="NO CUMPLE"</formula>
    </cfRule>
    <cfRule type="expression" dxfId="5906" priority="3287">
      <formula>L179="CUMPLE"</formula>
    </cfRule>
  </conditionalFormatting>
  <conditionalFormatting sqref="L179:L180">
    <cfRule type="cellIs" dxfId="5905" priority="3284" operator="equal">
      <formula>"NO CUMPLE"</formula>
    </cfRule>
    <cfRule type="cellIs" dxfId="5904" priority="3285" operator="equal">
      <formula>"CUMPLE"</formula>
    </cfRule>
  </conditionalFormatting>
  <conditionalFormatting sqref="M190">
    <cfRule type="expression" dxfId="5903" priority="3276">
      <formula>L190="NO CUMPLE"</formula>
    </cfRule>
    <cfRule type="expression" dxfId="5902" priority="3277">
      <formula>L190="CUMPLE"</formula>
    </cfRule>
  </conditionalFormatting>
  <conditionalFormatting sqref="M189">
    <cfRule type="expression" dxfId="5901" priority="3280">
      <formula>L189="NO CUMPLE"</formula>
    </cfRule>
    <cfRule type="expression" dxfId="5900" priority="3281">
      <formula>L189="CUMPLE"</formula>
    </cfRule>
  </conditionalFormatting>
  <conditionalFormatting sqref="L189:L190">
    <cfRule type="cellIs" dxfId="5899" priority="3278" operator="equal">
      <formula>"NO CUMPLE"</formula>
    </cfRule>
    <cfRule type="cellIs" dxfId="5898" priority="3279" operator="equal">
      <formula>"CUMPLE"</formula>
    </cfRule>
  </conditionalFormatting>
  <conditionalFormatting sqref="M196">
    <cfRule type="expression" dxfId="5897" priority="3264">
      <formula>L196="NO CUMPLE"</formula>
    </cfRule>
    <cfRule type="expression" dxfId="5896" priority="3265">
      <formula>L196="CUMPLE"</formula>
    </cfRule>
  </conditionalFormatting>
  <conditionalFormatting sqref="M195">
    <cfRule type="expression" dxfId="5895" priority="3268">
      <formula>L195="NO CUMPLE"</formula>
    </cfRule>
    <cfRule type="expression" dxfId="5894" priority="3269">
      <formula>L195="CUMPLE"</formula>
    </cfRule>
  </conditionalFormatting>
  <conditionalFormatting sqref="L195:L196">
    <cfRule type="cellIs" dxfId="5893" priority="3266" operator="equal">
      <formula>"NO CUMPLE"</formula>
    </cfRule>
    <cfRule type="cellIs" dxfId="5892" priority="3267" operator="equal">
      <formula>"CUMPLE"</formula>
    </cfRule>
  </conditionalFormatting>
  <conditionalFormatting sqref="L44:L45">
    <cfRule type="cellIs" dxfId="5891" priority="3234" operator="equal">
      <formula>"NO CUMPLE"</formula>
    </cfRule>
    <cfRule type="cellIs" dxfId="5890" priority="3235" operator="equal">
      <formula>"CUMPLE"</formula>
    </cfRule>
  </conditionalFormatting>
  <conditionalFormatting sqref="M202">
    <cfRule type="expression" dxfId="5889" priority="3252">
      <formula>L202="NO CUMPLE"</formula>
    </cfRule>
    <cfRule type="expression" dxfId="5888" priority="3253">
      <formula>L202="CUMPLE"</formula>
    </cfRule>
  </conditionalFormatting>
  <conditionalFormatting sqref="M201">
    <cfRule type="expression" dxfId="5887" priority="3256">
      <formula>L201="NO CUMPLE"</formula>
    </cfRule>
    <cfRule type="expression" dxfId="5886" priority="3257">
      <formula>L201="CUMPLE"</formula>
    </cfRule>
  </conditionalFormatting>
  <conditionalFormatting sqref="L201:L202">
    <cfRule type="cellIs" dxfId="5885" priority="3254" operator="equal">
      <formula>"NO CUMPLE"</formula>
    </cfRule>
    <cfRule type="cellIs" dxfId="5884" priority="3255" operator="equal">
      <formula>"CUMPLE"</formula>
    </cfRule>
  </conditionalFormatting>
  <conditionalFormatting sqref="S13">
    <cfRule type="cellIs" dxfId="5883" priority="3250" operator="greaterThan">
      <formula>0</formula>
    </cfRule>
    <cfRule type="top10" dxfId="5882" priority="3251" rank="10"/>
  </conditionalFormatting>
  <conditionalFormatting sqref="L41:L42">
    <cfRule type="cellIs" dxfId="5881" priority="3240" operator="equal">
      <formula>"NO CUMPLE"</formula>
    </cfRule>
    <cfRule type="cellIs" dxfId="5880" priority="3241" operator="equal">
      <formula>"CUMPLE"</formula>
    </cfRule>
  </conditionalFormatting>
  <conditionalFormatting sqref="L47:L48">
    <cfRule type="cellIs" dxfId="5879" priority="3228" operator="equal">
      <formula>"NO CUMPLE"</formula>
    </cfRule>
    <cfRule type="cellIs" dxfId="5878" priority="3229" operator="equal">
      <formula>"CUMPLE"</formula>
    </cfRule>
  </conditionalFormatting>
  <conditionalFormatting sqref="M20 M23 M26">
    <cfRule type="expression" dxfId="5877" priority="3222">
      <formula>L20="NO CUMPLE"</formula>
    </cfRule>
    <cfRule type="expression" dxfId="5876" priority="3223">
      <formula>L20="CUMPLE"</formula>
    </cfRule>
  </conditionalFormatting>
  <conditionalFormatting sqref="M19 M22 M25">
    <cfRule type="expression" dxfId="5875" priority="3224">
      <formula>L19="NO CUMPLE"</formula>
    </cfRule>
    <cfRule type="expression" dxfId="5874" priority="3225">
      <formula>L19="CUMPLE"</formula>
    </cfRule>
  </conditionalFormatting>
  <conditionalFormatting sqref="Q16">
    <cfRule type="containsBlanks" dxfId="5873" priority="3213">
      <formula>LEN(TRIM(Q16))=0</formula>
    </cfRule>
    <cfRule type="cellIs" dxfId="5872" priority="3218" operator="equal">
      <formula>"REQUERIMIENTOS SUBSANADOS"</formula>
    </cfRule>
    <cfRule type="containsText" dxfId="5871" priority="3219" operator="containsText" text="NO SUBSANABLE">
      <formula>NOT(ISERROR(SEARCH("NO SUBSANABLE",Q16)))</formula>
    </cfRule>
    <cfRule type="containsText" dxfId="5870" priority="3220" operator="containsText" text="PENDIENTES POR SUBSANAR">
      <formula>NOT(ISERROR(SEARCH("PENDIENTES POR SUBSANAR",Q16)))</formula>
    </cfRule>
    <cfRule type="containsText" dxfId="5869" priority="3221" operator="containsText" text="SIN OBSERVACIÓN">
      <formula>NOT(ISERROR(SEARCH("SIN OBSERVACIÓN",Q16)))</formula>
    </cfRule>
  </conditionalFormatting>
  <conditionalFormatting sqref="R16">
    <cfRule type="containsBlanks" dxfId="5868" priority="3212">
      <formula>LEN(TRIM(R16))=0</formula>
    </cfRule>
    <cfRule type="cellIs" dxfId="5867" priority="3214" operator="equal">
      <formula>"NO CUMPLEN CON LO SOLICITADO"</formula>
    </cfRule>
    <cfRule type="cellIs" dxfId="5866" priority="3215" operator="equal">
      <formula>"CUMPLEN CON LO SOLICITADO"</formula>
    </cfRule>
    <cfRule type="cellIs" dxfId="5865" priority="3216" operator="equal">
      <formula>"PENDIENTES"</formula>
    </cfRule>
    <cfRule type="cellIs" dxfId="5864" priority="3217" operator="equal">
      <formula>"NINGUNO"</formula>
    </cfRule>
  </conditionalFormatting>
  <conditionalFormatting sqref="N41">
    <cfRule type="expression" dxfId="5863" priority="3183">
      <formula>N41=" "</formula>
    </cfRule>
    <cfRule type="expression" dxfId="5862" priority="3184">
      <formula>N41="NO PRESENTÓ CERTIFICADO"</formula>
    </cfRule>
    <cfRule type="expression" dxfId="5861" priority="3185">
      <formula>N41="PRESENTÓ CERTIFICADO"</formula>
    </cfRule>
  </conditionalFormatting>
  <conditionalFormatting sqref="Q41">
    <cfRule type="containsBlanks" dxfId="5860" priority="3170">
      <formula>LEN(TRIM(Q41))=0</formula>
    </cfRule>
    <cfRule type="cellIs" dxfId="5859" priority="3176" operator="equal">
      <formula>"REQUERIMIENTOS SUBSANADOS"</formula>
    </cfRule>
    <cfRule type="containsText" dxfId="5858" priority="3180" operator="containsText" text="NO SUBSANABLE">
      <formula>NOT(ISERROR(SEARCH("NO SUBSANABLE",Q41)))</formula>
    </cfRule>
    <cfRule type="containsText" dxfId="5857" priority="3181" operator="containsText" text="PENDIENTES POR SUBSANAR">
      <formula>NOT(ISERROR(SEARCH("PENDIENTES POR SUBSANAR",Q41)))</formula>
    </cfRule>
    <cfRule type="containsText" dxfId="5856" priority="3182" operator="containsText" text="SIN OBSERVACIÓN">
      <formula>NOT(ISERROR(SEARCH("SIN OBSERVACIÓN",Q41)))</formula>
    </cfRule>
  </conditionalFormatting>
  <conditionalFormatting sqref="R41">
    <cfRule type="containsBlanks" dxfId="5855" priority="3169">
      <formula>LEN(TRIM(R41))=0</formula>
    </cfRule>
    <cfRule type="cellIs" dxfId="5854" priority="3171" operator="equal">
      <formula>"NO CUMPLEN CON LO SOLICITADO"</formula>
    </cfRule>
    <cfRule type="cellIs" dxfId="5853" priority="3172" operator="equal">
      <formula>"CUMPLEN CON LO SOLICITADO"</formula>
    </cfRule>
    <cfRule type="cellIs" dxfId="5852" priority="3173" operator="equal">
      <formula>"PENDIENTES"</formula>
    </cfRule>
    <cfRule type="cellIs" dxfId="5851" priority="3174" operator="equal">
      <formula>"NINGUNO"</formula>
    </cfRule>
  </conditionalFormatting>
  <conditionalFormatting sqref="P41">
    <cfRule type="expression" dxfId="5850" priority="3160">
      <formula>Q41="NO SUBSANABLE"</formula>
    </cfRule>
    <cfRule type="expression" dxfId="5849" priority="3161">
      <formula>Q41="REQUERIMIENTOS SUBSANADOS"</formula>
    </cfRule>
    <cfRule type="expression" dxfId="5848" priority="3162">
      <formula>Q41="PENDIENTES POR SUBSANAR"</formula>
    </cfRule>
    <cfRule type="expression" dxfId="5847" priority="3163">
      <formula>Q41="SIN OBSERVACIÓN"</formula>
    </cfRule>
    <cfRule type="containsBlanks" dxfId="5846" priority="3164">
      <formula>LEN(TRIM(P41))=0</formula>
    </cfRule>
  </conditionalFormatting>
  <conditionalFormatting sqref="N44">
    <cfRule type="expression" dxfId="5845" priority="3157">
      <formula>N44=" "</formula>
    </cfRule>
    <cfRule type="expression" dxfId="5844" priority="3158">
      <formula>N44="NO PRESENTÓ CERTIFICADO"</formula>
    </cfRule>
    <cfRule type="expression" dxfId="5843" priority="3159">
      <formula>N44="PRESENTÓ CERTIFICADO"</formula>
    </cfRule>
  </conditionalFormatting>
  <conditionalFormatting sqref="Q44">
    <cfRule type="containsBlanks" dxfId="5842" priority="3144">
      <formula>LEN(TRIM(Q44))=0</formula>
    </cfRule>
    <cfRule type="cellIs" dxfId="5841" priority="3150" operator="equal">
      <formula>"REQUERIMIENTOS SUBSANADOS"</formula>
    </cfRule>
    <cfRule type="containsText" dxfId="5840" priority="3154" operator="containsText" text="NO SUBSANABLE">
      <formula>NOT(ISERROR(SEARCH("NO SUBSANABLE",Q44)))</formula>
    </cfRule>
    <cfRule type="containsText" dxfId="5839" priority="3155" operator="containsText" text="PENDIENTES POR SUBSANAR">
      <formula>NOT(ISERROR(SEARCH("PENDIENTES POR SUBSANAR",Q44)))</formula>
    </cfRule>
    <cfRule type="containsText" dxfId="5838" priority="3156" operator="containsText" text="SIN OBSERVACIÓN">
      <formula>NOT(ISERROR(SEARCH("SIN OBSERVACIÓN",Q44)))</formula>
    </cfRule>
  </conditionalFormatting>
  <conditionalFormatting sqref="R44">
    <cfRule type="containsBlanks" dxfId="5837" priority="3143">
      <formula>LEN(TRIM(R44))=0</formula>
    </cfRule>
    <cfRule type="cellIs" dxfId="5836" priority="3145" operator="equal">
      <formula>"NO CUMPLEN CON LO SOLICITADO"</formula>
    </cfRule>
    <cfRule type="cellIs" dxfId="5835" priority="3146" operator="equal">
      <formula>"CUMPLEN CON LO SOLICITADO"</formula>
    </cfRule>
    <cfRule type="cellIs" dxfId="5834" priority="3147" operator="equal">
      <formula>"PENDIENTES"</formula>
    </cfRule>
    <cfRule type="cellIs" dxfId="5833" priority="3148" operator="equal">
      <formula>"NINGUNO"</formula>
    </cfRule>
  </conditionalFormatting>
  <conditionalFormatting sqref="P44">
    <cfRule type="expression" dxfId="5832" priority="3134">
      <formula>Q44="NO SUBSANABLE"</formula>
    </cfRule>
    <cfRule type="expression" dxfId="5831" priority="3135">
      <formula>Q44="REQUERIMIENTOS SUBSANADOS"</formula>
    </cfRule>
    <cfRule type="expression" dxfId="5830" priority="3136">
      <formula>Q44="PENDIENTES POR SUBSANAR"</formula>
    </cfRule>
    <cfRule type="expression" dxfId="5829" priority="3137">
      <formula>Q44="SIN OBSERVACIÓN"</formula>
    </cfRule>
    <cfRule type="containsBlanks" dxfId="5828" priority="3138">
      <formula>LEN(TRIM(P44))=0</formula>
    </cfRule>
  </conditionalFormatting>
  <conditionalFormatting sqref="N47">
    <cfRule type="expression" dxfId="5827" priority="3131">
      <formula>N47=" "</formula>
    </cfRule>
    <cfRule type="expression" dxfId="5826" priority="3132">
      <formula>N47="NO PRESENTÓ CERTIFICADO"</formula>
    </cfRule>
    <cfRule type="expression" dxfId="5825" priority="3133">
      <formula>N47="PRESENTÓ CERTIFICADO"</formula>
    </cfRule>
  </conditionalFormatting>
  <conditionalFormatting sqref="Q47">
    <cfRule type="containsBlanks" dxfId="5824" priority="3118">
      <formula>LEN(TRIM(Q47))=0</formula>
    </cfRule>
    <cfRule type="cellIs" dxfId="5823" priority="3124" operator="equal">
      <formula>"REQUERIMIENTOS SUBSANADOS"</formula>
    </cfRule>
    <cfRule type="containsText" dxfId="5822" priority="3128" operator="containsText" text="NO SUBSANABLE">
      <formula>NOT(ISERROR(SEARCH("NO SUBSANABLE",Q47)))</formula>
    </cfRule>
    <cfRule type="containsText" dxfId="5821" priority="3129" operator="containsText" text="PENDIENTES POR SUBSANAR">
      <formula>NOT(ISERROR(SEARCH("PENDIENTES POR SUBSANAR",Q47)))</formula>
    </cfRule>
    <cfRule type="containsText" dxfId="5820" priority="3130" operator="containsText" text="SIN OBSERVACIÓN">
      <formula>NOT(ISERROR(SEARCH("SIN OBSERVACIÓN",Q47)))</formula>
    </cfRule>
  </conditionalFormatting>
  <conditionalFormatting sqref="R47">
    <cfRule type="containsBlanks" dxfId="5819" priority="3117">
      <formula>LEN(TRIM(R47))=0</formula>
    </cfRule>
    <cfRule type="cellIs" dxfId="5818" priority="3119" operator="equal">
      <formula>"NO CUMPLEN CON LO SOLICITADO"</formula>
    </cfRule>
    <cfRule type="cellIs" dxfId="5817" priority="3120" operator="equal">
      <formula>"CUMPLEN CON LO SOLICITADO"</formula>
    </cfRule>
    <cfRule type="cellIs" dxfId="5816" priority="3121" operator="equal">
      <formula>"PENDIENTES"</formula>
    </cfRule>
    <cfRule type="cellIs" dxfId="5815" priority="3122" operator="equal">
      <formula>"NINGUNO"</formula>
    </cfRule>
  </conditionalFormatting>
  <conditionalFormatting sqref="P47">
    <cfRule type="expression" dxfId="5814" priority="3108">
      <formula>Q47="NO SUBSANABLE"</formula>
    </cfRule>
    <cfRule type="expression" dxfId="5813" priority="3109">
      <formula>Q47="REQUERIMIENTOS SUBSANADOS"</formula>
    </cfRule>
    <cfRule type="expression" dxfId="5812" priority="3110">
      <formula>Q47="PENDIENTES POR SUBSANAR"</formula>
    </cfRule>
    <cfRule type="expression" dxfId="5811" priority="3111">
      <formula>Q47="SIN OBSERVACIÓN"</formula>
    </cfRule>
    <cfRule type="containsBlanks" dxfId="5810" priority="3112">
      <formula>LEN(TRIM(P47))=0</formula>
    </cfRule>
  </conditionalFormatting>
  <conditionalFormatting sqref="N88">
    <cfRule type="expression" dxfId="5809" priority="2975">
      <formula>N88=" "</formula>
    </cfRule>
    <cfRule type="expression" dxfId="5808" priority="2976">
      <formula>N88="NO PRESENTÓ CERTIFICADO"</formula>
    </cfRule>
    <cfRule type="expression" dxfId="5807" priority="2977">
      <formula>N88="PRESENTÓ CERTIFICADO"</formula>
    </cfRule>
  </conditionalFormatting>
  <conditionalFormatting sqref="Q88">
    <cfRule type="containsBlanks" dxfId="5806" priority="2962">
      <formula>LEN(TRIM(Q88))=0</formula>
    </cfRule>
    <cfRule type="cellIs" dxfId="5805" priority="2968" operator="equal">
      <formula>"REQUERIMIENTOS SUBSANADOS"</formula>
    </cfRule>
    <cfRule type="containsText" dxfId="5804" priority="2972" operator="containsText" text="NO SUBSANABLE">
      <formula>NOT(ISERROR(SEARCH("NO SUBSANABLE",Q88)))</formula>
    </cfRule>
    <cfRule type="containsText" dxfId="5803" priority="2973" operator="containsText" text="PENDIENTES POR SUBSANAR">
      <formula>NOT(ISERROR(SEARCH("PENDIENTES POR SUBSANAR",Q88)))</formula>
    </cfRule>
    <cfRule type="containsText" dxfId="5802" priority="2974" operator="containsText" text="SIN OBSERVACIÓN">
      <formula>NOT(ISERROR(SEARCH("SIN OBSERVACIÓN",Q88)))</formula>
    </cfRule>
  </conditionalFormatting>
  <conditionalFormatting sqref="R88">
    <cfRule type="containsBlanks" dxfId="5801" priority="2961">
      <formula>LEN(TRIM(R88))=0</formula>
    </cfRule>
    <cfRule type="cellIs" dxfId="5800" priority="2963" operator="equal">
      <formula>"NO CUMPLEN CON LO SOLICITADO"</formula>
    </cfRule>
    <cfRule type="cellIs" dxfId="5799" priority="2964" operator="equal">
      <formula>"CUMPLEN CON LO SOLICITADO"</formula>
    </cfRule>
    <cfRule type="cellIs" dxfId="5798" priority="2965" operator="equal">
      <formula>"PENDIENTES"</formula>
    </cfRule>
    <cfRule type="cellIs" dxfId="5797" priority="2966" operator="equal">
      <formula>"NINGUNO"</formula>
    </cfRule>
  </conditionalFormatting>
  <conditionalFormatting sqref="P88">
    <cfRule type="expression" dxfId="5796" priority="2952">
      <formula>Q88="NO SUBSANABLE"</formula>
    </cfRule>
    <cfRule type="expression" dxfId="5795" priority="2953">
      <formula>Q88="REQUERIMIENTOS SUBSANADOS"</formula>
    </cfRule>
    <cfRule type="expression" dxfId="5794" priority="2954">
      <formula>Q88="PENDIENTES POR SUBSANAR"</formula>
    </cfRule>
    <cfRule type="expression" dxfId="5793" priority="2955">
      <formula>Q88="SIN OBSERVACIÓN"</formula>
    </cfRule>
    <cfRule type="containsBlanks" dxfId="5792" priority="2956">
      <formula>LEN(TRIM(P88))=0</formula>
    </cfRule>
  </conditionalFormatting>
  <conditionalFormatting sqref="N91">
    <cfRule type="expression" dxfId="5791" priority="2949">
      <formula>N91=" "</formula>
    </cfRule>
    <cfRule type="expression" dxfId="5790" priority="2950">
      <formula>N91="NO PRESENTÓ CERTIFICADO"</formula>
    </cfRule>
    <cfRule type="expression" dxfId="5789" priority="2951">
      <formula>N91="PRESENTÓ CERTIFICADO"</formula>
    </cfRule>
  </conditionalFormatting>
  <conditionalFormatting sqref="Q91">
    <cfRule type="containsBlanks" dxfId="5788" priority="2936">
      <formula>LEN(TRIM(Q91))=0</formula>
    </cfRule>
    <cfRule type="cellIs" dxfId="5787" priority="2942" operator="equal">
      <formula>"REQUERIMIENTOS SUBSANADOS"</formula>
    </cfRule>
    <cfRule type="containsText" dxfId="5786" priority="2946" operator="containsText" text="NO SUBSANABLE">
      <formula>NOT(ISERROR(SEARCH("NO SUBSANABLE",Q91)))</formula>
    </cfRule>
    <cfRule type="containsText" dxfId="5785" priority="2947" operator="containsText" text="PENDIENTES POR SUBSANAR">
      <formula>NOT(ISERROR(SEARCH("PENDIENTES POR SUBSANAR",Q91)))</formula>
    </cfRule>
    <cfRule type="containsText" dxfId="5784" priority="2948" operator="containsText" text="SIN OBSERVACIÓN">
      <formula>NOT(ISERROR(SEARCH("SIN OBSERVACIÓN",Q91)))</formula>
    </cfRule>
  </conditionalFormatting>
  <conditionalFormatting sqref="R91">
    <cfRule type="containsBlanks" dxfId="5783" priority="2935">
      <formula>LEN(TRIM(R91))=0</formula>
    </cfRule>
    <cfRule type="cellIs" dxfId="5782" priority="2937" operator="equal">
      <formula>"NO CUMPLEN CON LO SOLICITADO"</formula>
    </cfRule>
    <cfRule type="cellIs" dxfId="5781" priority="2938" operator="equal">
      <formula>"CUMPLEN CON LO SOLICITADO"</formula>
    </cfRule>
    <cfRule type="cellIs" dxfId="5780" priority="2939" operator="equal">
      <formula>"PENDIENTES"</formula>
    </cfRule>
    <cfRule type="cellIs" dxfId="5779" priority="2940" operator="equal">
      <formula>"NINGUNO"</formula>
    </cfRule>
  </conditionalFormatting>
  <conditionalFormatting sqref="P91">
    <cfRule type="expression" dxfId="5778" priority="2926">
      <formula>Q91="NO SUBSANABLE"</formula>
    </cfRule>
    <cfRule type="expression" dxfId="5777" priority="2927">
      <formula>Q91="REQUERIMIENTOS SUBSANADOS"</formula>
    </cfRule>
    <cfRule type="expression" dxfId="5776" priority="2928">
      <formula>Q91="PENDIENTES POR SUBSANAR"</formula>
    </cfRule>
    <cfRule type="expression" dxfId="5775" priority="2929">
      <formula>Q91="SIN OBSERVACIÓN"</formula>
    </cfRule>
    <cfRule type="containsBlanks" dxfId="5774" priority="2930">
      <formula>LEN(TRIM(P91))=0</formula>
    </cfRule>
  </conditionalFormatting>
  <conditionalFormatting sqref="P107">
    <cfRule type="expression" dxfId="5773" priority="2848">
      <formula>Q107="NO SUBSANABLE"</formula>
    </cfRule>
    <cfRule type="expression" dxfId="5772" priority="2849">
      <formula>Q107="REQUERIMIENTOS SUBSANADOS"</formula>
    </cfRule>
    <cfRule type="expression" dxfId="5771" priority="2850">
      <formula>Q107="PENDIENTES POR SUBSANAR"</formula>
    </cfRule>
    <cfRule type="expression" dxfId="5770" priority="2851">
      <formula>Q107="SIN OBSERVACIÓN"</formula>
    </cfRule>
    <cfRule type="containsBlanks" dxfId="5769" priority="2852">
      <formula>LEN(TRIM(P107))=0</formula>
    </cfRule>
  </conditionalFormatting>
  <conditionalFormatting sqref="N135">
    <cfRule type="expression" dxfId="5768" priority="2787">
      <formula>N135=" "</formula>
    </cfRule>
    <cfRule type="expression" dxfId="5767" priority="2788">
      <formula>N135="NO PRESENTÓ CERTIFICADO"</formula>
    </cfRule>
    <cfRule type="expression" dxfId="5766" priority="2789">
      <formula>N135="PRESENTÓ CERTIFICADO"</formula>
    </cfRule>
  </conditionalFormatting>
  <conditionalFormatting sqref="O135">
    <cfRule type="cellIs" dxfId="5765" priority="2769" operator="equal">
      <formula>"PENDIENTE POR DESCRIPCIÓN"</formula>
    </cfRule>
    <cfRule type="cellIs" dxfId="5764" priority="2770" operator="equal">
      <formula>"DESCRIPCIÓN INSUFICIENTE"</formula>
    </cfRule>
    <cfRule type="cellIs" dxfId="5763" priority="2771" operator="equal">
      <formula>"NO ESTÁ ACORDE A ITEM 5.2.2 (T.R.)"</formula>
    </cfRule>
    <cfRule type="cellIs" dxfId="5762" priority="2772" operator="equal">
      <formula>"ACORDE A ITEM 5.2.2 (T.R.)"</formula>
    </cfRule>
    <cfRule type="cellIs" dxfId="5761" priority="2779" operator="equal">
      <formula>"PENDIENTE POR DESCRIPCIÓN"</formula>
    </cfRule>
    <cfRule type="cellIs" dxfId="5760" priority="2781" operator="equal">
      <formula>"DESCRIPCIÓN INSUFICIENTE"</formula>
    </cfRule>
    <cfRule type="cellIs" dxfId="5759" priority="2782" operator="equal">
      <formula>"NO ESTÁ ACORDE A ITEM 5.2.1 (T.R.)"</formula>
    </cfRule>
    <cfRule type="cellIs" dxfId="5758" priority="2783" operator="equal">
      <formula>"ACORDE A ITEM 5.2.1 (T.R.)"</formula>
    </cfRule>
  </conditionalFormatting>
  <conditionalFormatting sqref="Q135">
    <cfRule type="containsBlanks" dxfId="5757" priority="2774">
      <formula>LEN(TRIM(Q135))=0</formula>
    </cfRule>
    <cfRule type="cellIs" dxfId="5756" priority="2780" operator="equal">
      <formula>"REQUERIMIENTOS SUBSANADOS"</formula>
    </cfRule>
    <cfRule type="containsText" dxfId="5755" priority="2784" operator="containsText" text="NO SUBSANABLE">
      <formula>NOT(ISERROR(SEARCH("NO SUBSANABLE",Q135)))</formula>
    </cfRule>
    <cfRule type="containsText" dxfId="5754" priority="2785" operator="containsText" text="PENDIENTES POR SUBSANAR">
      <formula>NOT(ISERROR(SEARCH("PENDIENTES POR SUBSANAR",Q135)))</formula>
    </cfRule>
    <cfRule type="containsText" dxfId="5753" priority="2786" operator="containsText" text="SIN OBSERVACIÓN">
      <formula>NOT(ISERROR(SEARCH("SIN OBSERVACIÓN",Q135)))</formula>
    </cfRule>
  </conditionalFormatting>
  <conditionalFormatting sqref="R135">
    <cfRule type="containsBlanks" dxfId="5752" priority="2773">
      <formula>LEN(TRIM(R135))=0</formula>
    </cfRule>
    <cfRule type="cellIs" dxfId="5751" priority="2775" operator="equal">
      <formula>"NO CUMPLEN CON LO SOLICITADO"</formula>
    </cfRule>
    <cfRule type="cellIs" dxfId="5750" priority="2776" operator="equal">
      <formula>"CUMPLEN CON LO SOLICITADO"</formula>
    </cfRule>
    <cfRule type="cellIs" dxfId="5749" priority="2777" operator="equal">
      <formula>"PENDIENTES"</formula>
    </cfRule>
    <cfRule type="cellIs" dxfId="5748" priority="2778" operator="equal">
      <formula>"NINGUNO"</formula>
    </cfRule>
  </conditionalFormatting>
  <conditionalFormatting sqref="P135">
    <cfRule type="expression" dxfId="5747" priority="2764">
      <formula>Q135="NO SUBSANABLE"</formula>
    </cfRule>
    <cfRule type="expression" dxfId="5746" priority="2765">
      <formula>Q135="REQUERIMIENTOS SUBSANADOS"</formula>
    </cfRule>
    <cfRule type="expression" dxfId="5745" priority="2766">
      <formula>Q135="PENDIENTES POR SUBSANAR"</formula>
    </cfRule>
    <cfRule type="expression" dxfId="5744" priority="2767">
      <formula>Q135="SIN OBSERVACIÓN"</formula>
    </cfRule>
    <cfRule type="containsBlanks" dxfId="5743" priority="2768">
      <formula>LEN(TRIM(P135))=0</formula>
    </cfRule>
  </conditionalFormatting>
  <conditionalFormatting sqref="N151">
    <cfRule type="expression" dxfId="5742" priority="2709">
      <formula>N151=" "</formula>
    </cfRule>
    <cfRule type="expression" dxfId="5741" priority="2710">
      <formula>N151="NO PRESENTÓ CERTIFICADO"</formula>
    </cfRule>
    <cfRule type="expression" dxfId="5740" priority="2711">
      <formula>N151="PRESENTÓ CERTIFICADO"</formula>
    </cfRule>
  </conditionalFormatting>
  <conditionalFormatting sqref="O151">
    <cfRule type="cellIs" dxfId="5739" priority="2691" operator="equal">
      <formula>"PENDIENTE POR DESCRIPCIÓN"</formula>
    </cfRule>
    <cfRule type="cellIs" dxfId="5738" priority="2692" operator="equal">
      <formula>"DESCRIPCIÓN INSUFICIENTE"</formula>
    </cfRule>
    <cfRule type="cellIs" dxfId="5737" priority="2693" operator="equal">
      <formula>"NO ESTÁ ACORDE A ITEM 5.2.2 (T.R.)"</formula>
    </cfRule>
    <cfRule type="cellIs" dxfId="5736" priority="2694" operator="equal">
      <formula>"ACORDE A ITEM 5.2.2 (T.R.)"</formula>
    </cfRule>
    <cfRule type="cellIs" dxfId="5735" priority="2701" operator="equal">
      <formula>"PENDIENTE POR DESCRIPCIÓN"</formula>
    </cfRule>
    <cfRule type="cellIs" dxfId="5734" priority="2703" operator="equal">
      <formula>"DESCRIPCIÓN INSUFICIENTE"</formula>
    </cfRule>
    <cfRule type="cellIs" dxfId="5733" priority="2704" operator="equal">
      <formula>"NO ESTÁ ACORDE A ITEM 5.2.1 (T.R.)"</formula>
    </cfRule>
    <cfRule type="cellIs" dxfId="5732" priority="2705" operator="equal">
      <formula>"ACORDE A ITEM 5.2.1 (T.R.)"</formula>
    </cfRule>
  </conditionalFormatting>
  <conditionalFormatting sqref="Q151">
    <cfRule type="containsBlanks" dxfId="5731" priority="2696">
      <formula>LEN(TRIM(Q151))=0</formula>
    </cfRule>
    <cfRule type="cellIs" dxfId="5730" priority="2702" operator="equal">
      <formula>"REQUERIMIENTOS SUBSANADOS"</formula>
    </cfRule>
    <cfRule type="containsText" dxfId="5729" priority="2706" operator="containsText" text="NO SUBSANABLE">
      <formula>NOT(ISERROR(SEARCH("NO SUBSANABLE",Q151)))</formula>
    </cfRule>
    <cfRule type="containsText" dxfId="5728" priority="2707" operator="containsText" text="PENDIENTES POR SUBSANAR">
      <formula>NOT(ISERROR(SEARCH("PENDIENTES POR SUBSANAR",Q151)))</formula>
    </cfRule>
    <cfRule type="containsText" dxfId="5727" priority="2708" operator="containsText" text="SIN OBSERVACIÓN">
      <formula>NOT(ISERROR(SEARCH("SIN OBSERVACIÓN",Q151)))</formula>
    </cfRule>
  </conditionalFormatting>
  <conditionalFormatting sqref="R151">
    <cfRule type="containsBlanks" dxfId="5726" priority="2695">
      <formula>LEN(TRIM(R151))=0</formula>
    </cfRule>
    <cfRule type="cellIs" dxfId="5725" priority="2697" operator="equal">
      <formula>"NO CUMPLEN CON LO SOLICITADO"</formula>
    </cfRule>
    <cfRule type="cellIs" dxfId="5724" priority="2698" operator="equal">
      <formula>"CUMPLEN CON LO SOLICITADO"</formula>
    </cfRule>
    <cfRule type="cellIs" dxfId="5723" priority="2699" operator="equal">
      <formula>"PENDIENTES"</formula>
    </cfRule>
    <cfRule type="cellIs" dxfId="5722" priority="2700" operator="equal">
      <formula>"NINGUNO"</formula>
    </cfRule>
  </conditionalFormatting>
  <conditionalFormatting sqref="P151">
    <cfRule type="expression" dxfId="5721" priority="2686">
      <formula>Q151="NO SUBSANABLE"</formula>
    </cfRule>
    <cfRule type="expression" dxfId="5720" priority="2687">
      <formula>Q151="REQUERIMIENTOS SUBSANADOS"</formula>
    </cfRule>
    <cfRule type="expression" dxfId="5719" priority="2688">
      <formula>Q151="PENDIENTES POR SUBSANAR"</formula>
    </cfRule>
    <cfRule type="expression" dxfId="5718" priority="2689">
      <formula>Q151="SIN OBSERVACIÓN"</formula>
    </cfRule>
    <cfRule type="containsBlanks" dxfId="5717" priority="2690">
      <formula>LEN(TRIM(P151))=0</formula>
    </cfRule>
  </conditionalFormatting>
  <conditionalFormatting sqref="N154">
    <cfRule type="expression" dxfId="5716" priority="2683">
      <formula>N154=" "</formula>
    </cfRule>
    <cfRule type="expression" dxfId="5715" priority="2684">
      <formula>N154="NO PRESENTÓ CERTIFICADO"</formula>
    </cfRule>
    <cfRule type="expression" dxfId="5714" priority="2685">
      <formula>N154="PRESENTÓ CERTIFICADO"</formula>
    </cfRule>
  </conditionalFormatting>
  <conditionalFormatting sqref="O154">
    <cfRule type="cellIs" dxfId="5713" priority="2665" operator="equal">
      <formula>"PENDIENTE POR DESCRIPCIÓN"</formula>
    </cfRule>
    <cfRule type="cellIs" dxfId="5712" priority="2666" operator="equal">
      <formula>"DESCRIPCIÓN INSUFICIENTE"</formula>
    </cfRule>
    <cfRule type="cellIs" dxfId="5711" priority="2667" operator="equal">
      <formula>"NO ESTÁ ACORDE A ITEM 5.2.2 (T.R.)"</formula>
    </cfRule>
    <cfRule type="cellIs" dxfId="5710" priority="2668" operator="equal">
      <formula>"ACORDE A ITEM 5.2.2 (T.R.)"</formula>
    </cfRule>
    <cfRule type="cellIs" dxfId="5709" priority="2675" operator="equal">
      <formula>"PENDIENTE POR DESCRIPCIÓN"</formula>
    </cfRule>
    <cfRule type="cellIs" dxfId="5708" priority="2677" operator="equal">
      <formula>"DESCRIPCIÓN INSUFICIENTE"</formula>
    </cfRule>
    <cfRule type="cellIs" dxfId="5707" priority="2678" operator="equal">
      <formula>"NO ESTÁ ACORDE A ITEM 5.2.1 (T.R.)"</formula>
    </cfRule>
    <cfRule type="cellIs" dxfId="5706" priority="2679" operator="equal">
      <formula>"ACORDE A ITEM 5.2.1 (T.R.)"</formula>
    </cfRule>
  </conditionalFormatting>
  <conditionalFormatting sqref="Q154">
    <cfRule type="containsBlanks" dxfId="5705" priority="2670">
      <formula>LEN(TRIM(Q154))=0</formula>
    </cfRule>
    <cfRule type="cellIs" dxfId="5704" priority="2676" operator="equal">
      <formula>"REQUERIMIENTOS SUBSANADOS"</formula>
    </cfRule>
    <cfRule type="containsText" dxfId="5703" priority="2680" operator="containsText" text="NO SUBSANABLE">
      <formula>NOT(ISERROR(SEARCH("NO SUBSANABLE",Q154)))</formula>
    </cfRule>
    <cfRule type="containsText" dxfId="5702" priority="2681" operator="containsText" text="PENDIENTES POR SUBSANAR">
      <formula>NOT(ISERROR(SEARCH("PENDIENTES POR SUBSANAR",Q154)))</formula>
    </cfRule>
    <cfRule type="containsText" dxfId="5701" priority="2682" operator="containsText" text="SIN OBSERVACIÓN">
      <formula>NOT(ISERROR(SEARCH("SIN OBSERVACIÓN",Q154)))</formula>
    </cfRule>
  </conditionalFormatting>
  <conditionalFormatting sqref="R154">
    <cfRule type="containsBlanks" dxfId="5700" priority="2669">
      <formula>LEN(TRIM(R154))=0</formula>
    </cfRule>
    <cfRule type="cellIs" dxfId="5699" priority="2671" operator="equal">
      <formula>"NO CUMPLEN CON LO SOLICITADO"</formula>
    </cfRule>
    <cfRule type="cellIs" dxfId="5698" priority="2672" operator="equal">
      <formula>"CUMPLEN CON LO SOLICITADO"</formula>
    </cfRule>
    <cfRule type="cellIs" dxfId="5697" priority="2673" operator="equal">
      <formula>"PENDIENTES"</formula>
    </cfRule>
    <cfRule type="cellIs" dxfId="5696" priority="2674" operator="equal">
      <formula>"NINGUNO"</formula>
    </cfRule>
  </conditionalFormatting>
  <conditionalFormatting sqref="P154">
    <cfRule type="expression" dxfId="5695" priority="2660">
      <formula>Q154="NO SUBSANABLE"</formula>
    </cfRule>
    <cfRule type="expression" dxfId="5694" priority="2661">
      <formula>Q154="REQUERIMIENTOS SUBSANADOS"</formula>
    </cfRule>
    <cfRule type="expression" dxfId="5693" priority="2662">
      <formula>Q154="PENDIENTES POR SUBSANAR"</formula>
    </cfRule>
    <cfRule type="expression" dxfId="5692" priority="2663">
      <formula>Q154="SIN OBSERVACIÓN"</formula>
    </cfRule>
    <cfRule type="containsBlanks" dxfId="5691" priority="2664">
      <formula>LEN(TRIM(P154))=0</formula>
    </cfRule>
  </conditionalFormatting>
  <conditionalFormatting sqref="K35">
    <cfRule type="expression" dxfId="5690" priority="2658">
      <formula>J35="NO CUMPLE"</formula>
    </cfRule>
    <cfRule type="expression" dxfId="5689" priority="2659">
      <formula>J35="CUMPLE"</formula>
    </cfRule>
  </conditionalFormatting>
  <conditionalFormatting sqref="K36:K37">
    <cfRule type="expression" dxfId="5688" priority="2656">
      <formula>J36="NO CUMPLE"</formula>
    </cfRule>
    <cfRule type="expression" dxfId="5687" priority="2657">
      <formula>J36="CUMPLE"</formula>
    </cfRule>
  </conditionalFormatting>
  <conditionalFormatting sqref="K57">
    <cfRule type="expression" dxfId="5686" priority="2654">
      <formula>J57="NO CUMPLE"</formula>
    </cfRule>
    <cfRule type="expression" dxfId="5685" priority="2655">
      <formula>J57="CUMPLE"</formula>
    </cfRule>
  </conditionalFormatting>
  <conditionalFormatting sqref="K58:K59">
    <cfRule type="expression" dxfId="5684" priority="2652">
      <formula>J58="NO CUMPLE"</formula>
    </cfRule>
    <cfRule type="expression" dxfId="5683" priority="2653">
      <formula>J58="CUMPLE"</formula>
    </cfRule>
  </conditionalFormatting>
  <conditionalFormatting sqref="K79">
    <cfRule type="expression" dxfId="5682" priority="2650">
      <formula>J79="NO CUMPLE"</formula>
    </cfRule>
    <cfRule type="expression" dxfId="5681" priority="2651">
      <formula>J79="CUMPLE"</formula>
    </cfRule>
  </conditionalFormatting>
  <conditionalFormatting sqref="K80:K81">
    <cfRule type="expression" dxfId="5680" priority="2648">
      <formula>J80="NO CUMPLE"</formula>
    </cfRule>
    <cfRule type="expression" dxfId="5679" priority="2649">
      <formula>J80="CUMPLE"</formula>
    </cfRule>
  </conditionalFormatting>
  <conditionalFormatting sqref="K101">
    <cfRule type="expression" dxfId="5678" priority="2646">
      <formula>J101="NO CUMPLE"</formula>
    </cfRule>
    <cfRule type="expression" dxfId="5677" priority="2647">
      <formula>J101="CUMPLE"</formula>
    </cfRule>
  </conditionalFormatting>
  <conditionalFormatting sqref="K102:K103">
    <cfRule type="expression" dxfId="5676" priority="2644">
      <formula>J102="NO CUMPLE"</formula>
    </cfRule>
    <cfRule type="expression" dxfId="5675" priority="2645">
      <formula>J102="CUMPLE"</formula>
    </cfRule>
  </conditionalFormatting>
  <conditionalFormatting sqref="K123">
    <cfRule type="expression" dxfId="5674" priority="2642">
      <formula>J123="NO CUMPLE"</formula>
    </cfRule>
    <cfRule type="expression" dxfId="5673" priority="2643">
      <formula>J123="CUMPLE"</formula>
    </cfRule>
  </conditionalFormatting>
  <conditionalFormatting sqref="K124:K125">
    <cfRule type="expression" dxfId="5672" priority="2640">
      <formula>J124="NO CUMPLE"</formula>
    </cfRule>
    <cfRule type="expression" dxfId="5671" priority="2641">
      <formula>J124="CUMPLE"</formula>
    </cfRule>
  </conditionalFormatting>
  <conditionalFormatting sqref="K145">
    <cfRule type="expression" dxfId="5670" priority="2638">
      <formula>J145="NO CUMPLE"</formula>
    </cfRule>
    <cfRule type="expression" dxfId="5669" priority="2639">
      <formula>J145="CUMPLE"</formula>
    </cfRule>
  </conditionalFormatting>
  <conditionalFormatting sqref="K146:K147">
    <cfRule type="expression" dxfId="5668" priority="2636">
      <formula>J146="NO CUMPLE"</formula>
    </cfRule>
    <cfRule type="expression" dxfId="5667" priority="2637">
      <formula>J146="CUMPLE"</formula>
    </cfRule>
  </conditionalFormatting>
  <conditionalFormatting sqref="J167">
    <cfRule type="cellIs" dxfId="5666" priority="2634" operator="equal">
      <formula>"NO CUMPLE"</formula>
    </cfRule>
    <cfRule type="cellIs" dxfId="5665" priority="2635" operator="equal">
      <formula>"CUMPLE"</formula>
    </cfRule>
  </conditionalFormatting>
  <conditionalFormatting sqref="K167">
    <cfRule type="expression" dxfId="5664" priority="2630">
      <formula>J167="NO CUMPLE"</formula>
    </cfRule>
    <cfRule type="expression" dxfId="5663" priority="2631">
      <formula>J167="CUMPLE"</formula>
    </cfRule>
  </conditionalFormatting>
  <conditionalFormatting sqref="K168:K169">
    <cfRule type="expression" dxfId="5662" priority="2628">
      <formula>J168="NO CUMPLE"</formula>
    </cfRule>
    <cfRule type="expression" dxfId="5661" priority="2629">
      <formula>J168="CUMPLE"</formula>
    </cfRule>
  </conditionalFormatting>
  <conditionalFormatting sqref="J189">
    <cfRule type="cellIs" dxfId="5660" priority="2626" operator="equal">
      <formula>"NO CUMPLE"</formula>
    </cfRule>
    <cfRule type="cellIs" dxfId="5659" priority="2627" operator="equal">
      <formula>"CUMPLE"</formula>
    </cfRule>
  </conditionalFormatting>
  <conditionalFormatting sqref="J190:J191">
    <cfRule type="cellIs" dxfId="5658" priority="2624" operator="equal">
      <formula>"NO CUMPLE"</formula>
    </cfRule>
    <cfRule type="cellIs" dxfId="5657" priority="2625" operator="equal">
      <formula>"CUMPLE"</formula>
    </cfRule>
  </conditionalFormatting>
  <conditionalFormatting sqref="K189">
    <cfRule type="expression" dxfId="5656" priority="2622">
      <formula>J189="NO CUMPLE"</formula>
    </cfRule>
    <cfRule type="expression" dxfId="5655" priority="2623">
      <formula>J189="CUMPLE"</formula>
    </cfRule>
  </conditionalFormatting>
  <conditionalFormatting sqref="K190:K191">
    <cfRule type="expression" dxfId="5654" priority="2620">
      <formula>J190="NO CUMPLE"</formula>
    </cfRule>
    <cfRule type="expression" dxfId="5653" priority="2621">
      <formula>J190="CUMPLE"</formula>
    </cfRule>
  </conditionalFormatting>
  <conditionalFormatting sqref="S211">
    <cfRule type="cellIs" dxfId="5652" priority="2618" operator="greaterThan">
      <formula>0</formula>
    </cfRule>
    <cfRule type="top10" dxfId="5651" priority="2619" rank="10"/>
  </conditionalFormatting>
  <conditionalFormatting sqref="B226">
    <cfRule type="cellIs" dxfId="5650" priority="2614" operator="equal">
      <formula>"NO CUMPLE CON LA EXPERIENCIA REQUERIDA"</formula>
    </cfRule>
    <cfRule type="cellIs" dxfId="5649" priority="2615" operator="equal">
      <formula>"CUMPLE CON LA EXPERIENCIA REQUERIDA"</formula>
    </cfRule>
  </conditionalFormatting>
  <conditionalFormatting sqref="H211 H214 H217 H220 H223">
    <cfRule type="notContainsBlanks" dxfId="5648" priority="2613">
      <formula>LEN(TRIM(H211))&gt;0</formula>
    </cfRule>
  </conditionalFormatting>
  <conditionalFormatting sqref="G211">
    <cfRule type="notContainsBlanks" dxfId="5647" priority="2612">
      <formula>LEN(TRIM(G211))&gt;0</formula>
    </cfRule>
  </conditionalFormatting>
  <conditionalFormatting sqref="F211">
    <cfRule type="notContainsBlanks" dxfId="5646" priority="2611">
      <formula>LEN(TRIM(F211))&gt;0</formula>
    </cfRule>
  </conditionalFormatting>
  <conditionalFormatting sqref="E211">
    <cfRule type="notContainsBlanks" dxfId="5645" priority="2610">
      <formula>LEN(TRIM(E211))&gt;0</formula>
    </cfRule>
  </conditionalFormatting>
  <conditionalFormatting sqref="D211">
    <cfRule type="notContainsBlanks" dxfId="5644" priority="2609">
      <formula>LEN(TRIM(D211))&gt;0</formula>
    </cfRule>
  </conditionalFormatting>
  <conditionalFormatting sqref="C211">
    <cfRule type="notContainsBlanks" dxfId="5643" priority="2608">
      <formula>LEN(TRIM(C211))&gt;0</formula>
    </cfRule>
  </conditionalFormatting>
  <conditionalFormatting sqref="I211">
    <cfRule type="notContainsBlanks" dxfId="5642" priority="2607">
      <formula>LEN(TRIM(I211))&gt;0</formula>
    </cfRule>
  </conditionalFormatting>
  <conditionalFormatting sqref="S214">
    <cfRule type="cellIs" dxfId="5641" priority="2603" operator="greaterThan">
      <formula>0</formula>
    </cfRule>
    <cfRule type="top10" dxfId="5640" priority="2604" rank="10"/>
  </conditionalFormatting>
  <conditionalFormatting sqref="S217">
    <cfRule type="cellIs" dxfId="5639" priority="2601" operator="greaterThan">
      <formula>0</formula>
    </cfRule>
    <cfRule type="top10" dxfId="5638" priority="2602" rank="10"/>
  </conditionalFormatting>
  <conditionalFormatting sqref="G217">
    <cfRule type="notContainsBlanks" dxfId="5637" priority="2600">
      <formula>LEN(TRIM(G217))&gt;0</formula>
    </cfRule>
  </conditionalFormatting>
  <conditionalFormatting sqref="F217">
    <cfRule type="notContainsBlanks" dxfId="5636" priority="2599">
      <formula>LEN(TRIM(F217))&gt;0</formula>
    </cfRule>
  </conditionalFormatting>
  <conditionalFormatting sqref="E217">
    <cfRule type="notContainsBlanks" dxfId="5635" priority="2598">
      <formula>LEN(TRIM(E217))&gt;0</formula>
    </cfRule>
  </conditionalFormatting>
  <conditionalFormatting sqref="D217">
    <cfRule type="notContainsBlanks" dxfId="5634" priority="2597">
      <formula>LEN(TRIM(D217))&gt;0</formula>
    </cfRule>
  </conditionalFormatting>
  <conditionalFormatting sqref="C217">
    <cfRule type="notContainsBlanks" dxfId="5633" priority="2596">
      <formula>LEN(TRIM(C217))&gt;0</formula>
    </cfRule>
  </conditionalFormatting>
  <conditionalFormatting sqref="I217">
    <cfRule type="notContainsBlanks" dxfId="5632" priority="2595">
      <formula>LEN(TRIM(I217))&gt;0</formula>
    </cfRule>
  </conditionalFormatting>
  <conditionalFormatting sqref="S220">
    <cfRule type="cellIs" dxfId="5631" priority="2593" operator="greaterThan">
      <formula>0</formula>
    </cfRule>
    <cfRule type="top10" dxfId="5630" priority="2594" rank="10"/>
  </conditionalFormatting>
  <conditionalFormatting sqref="S223">
    <cfRule type="cellIs" dxfId="5629" priority="2591" operator="greaterThan">
      <formula>0</formula>
    </cfRule>
    <cfRule type="top10" dxfId="5628" priority="2592" rank="10"/>
  </conditionalFormatting>
  <conditionalFormatting sqref="G223">
    <cfRule type="notContainsBlanks" dxfId="5627" priority="2590">
      <formula>LEN(TRIM(G223))&gt;0</formula>
    </cfRule>
  </conditionalFormatting>
  <conditionalFormatting sqref="F223">
    <cfRule type="notContainsBlanks" dxfId="5626" priority="2589">
      <formula>LEN(TRIM(F223))&gt;0</formula>
    </cfRule>
  </conditionalFormatting>
  <conditionalFormatting sqref="E223">
    <cfRule type="notContainsBlanks" dxfId="5625" priority="2588">
      <formula>LEN(TRIM(E223))&gt;0</formula>
    </cfRule>
  </conditionalFormatting>
  <conditionalFormatting sqref="D223">
    <cfRule type="notContainsBlanks" dxfId="5624" priority="2587">
      <formula>LEN(TRIM(D223))&gt;0</formula>
    </cfRule>
  </conditionalFormatting>
  <conditionalFormatting sqref="C223">
    <cfRule type="notContainsBlanks" dxfId="5623" priority="2586">
      <formula>LEN(TRIM(C223))&gt;0</formula>
    </cfRule>
  </conditionalFormatting>
  <conditionalFormatting sqref="I223">
    <cfRule type="notContainsBlanks" dxfId="5622" priority="2585">
      <formula>LEN(TRIM(I223))&gt;0</formula>
    </cfRule>
  </conditionalFormatting>
  <conditionalFormatting sqref="G214">
    <cfRule type="notContainsBlanks" dxfId="5621" priority="2584">
      <formula>LEN(TRIM(G214))&gt;0</formula>
    </cfRule>
  </conditionalFormatting>
  <conditionalFormatting sqref="F214">
    <cfRule type="notContainsBlanks" dxfId="5620" priority="2583">
      <formula>LEN(TRIM(F214))&gt;0</formula>
    </cfRule>
  </conditionalFormatting>
  <conditionalFormatting sqref="E214">
    <cfRule type="notContainsBlanks" dxfId="5619" priority="2582">
      <formula>LEN(TRIM(E214))&gt;0</formula>
    </cfRule>
  </conditionalFormatting>
  <conditionalFormatting sqref="D214">
    <cfRule type="notContainsBlanks" dxfId="5618" priority="2581">
      <formula>LEN(TRIM(D214))&gt;0</formula>
    </cfRule>
  </conditionalFormatting>
  <conditionalFormatting sqref="C214">
    <cfRule type="notContainsBlanks" dxfId="5617" priority="2580">
      <formula>LEN(TRIM(C214))&gt;0</formula>
    </cfRule>
  </conditionalFormatting>
  <conditionalFormatting sqref="G220">
    <cfRule type="notContainsBlanks" dxfId="5616" priority="2579">
      <formula>LEN(TRIM(G220))&gt;0</formula>
    </cfRule>
  </conditionalFormatting>
  <conditionalFormatting sqref="F220">
    <cfRule type="notContainsBlanks" dxfId="5615" priority="2578">
      <formula>LEN(TRIM(F220))&gt;0</formula>
    </cfRule>
  </conditionalFormatting>
  <conditionalFormatting sqref="E220">
    <cfRule type="notContainsBlanks" dxfId="5614" priority="2577">
      <formula>LEN(TRIM(E220))&gt;0</formula>
    </cfRule>
  </conditionalFormatting>
  <conditionalFormatting sqref="D220">
    <cfRule type="notContainsBlanks" dxfId="5613" priority="2576">
      <formula>LEN(TRIM(D220))&gt;0</formula>
    </cfRule>
  </conditionalFormatting>
  <conditionalFormatting sqref="C220">
    <cfRule type="notContainsBlanks" dxfId="5612" priority="2575">
      <formula>LEN(TRIM(C220))&gt;0</formula>
    </cfRule>
  </conditionalFormatting>
  <conditionalFormatting sqref="I214">
    <cfRule type="notContainsBlanks" dxfId="5611" priority="2574">
      <formula>LEN(TRIM(I214))&gt;0</formula>
    </cfRule>
  </conditionalFormatting>
  <conditionalFormatting sqref="I220">
    <cfRule type="notContainsBlanks" dxfId="5610" priority="2573">
      <formula>LEN(TRIM(I220))&gt;0</formula>
    </cfRule>
  </conditionalFormatting>
  <conditionalFormatting sqref="S226">
    <cfRule type="expression" dxfId="5609" priority="2571">
      <formula>$S$28&gt;0</formula>
    </cfRule>
    <cfRule type="cellIs" dxfId="5608" priority="2572" operator="equal">
      <formula>0</formula>
    </cfRule>
  </conditionalFormatting>
  <conditionalFormatting sqref="S227">
    <cfRule type="expression" dxfId="5607" priority="2569">
      <formula>$S$28&gt;0</formula>
    </cfRule>
    <cfRule type="cellIs" dxfId="5606" priority="2570" operator="equal">
      <formula>0</formula>
    </cfRule>
  </conditionalFormatting>
  <conditionalFormatting sqref="N223">
    <cfRule type="expression" dxfId="5605" priority="2530">
      <formula>N223=" "</formula>
    </cfRule>
    <cfRule type="expression" dxfId="5604" priority="2531">
      <formula>N223="NO PRESENTÓ CERTIFICADO"</formula>
    </cfRule>
    <cfRule type="expression" dxfId="5603" priority="2532">
      <formula>N223="PRESENTÓ CERTIFICADO"</formula>
    </cfRule>
  </conditionalFormatting>
  <conditionalFormatting sqref="O223">
    <cfRule type="cellIs" dxfId="5602" priority="2512" operator="equal">
      <formula>"PENDIENTE POR DESCRIPCIÓN"</formula>
    </cfRule>
    <cfRule type="cellIs" dxfId="5601" priority="2513" operator="equal">
      <formula>"DESCRIPCIÓN INSUFICIENTE"</formula>
    </cfRule>
    <cfRule type="cellIs" dxfId="5600" priority="2514" operator="equal">
      <formula>"NO ESTÁ ACORDE A ITEM 5.2.2 (T.R.)"</formula>
    </cfRule>
    <cfRule type="cellIs" dxfId="5599" priority="2515" operator="equal">
      <formula>"ACORDE A ITEM 5.2.2 (T.R.)"</formula>
    </cfRule>
    <cfRule type="cellIs" dxfId="5598" priority="2522" operator="equal">
      <formula>"PENDIENTE POR DESCRIPCIÓN"</formula>
    </cfRule>
    <cfRule type="cellIs" dxfId="5597" priority="2524" operator="equal">
      <formula>"DESCRIPCIÓN INSUFICIENTE"</formula>
    </cfRule>
    <cfRule type="cellIs" dxfId="5596" priority="2525" operator="equal">
      <formula>"NO ESTÁ ACORDE A ITEM 5.2.1 (T.R.)"</formula>
    </cfRule>
    <cfRule type="cellIs" dxfId="5595" priority="2526" operator="equal">
      <formula>"ACORDE A ITEM 5.2.1 (T.R.)"</formula>
    </cfRule>
  </conditionalFormatting>
  <conditionalFormatting sqref="Q223">
    <cfRule type="containsBlanks" dxfId="5594" priority="2517">
      <formula>LEN(TRIM(Q223))=0</formula>
    </cfRule>
    <cfRule type="cellIs" dxfId="5593" priority="2523" operator="equal">
      <formula>"REQUERIMIENTOS SUBSANADOS"</formula>
    </cfRule>
    <cfRule type="containsText" dxfId="5592" priority="2527" operator="containsText" text="NO SUBSANABLE">
      <formula>NOT(ISERROR(SEARCH("NO SUBSANABLE",Q223)))</formula>
    </cfRule>
    <cfRule type="containsText" dxfId="5591" priority="2528" operator="containsText" text="PENDIENTES POR SUBSANAR">
      <formula>NOT(ISERROR(SEARCH("PENDIENTES POR SUBSANAR",Q223)))</formula>
    </cfRule>
    <cfRule type="containsText" dxfId="5590" priority="2529" operator="containsText" text="SIN OBSERVACIÓN">
      <formula>NOT(ISERROR(SEARCH("SIN OBSERVACIÓN",Q223)))</formula>
    </cfRule>
  </conditionalFormatting>
  <conditionalFormatting sqref="R223">
    <cfRule type="containsBlanks" dxfId="5589" priority="2516">
      <formula>LEN(TRIM(R223))=0</formula>
    </cfRule>
    <cfRule type="cellIs" dxfId="5588" priority="2518" operator="equal">
      <formula>"NO CUMPLEN CON LO SOLICITADO"</formula>
    </cfRule>
    <cfRule type="cellIs" dxfId="5587" priority="2519" operator="equal">
      <formula>"CUMPLEN CON LO SOLICITADO"</formula>
    </cfRule>
    <cfRule type="cellIs" dxfId="5586" priority="2520" operator="equal">
      <formula>"PENDIENTES"</formula>
    </cfRule>
    <cfRule type="cellIs" dxfId="5585" priority="2521" operator="equal">
      <formula>"NINGUNO"</formula>
    </cfRule>
  </conditionalFormatting>
  <conditionalFormatting sqref="P214 P217 P220 P223">
    <cfRule type="expression" dxfId="5584" priority="2507">
      <formula>Q214="NO SUBSANABLE"</formula>
    </cfRule>
    <cfRule type="expression" dxfId="5583" priority="2508">
      <formula>Q214="REQUERIMIENTOS SUBSANADOS"</formula>
    </cfRule>
    <cfRule type="expression" dxfId="5582" priority="2509">
      <formula>Q214="PENDIENTES POR SUBSANAR"</formula>
    </cfRule>
    <cfRule type="expression" dxfId="5581" priority="2510">
      <formula>Q214="SIN OBSERVACIÓN"</formula>
    </cfRule>
    <cfRule type="containsBlanks" dxfId="5580" priority="2511">
      <formula>LEN(TRIM(P214))=0</formula>
    </cfRule>
  </conditionalFormatting>
  <conditionalFormatting sqref="N214">
    <cfRule type="expression" dxfId="5579" priority="2504">
      <formula>N214=" "</formula>
    </cfRule>
    <cfRule type="expression" dxfId="5578" priority="2505">
      <formula>N214="NO PRESENTÓ CERTIFICADO"</formula>
    </cfRule>
    <cfRule type="expression" dxfId="5577" priority="2506">
      <formula>N214="PRESENTÓ CERTIFICADO"</formula>
    </cfRule>
  </conditionalFormatting>
  <conditionalFormatting sqref="N217">
    <cfRule type="expression" dxfId="5576" priority="2501">
      <formula>N217=" "</formula>
    </cfRule>
    <cfRule type="expression" dxfId="5575" priority="2502">
      <formula>N217="NO PRESENTÓ CERTIFICADO"</formula>
    </cfRule>
    <cfRule type="expression" dxfId="5574" priority="2503">
      <formula>N217="PRESENTÓ CERTIFICADO"</formula>
    </cfRule>
  </conditionalFormatting>
  <conditionalFormatting sqref="N220">
    <cfRule type="expression" dxfId="5573" priority="2498">
      <formula>N220=" "</formula>
    </cfRule>
    <cfRule type="expression" dxfId="5572" priority="2499">
      <formula>N220="NO PRESENTÓ CERTIFICADO"</formula>
    </cfRule>
    <cfRule type="expression" dxfId="5571" priority="2500">
      <formula>N220="PRESENTÓ CERTIFICADO"</formula>
    </cfRule>
  </conditionalFormatting>
  <conditionalFormatting sqref="O214">
    <cfRule type="cellIs" dxfId="5570" priority="2490" operator="equal">
      <formula>"PENDIENTE POR DESCRIPCIÓN"</formula>
    </cfRule>
    <cfRule type="cellIs" dxfId="5569" priority="2491" operator="equal">
      <formula>"DESCRIPCIÓN INSUFICIENTE"</formula>
    </cfRule>
    <cfRule type="cellIs" dxfId="5568" priority="2492" operator="equal">
      <formula>"NO ESTÁ ACORDE A ITEM 5.2.2 (T.R.)"</formula>
    </cfRule>
    <cfRule type="cellIs" dxfId="5567" priority="2493" operator="equal">
      <formula>"ACORDE A ITEM 5.2.2 (T.R.)"</formula>
    </cfRule>
    <cfRule type="cellIs" dxfId="5566" priority="2494" operator="equal">
      <formula>"PENDIENTE POR DESCRIPCIÓN"</formula>
    </cfRule>
    <cfRule type="cellIs" dxfId="5565" priority="2495" operator="equal">
      <formula>"DESCRIPCIÓN INSUFICIENTE"</formula>
    </cfRule>
    <cfRule type="cellIs" dxfId="5564" priority="2496" operator="equal">
      <formula>"NO ESTÁ ACORDE A ITEM 5.2.1 (T.R.)"</formula>
    </cfRule>
    <cfRule type="cellIs" dxfId="5563" priority="2497" operator="equal">
      <formula>"ACORDE A ITEM 5.2.1 (T.R.)"</formula>
    </cfRule>
  </conditionalFormatting>
  <conditionalFormatting sqref="O217">
    <cfRule type="cellIs" dxfId="5562" priority="2482" operator="equal">
      <formula>"PENDIENTE POR DESCRIPCIÓN"</formula>
    </cfRule>
    <cfRule type="cellIs" dxfId="5561" priority="2483" operator="equal">
      <formula>"DESCRIPCIÓN INSUFICIENTE"</formula>
    </cfRule>
    <cfRule type="cellIs" dxfId="5560" priority="2484" operator="equal">
      <formula>"NO ESTÁ ACORDE A ITEM 5.2.2 (T.R.)"</formula>
    </cfRule>
    <cfRule type="cellIs" dxfId="5559" priority="2485" operator="equal">
      <formula>"ACORDE A ITEM 5.2.2 (T.R.)"</formula>
    </cfRule>
    <cfRule type="cellIs" dxfId="5558" priority="2486" operator="equal">
      <formula>"PENDIENTE POR DESCRIPCIÓN"</formula>
    </cfRule>
    <cfRule type="cellIs" dxfId="5557" priority="2487" operator="equal">
      <formula>"DESCRIPCIÓN INSUFICIENTE"</formula>
    </cfRule>
    <cfRule type="cellIs" dxfId="5556" priority="2488" operator="equal">
      <formula>"NO ESTÁ ACORDE A ITEM 5.2.1 (T.R.)"</formula>
    </cfRule>
    <cfRule type="cellIs" dxfId="5555" priority="2489" operator="equal">
      <formula>"ACORDE A ITEM 5.2.1 (T.R.)"</formula>
    </cfRule>
  </conditionalFormatting>
  <conditionalFormatting sqref="O220">
    <cfRule type="cellIs" dxfId="5554" priority="2474" operator="equal">
      <formula>"PENDIENTE POR DESCRIPCIÓN"</formula>
    </cfRule>
    <cfRule type="cellIs" dxfId="5553" priority="2475" operator="equal">
      <formula>"DESCRIPCIÓN INSUFICIENTE"</formula>
    </cfRule>
    <cfRule type="cellIs" dxfId="5552" priority="2476" operator="equal">
      <formula>"NO ESTÁ ACORDE A ITEM 5.2.2 (T.R.)"</formula>
    </cfRule>
    <cfRule type="cellIs" dxfId="5551" priority="2477" operator="equal">
      <formula>"ACORDE A ITEM 5.2.2 (T.R.)"</formula>
    </cfRule>
    <cfRule type="cellIs" dxfId="5550" priority="2478" operator="equal">
      <formula>"PENDIENTE POR DESCRIPCIÓN"</formula>
    </cfRule>
    <cfRule type="cellIs" dxfId="5549" priority="2479" operator="equal">
      <formula>"DESCRIPCIÓN INSUFICIENTE"</formula>
    </cfRule>
    <cfRule type="cellIs" dxfId="5548" priority="2480" operator="equal">
      <formula>"NO ESTÁ ACORDE A ITEM 5.2.1 (T.R.)"</formula>
    </cfRule>
    <cfRule type="cellIs" dxfId="5547" priority="2481" operator="equal">
      <formula>"ACORDE A ITEM 5.2.1 (T.R.)"</formula>
    </cfRule>
  </conditionalFormatting>
  <conditionalFormatting sqref="Q214">
    <cfRule type="containsBlanks" dxfId="5546" priority="2465">
      <formula>LEN(TRIM(Q214))=0</formula>
    </cfRule>
    <cfRule type="cellIs" dxfId="5545" priority="2470" operator="equal">
      <formula>"REQUERIMIENTOS SUBSANADOS"</formula>
    </cfRule>
    <cfRule type="containsText" dxfId="5544" priority="2471" operator="containsText" text="NO SUBSANABLE">
      <formula>NOT(ISERROR(SEARCH("NO SUBSANABLE",Q214)))</formula>
    </cfRule>
    <cfRule type="containsText" dxfId="5543" priority="2472" operator="containsText" text="PENDIENTES POR SUBSANAR">
      <formula>NOT(ISERROR(SEARCH("PENDIENTES POR SUBSANAR",Q214)))</formula>
    </cfRule>
    <cfRule type="containsText" dxfId="5542" priority="2473" operator="containsText" text="SIN OBSERVACIÓN">
      <formula>NOT(ISERROR(SEARCH("SIN OBSERVACIÓN",Q214)))</formula>
    </cfRule>
  </conditionalFormatting>
  <conditionalFormatting sqref="R214">
    <cfRule type="containsBlanks" dxfId="5541" priority="2464">
      <formula>LEN(TRIM(R214))=0</formula>
    </cfRule>
    <cfRule type="cellIs" dxfId="5540" priority="2466" operator="equal">
      <formula>"NO CUMPLEN CON LO SOLICITADO"</formula>
    </cfRule>
    <cfRule type="cellIs" dxfId="5539" priority="2467" operator="equal">
      <formula>"CUMPLEN CON LO SOLICITADO"</formula>
    </cfRule>
    <cfRule type="cellIs" dxfId="5538" priority="2468" operator="equal">
      <formula>"PENDIENTES"</formula>
    </cfRule>
    <cfRule type="cellIs" dxfId="5537" priority="2469" operator="equal">
      <formula>"NINGUNO"</formula>
    </cfRule>
  </conditionalFormatting>
  <conditionalFormatting sqref="Q217">
    <cfRule type="containsBlanks" dxfId="5536" priority="2455">
      <formula>LEN(TRIM(Q217))=0</formula>
    </cfRule>
    <cfRule type="cellIs" dxfId="5535" priority="2460" operator="equal">
      <formula>"REQUERIMIENTOS SUBSANADOS"</formula>
    </cfRule>
    <cfRule type="containsText" dxfId="5534" priority="2461" operator="containsText" text="NO SUBSANABLE">
      <formula>NOT(ISERROR(SEARCH("NO SUBSANABLE",Q217)))</formula>
    </cfRule>
    <cfRule type="containsText" dxfId="5533" priority="2462" operator="containsText" text="PENDIENTES POR SUBSANAR">
      <formula>NOT(ISERROR(SEARCH("PENDIENTES POR SUBSANAR",Q217)))</formula>
    </cfRule>
    <cfRule type="containsText" dxfId="5532" priority="2463" operator="containsText" text="SIN OBSERVACIÓN">
      <formula>NOT(ISERROR(SEARCH("SIN OBSERVACIÓN",Q217)))</formula>
    </cfRule>
  </conditionalFormatting>
  <conditionalFormatting sqref="R217">
    <cfRule type="containsBlanks" dxfId="5531" priority="2454">
      <formula>LEN(TRIM(R217))=0</formula>
    </cfRule>
    <cfRule type="cellIs" dxfId="5530" priority="2456" operator="equal">
      <formula>"NO CUMPLEN CON LO SOLICITADO"</formula>
    </cfRule>
    <cfRule type="cellIs" dxfId="5529" priority="2457" operator="equal">
      <formula>"CUMPLEN CON LO SOLICITADO"</formula>
    </cfRule>
    <cfRule type="cellIs" dxfId="5528" priority="2458" operator="equal">
      <formula>"PENDIENTES"</formula>
    </cfRule>
    <cfRule type="cellIs" dxfId="5527" priority="2459" operator="equal">
      <formula>"NINGUNO"</formula>
    </cfRule>
  </conditionalFormatting>
  <conditionalFormatting sqref="Q220">
    <cfRule type="containsBlanks" dxfId="5526" priority="2445">
      <formula>LEN(TRIM(Q220))=0</formula>
    </cfRule>
    <cfRule type="cellIs" dxfId="5525" priority="2450" operator="equal">
      <formula>"REQUERIMIENTOS SUBSANADOS"</formula>
    </cfRule>
    <cfRule type="containsText" dxfId="5524" priority="2451" operator="containsText" text="NO SUBSANABLE">
      <formula>NOT(ISERROR(SEARCH("NO SUBSANABLE",Q220)))</formula>
    </cfRule>
    <cfRule type="containsText" dxfId="5523" priority="2452" operator="containsText" text="PENDIENTES POR SUBSANAR">
      <formula>NOT(ISERROR(SEARCH("PENDIENTES POR SUBSANAR",Q220)))</formula>
    </cfRule>
    <cfRule type="containsText" dxfId="5522" priority="2453" operator="containsText" text="SIN OBSERVACIÓN">
      <formula>NOT(ISERROR(SEARCH("SIN OBSERVACIÓN",Q220)))</formula>
    </cfRule>
  </conditionalFormatting>
  <conditionalFormatting sqref="R220">
    <cfRule type="containsBlanks" dxfId="5521" priority="2444">
      <formula>LEN(TRIM(R220))=0</formula>
    </cfRule>
    <cfRule type="cellIs" dxfId="5520" priority="2446" operator="equal">
      <formula>"NO CUMPLEN CON LO SOLICITADO"</formula>
    </cfRule>
    <cfRule type="cellIs" dxfId="5519" priority="2447" operator="equal">
      <formula>"CUMPLEN CON LO SOLICITADO"</formula>
    </cfRule>
    <cfRule type="cellIs" dxfId="5518" priority="2448" operator="equal">
      <formula>"PENDIENTES"</formula>
    </cfRule>
    <cfRule type="cellIs" dxfId="5517" priority="2449" operator="equal">
      <formula>"NINGUNO"</formula>
    </cfRule>
  </conditionalFormatting>
  <conditionalFormatting sqref="M220">
    <cfRule type="expression" dxfId="5516" priority="2402">
      <formula>L220="NO CUMPLE"</formula>
    </cfRule>
    <cfRule type="expression" dxfId="5515" priority="2403">
      <formula>L220="CUMPLE"</formula>
    </cfRule>
  </conditionalFormatting>
  <conditionalFormatting sqref="L220:L221">
    <cfRule type="cellIs" dxfId="5514" priority="2400" operator="equal">
      <formula>"NO CUMPLE"</formula>
    </cfRule>
    <cfRule type="cellIs" dxfId="5513" priority="2401" operator="equal">
      <formula>"CUMPLE"</formula>
    </cfRule>
  </conditionalFormatting>
  <conditionalFormatting sqref="M221">
    <cfRule type="expression" dxfId="5512" priority="2398">
      <formula>L221="NO CUMPLE"</formula>
    </cfRule>
    <cfRule type="expression" dxfId="5511" priority="2399">
      <formula>L221="CUMPLE"</formula>
    </cfRule>
  </conditionalFormatting>
  <conditionalFormatting sqref="J214:J222">
    <cfRule type="cellIs" dxfId="5510" priority="2442" operator="equal">
      <formula>"NO CUMPLE"</formula>
    </cfRule>
    <cfRule type="cellIs" dxfId="5509" priority="2443" operator="equal">
      <formula>"CUMPLE"</formula>
    </cfRule>
  </conditionalFormatting>
  <conditionalFormatting sqref="K214">
    <cfRule type="expression" dxfId="5508" priority="2440">
      <formula>J214="NO CUMPLE"</formula>
    </cfRule>
    <cfRule type="expression" dxfId="5507" priority="2441">
      <formula>J214="CUMPLE"</formula>
    </cfRule>
  </conditionalFormatting>
  <conditionalFormatting sqref="K215:K216">
    <cfRule type="expression" dxfId="5506" priority="2438">
      <formula>J215="NO CUMPLE"</formula>
    </cfRule>
    <cfRule type="expression" dxfId="5505" priority="2439">
      <formula>J215="CUMPLE"</formula>
    </cfRule>
  </conditionalFormatting>
  <conditionalFormatting sqref="J223">
    <cfRule type="cellIs" dxfId="5504" priority="2436" operator="equal">
      <formula>"NO CUMPLE"</formula>
    </cfRule>
    <cfRule type="cellIs" dxfId="5503" priority="2437" operator="equal">
      <formula>"CUMPLE"</formula>
    </cfRule>
  </conditionalFormatting>
  <conditionalFormatting sqref="J224:J225">
    <cfRule type="cellIs" dxfId="5502" priority="2434" operator="equal">
      <formula>"NO CUMPLE"</formula>
    </cfRule>
    <cfRule type="cellIs" dxfId="5501" priority="2435" operator="equal">
      <formula>"CUMPLE"</formula>
    </cfRule>
  </conditionalFormatting>
  <conditionalFormatting sqref="K217">
    <cfRule type="expression" dxfId="5500" priority="2432">
      <formula>J217="NO CUMPLE"</formula>
    </cfRule>
    <cfRule type="expression" dxfId="5499" priority="2433">
      <formula>J217="CUMPLE"</formula>
    </cfRule>
  </conditionalFormatting>
  <conditionalFormatting sqref="K218:K219">
    <cfRule type="expression" dxfId="5498" priority="2430">
      <formula>J218="NO CUMPLE"</formula>
    </cfRule>
    <cfRule type="expression" dxfId="5497" priority="2431">
      <formula>J218="CUMPLE"</formula>
    </cfRule>
  </conditionalFormatting>
  <conditionalFormatting sqref="K220">
    <cfRule type="expression" dxfId="5496" priority="2428">
      <formula>J220="NO CUMPLE"</formula>
    </cfRule>
    <cfRule type="expression" dxfId="5495" priority="2429">
      <formula>J220="CUMPLE"</formula>
    </cfRule>
  </conditionalFormatting>
  <conditionalFormatting sqref="K221:K222">
    <cfRule type="expression" dxfId="5494" priority="2426">
      <formula>J221="NO CUMPLE"</formula>
    </cfRule>
    <cfRule type="expression" dxfId="5493" priority="2427">
      <formula>J221="CUMPLE"</formula>
    </cfRule>
  </conditionalFormatting>
  <conditionalFormatting sqref="K223">
    <cfRule type="expression" dxfId="5492" priority="2424">
      <formula>J223="NO CUMPLE"</formula>
    </cfRule>
    <cfRule type="expression" dxfId="5491" priority="2425">
      <formula>J223="CUMPLE"</formula>
    </cfRule>
  </conditionalFormatting>
  <conditionalFormatting sqref="K224:K225">
    <cfRule type="expression" dxfId="5490" priority="2422">
      <formula>J224="NO CUMPLE"</formula>
    </cfRule>
    <cfRule type="expression" dxfId="5489" priority="2423">
      <formula>J224="CUMPLE"</formula>
    </cfRule>
  </conditionalFormatting>
  <conditionalFormatting sqref="M215">
    <cfRule type="expression" dxfId="5488" priority="2410">
      <formula>L215="NO CUMPLE"</formula>
    </cfRule>
    <cfRule type="expression" dxfId="5487" priority="2411">
      <formula>L215="CUMPLE"</formula>
    </cfRule>
  </conditionalFormatting>
  <conditionalFormatting sqref="L214:L215">
    <cfRule type="cellIs" dxfId="5486" priority="2412" operator="equal">
      <formula>"NO CUMPLE"</formula>
    </cfRule>
    <cfRule type="cellIs" dxfId="5485" priority="2413" operator="equal">
      <formula>"CUMPLE"</formula>
    </cfRule>
  </conditionalFormatting>
  <conditionalFormatting sqref="M214">
    <cfRule type="expression" dxfId="5484" priority="2414">
      <formula>L214="NO CUMPLE"</formula>
    </cfRule>
    <cfRule type="expression" dxfId="5483" priority="2415">
      <formula>L214="CUMPLE"</formula>
    </cfRule>
  </conditionalFormatting>
  <conditionalFormatting sqref="M212">
    <cfRule type="expression" dxfId="5482" priority="2416">
      <formula>L212="NO CUMPLE"</formula>
    </cfRule>
    <cfRule type="expression" dxfId="5481" priority="2417">
      <formula>L212="CUMPLE"</formula>
    </cfRule>
  </conditionalFormatting>
  <conditionalFormatting sqref="M211">
    <cfRule type="expression" dxfId="5480" priority="2420">
      <formula>L211="NO CUMPLE"</formula>
    </cfRule>
    <cfRule type="expression" dxfId="5479" priority="2421">
      <formula>L211="CUMPLE"</formula>
    </cfRule>
  </conditionalFormatting>
  <conditionalFormatting sqref="L211:L212">
    <cfRule type="cellIs" dxfId="5478" priority="2418" operator="equal">
      <formula>"NO CUMPLE"</formula>
    </cfRule>
    <cfRule type="cellIs" dxfId="5477" priority="2419" operator="equal">
      <formula>"CUMPLE"</formula>
    </cfRule>
  </conditionalFormatting>
  <conditionalFormatting sqref="M218">
    <cfRule type="expression" dxfId="5476" priority="2404">
      <formula>L218="NO CUMPLE"</formula>
    </cfRule>
    <cfRule type="expression" dxfId="5475" priority="2405">
      <formula>L218="CUMPLE"</formula>
    </cfRule>
  </conditionalFormatting>
  <conditionalFormatting sqref="M217">
    <cfRule type="expression" dxfId="5474" priority="2408">
      <formula>L217="NO CUMPLE"</formula>
    </cfRule>
    <cfRule type="expression" dxfId="5473" priority="2409">
      <formula>L217="CUMPLE"</formula>
    </cfRule>
  </conditionalFormatting>
  <conditionalFormatting sqref="L217:L218">
    <cfRule type="cellIs" dxfId="5472" priority="2406" operator="equal">
      <formula>"NO CUMPLE"</formula>
    </cfRule>
    <cfRule type="cellIs" dxfId="5471" priority="2407" operator="equal">
      <formula>"CUMPLE"</formula>
    </cfRule>
  </conditionalFormatting>
  <conditionalFormatting sqref="M224">
    <cfRule type="expression" dxfId="5470" priority="2392">
      <formula>L224="NO CUMPLE"</formula>
    </cfRule>
    <cfRule type="expression" dxfId="5469" priority="2393">
      <formula>L224="CUMPLE"</formula>
    </cfRule>
  </conditionalFormatting>
  <conditionalFormatting sqref="M223">
    <cfRule type="expression" dxfId="5468" priority="2396">
      <formula>L223="NO CUMPLE"</formula>
    </cfRule>
    <cfRule type="expression" dxfId="5467" priority="2397">
      <formula>L223="CUMPLE"</formula>
    </cfRule>
  </conditionalFormatting>
  <conditionalFormatting sqref="L223:L224">
    <cfRule type="cellIs" dxfId="5466" priority="2394" operator="equal">
      <formula>"NO CUMPLE"</formula>
    </cfRule>
    <cfRule type="cellIs" dxfId="5465" priority="2395" operator="equal">
      <formula>"CUMPLE"</formula>
    </cfRule>
  </conditionalFormatting>
  <conditionalFormatting sqref="J211">
    <cfRule type="cellIs" dxfId="5464" priority="2390" operator="equal">
      <formula>"NO CUMPLE"</formula>
    </cfRule>
    <cfRule type="cellIs" dxfId="5463" priority="2391" operator="equal">
      <formula>"CUMPLE"</formula>
    </cfRule>
  </conditionalFormatting>
  <conditionalFormatting sqref="J212:J213">
    <cfRule type="cellIs" dxfId="5462" priority="2388" operator="equal">
      <formula>"NO CUMPLE"</formula>
    </cfRule>
    <cfRule type="cellIs" dxfId="5461" priority="2389" operator="equal">
      <formula>"CUMPLE"</formula>
    </cfRule>
  </conditionalFormatting>
  <conditionalFormatting sqref="K211">
    <cfRule type="expression" dxfId="5460" priority="2386">
      <formula>J211="NO CUMPLE"</formula>
    </cfRule>
    <cfRule type="expression" dxfId="5459" priority="2387">
      <formula>J211="CUMPLE"</formula>
    </cfRule>
  </conditionalFormatting>
  <conditionalFormatting sqref="K212:K213">
    <cfRule type="expression" dxfId="5458" priority="2384">
      <formula>J212="NO CUMPLE"</formula>
    </cfRule>
    <cfRule type="expression" dxfId="5457" priority="2385">
      <formula>J212="CUMPLE"</formula>
    </cfRule>
  </conditionalFormatting>
  <conditionalFormatting sqref="M41">
    <cfRule type="expression" dxfId="5456" priority="2366">
      <formula>L41="NO CUMPLE"</formula>
    </cfRule>
    <cfRule type="expression" dxfId="5455" priority="2367">
      <formula>L41="CUMPLE"</formula>
    </cfRule>
  </conditionalFormatting>
  <conditionalFormatting sqref="M42">
    <cfRule type="expression" dxfId="5454" priority="2364">
      <formula>L42="NO CUMPLE"</formula>
    </cfRule>
    <cfRule type="expression" dxfId="5453" priority="2365">
      <formula>L42="CUMPLE"</formula>
    </cfRule>
  </conditionalFormatting>
  <conditionalFormatting sqref="M17">
    <cfRule type="expression" dxfId="5452" priority="2376">
      <formula>L17="NO CUMPLE"</formula>
    </cfRule>
    <cfRule type="expression" dxfId="5451" priority="2377">
      <formula>L17="CUMPLE"</formula>
    </cfRule>
  </conditionalFormatting>
  <conditionalFormatting sqref="M16">
    <cfRule type="expression" dxfId="5450" priority="2378">
      <formula>L16="NO CUMPLE"</formula>
    </cfRule>
    <cfRule type="expression" dxfId="5449" priority="2379">
      <formula>L16="CUMPLE"</formula>
    </cfRule>
  </conditionalFormatting>
  <conditionalFormatting sqref="M36">
    <cfRule type="expression" dxfId="5448" priority="2372">
      <formula>L36="NO CUMPLE"</formula>
    </cfRule>
    <cfRule type="expression" dxfId="5447" priority="2373">
      <formula>L36="CUMPLE"</formula>
    </cfRule>
  </conditionalFormatting>
  <conditionalFormatting sqref="M35">
    <cfRule type="expression" dxfId="5446" priority="2374">
      <formula>L35="NO CUMPLE"</formula>
    </cfRule>
    <cfRule type="expression" dxfId="5445" priority="2375">
      <formula>L35="CUMPLE"</formula>
    </cfRule>
  </conditionalFormatting>
  <conditionalFormatting sqref="M39">
    <cfRule type="expression" dxfId="5444" priority="2368">
      <formula>L39="NO CUMPLE"</formula>
    </cfRule>
    <cfRule type="expression" dxfId="5443" priority="2369">
      <formula>L39="CUMPLE"</formula>
    </cfRule>
  </conditionalFormatting>
  <conditionalFormatting sqref="M38">
    <cfRule type="expression" dxfId="5442" priority="2370">
      <formula>L38="NO CUMPLE"</formula>
    </cfRule>
    <cfRule type="expression" dxfId="5441" priority="2371">
      <formula>L38="CUMPLE"</formula>
    </cfRule>
  </conditionalFormatting>
  <conditionalFormatting sqref="M45">
    <cfRule type="expression" dxfId="5440" priority="2360">
      <formula>L45="NO CUMPLE"</formula>
    </cfRule>
    <cfRule type="expression" dxfId="5439" priority="2361">
      <formula>L45="CUMPLE"</formula>
    </cfRule>
  </conditionalFormatting>
  <conditionalFormatting sqref="M44">
    <cfRule type="expression" dxfId="5438" priority="2362">
      <formula>L44="NO CUMPLE"</formula>
    </cfRule>
    <cfRule type="expression" dxfId="5437" priority="2363">
      <formula>L44="CUMPLE"</formula>
    </cfRule>
  </conditionalFormatting>
  <conditionalFormatting sqref="M48">
    <cfRule type="expression" dxfId="5436" priority="2356">
      <formula>L48="NO CUMPLE"</formula>
    </cfRule>
    <cfRule type="expression" dxfId="5435" priority="2357">
      <formula>L48="CUMPLE"</formula>
    </cfRule>
  </conditionalFormatting>
  <conditionalFormatting sqref="M47">
    <cfRule type="expression" dxfId="5434" priority="2358">
      <formula>L47="NO CUMPLE"</formula>
    </cfRule>
    <cfRule type="expression" dxfId="5433" priority="2359">
      <formula>L47="CUMPLE"</formula>
    </cfRule>
  </conditionalFormatting>
  <conditionalFormatting sqref="B248">
    <cfRule type="cellIs" dxfId="5432" priority="2350" operator="equal">
      <formula>"NO CUMPLE CON LA EXPERIENCIA REQUERIDA"</formula>
    </cfRule>
    <cfRule type="cellIs" dxfId="5431" priority="2351" operator="equal">
      <formula>"CUMPLE CON LA EXPERIENCIA REQUERIDA"</formula>
    </cfRule>
  </conditionalFormatting>
  <conditionalFormatting sqref="H233 H236 H239 H242 H245">
    <cfRule type="notContainsBlanks" dxfId="5430" priority="2349">
      <formula>LEN(TRIM(H233))&gt;0</formula>
    </cfRule>
  </conditionalFormatting>
  <conditionalFormatting sqref="G233">
    <cfRule type="notContainsBlanks" dxfId="5429" priority="2348">
      <formula>LEN(TRIM(G233))&gt;0</formula>
    </cfRule>
  </conditionalFormatting>
  <conditionalFormatting sqref="F233">
    <cfRule type="notContainsBlanks" dxfId="5428" priority="2347">
      <formula>LEN(TRIM(F233))&gt;0</formula>
    </cfRule>
  </conditionalFormatting>
  <conditionalFormatting sqref="E233">
    <cfRule type="notContainsBlanks" dxfId="5427" priority="2346">
      <formula>LEN(TRIM(E233))&gt;0</formula>
    </cfRule>
  </conditionalFormatting>
  <conditionalFormatting sqref="D233">
    <cfRule type="notContainsBlanks" dxfId="5426" priority="2345">
      <formula>LEN(TRIM(D233))&gt;0</formula>
    </cfRule>
  </conditionalFormatting>
  <conditionalFormatting sqref="C233">
    <cfRule type="notContainsBlanks" dxfId="5425" priority="2344">
      <formula>LEN(TRIM(C233))&gt;0</formula>
    </cfRule>
  </conditionalFormatting>
  <conditionalFormatting sqref="I233">
    <cfRule type="notContainsBlanks" dxfId="5424" priority="2343">
      <formula>LEN(TRIM(I233))&gt;0</formula>
    </cfRule>
  </conditionalFormatting>
  <conditionalFormatting sqref="S236">
    <cfRule type="cellIs" dxfId="5423" priority="2339" operator="greaterThan">
      <formula>0</formula>
    </cfRule>
    <cfRule type="top10" dxfId="5422" priority="2340" rank="10"/>
  </conditionalFormatting>
  <conditionalFormatting sqref="S239">
    <cfRule type="cellIs" dxfId="5421" priority="2337" operator="greaterThan">
      <formula>0</formula>
    </cfRule>
    <cfRule type="top10" dxfId="5420" priority="2338" rank="10"/>
  </conditionalFormatting>
  <conditionalFormatting sqref="G239">
    <cfRule type="notContainsBlanks" dxfId="5419" priority="2336">
      <formula>LEN(TRIM(G239))&gt;0</formula>
    </cfRule>
  </conditionalFormatting>
  <conditionalFormatting sqref="F239">
    <cfRule type="notContainsBlanks" dxfId="5418" priority="2335">
      <formula>LEN(TRIM(F239))&gt;0</formula>
    </cfRule>
  </conditionalFormatting>
  <conditionalFormatting sqref="E239">
    <cfRule type="notContainsBlanks" dxfId="5417" priority="2334">
      <formula>LEN(TRIM(E239))&gt;0</formula>
    </cfRule>
  </conditionalFormatting>
  <conditionalFormatting sqref="D239">
    <cfRule type="notContainsBlanks" dxfId="5416" priority="2333">
      <formula>LEN(TRIM(D239))&gt;0</formula>
    </cfRule>
  </conditionalFormatting>
  <conditionalFormatting sqref="C239">
    <cfRule type="notContainsBlanks" dxfId="5415" priority="2332">
      <formula>LEN(TRIM(C239))&gt;0</formula>
    </cfRule>
  </conditionalFormatting>
  <conditionalFormatting sqref="I239">
    <cfRule type="notContainsBlanks" dxfId="5414" priority="2331">
      <formula>LEN(TRIM(I239))&gt;0</formula>
    </cfRule>
  </conditionalFormatting>
  <conditionalFormatting sqref="S242">
    <cfRule type="cellIs" dxfId="5413" priority="2329" operator="greaterThan">
      <formula>0</formula>
    </cfRule>
    <cfRule type="top10" dxfId="5412" priority="2330" rank="10"/>
  </conditionalFormatting>
  <conditionalFormatting sqref="S245">
    <cfRule type="cellIs" dxfId="5411" priority="2327" operator="greaterThan">
      <formula>0</formula>
    </cfRule>
    <cfRule type="top10" dxfId="5410" priority="2328" rank="10"/>
  </conditionalFormatting>
  <conditionalFormatting sqref="G245">
    <cfRule type="notContainsBlanks" dxfId="5409" priority="2326">
      <formula>LEN(TRIM(G245))&gt;0</formula>
    </cfRule>
  </conditionalFormatting>
  <conditionalFormatting sqref="F245">
    <cfRule type="notContainsBlanks" dxfId="5408" priority="2325">
      <formula>LEN(TRIM(F245))&gt;0</formula>
    </cfRule>
  </conditionalFormatting>
  <conditionalFormatting sqref="E245">
    <cfRule type="notContainsBlanks" dxfId="5407" priority="2324">
      <formula>LEN(TRIM(E245))&gt;0</formula>
    </cfRule>
  </conditionalFormatting>
  <conditionalFormatting sqref="D245">
    <cfRule type="notContainsBlanks" dxfId="5406" priority="2323">
      <formula>LEN(TRIM(D245))&gt;0</formula>
    </cfRule>
  </conditionalFormatting>
  <conditionalFormatting sqref="C245">
    <cfRule type="notContainsBlanks" dxfId="5405" priority="2322">
      <formula>LEN(TRIM(C245))&gt;0</formula>
    </cfRule>
  </conditionalFormatting>
  <conditionalFormatting sqref="I245">
    <cfRule type="notContainsBlanks" dxfId="5404" priority="2321">
      <formula>LEN(TRIM(I245))&gt;0</formula>
    </cfRule>
  </conditionalFormatting>
  <conditionalFormatting sqref="G236">
    <cfRule type="notContainsBlanks" dxfId="5403" priority="2320">
      <formula>LEN(TRIM(G236))&gt;0</formula>
    </cfRule>
  </conditionalFormatting>
  <conditionalFormatting sqref="F236">
    <cfRule type="notContainsBlanks" dxfId="5402" priority="2319">
      <formula>LEN(TRIM(F236))&gt;0</formula>
    </cfRule>
  </conditionalFormatting>
  <conditionalFormatting sqref="E236">
    <cfRule type="notContainsBlanks" dxfId="5401" priority="2318">
      <formula>LEN(TRIM(E236))&gt;0</formula>
    </cfRule>
  </conditionalFormatting>
  <conditionalFormatting sqref="D236">
    <cfRule type="notContainsBlanks" dxfId="5400" priority="2317">
      <formula>LEN(TRIM(D236))&gt;0</formula>
    </cfRule>
  </conditionalFormatting>
  <conditionalFormatting sqref="C236">
    <cfRule type="notContainsBlanks" dxfId="5399" priority="2316">
      <formula>LEN(TRIM(C236))&gt;0</formula>
    </cfRule>
  </conditionalFormatting>
  <conditionalFormatting sqref="G242">
    <cfRule type="notContainsBlanks" dxfId="5398" priority="2315">
      <formula>LEN(TRIM(G242))&gt;0</formula>
    </cfRule>
  </conditionalFormatting>
  <conditionalFormatting sqref="F242">
    <cfRule type="notContainsBlanks" dxfId="5397" priority="2314">
      <formula>LEN(TRIM(F242))&gt;0</formula>
    </cfRule>
  </conditionalFormatting>
  <conditionalFormatting sqref="E242">
    <cfRule type="notContainsBlanks" dxfId="5396" priority="2313">
      <formula>LEN(TRIM(E242))&gt;0</formula>
    </cfRule>
  </conditionalFormatting>
  <conditionalFormatting sqref="D242">
    <cfRule type="notContainsBlanks" dxfId="5395" priority="2312">
      <formula>LEN(TRIM(D242))&gt;0</formula>
    </cfRule>
  </conditionalFormatting>
  <conditionalFormatting sqref="C242">
    <cfRule type="notContainsBlanks" dxfId="5394" priority="2311">
      <formula>LEN(TRIM(C242))&gt;0</formula>
    </cfRule>
  </conditionalFormatting>
  <conditionalFormatting sqref="I242">
    <cfRule type="notContainsBlanks" dxfId="5393" priority="2309">
      <formula>LEN(TRIM(I242))&gt;0</formula>
    </cfRule>
  </conditionalFormatting>
  <conditionalFormatting sqref="S248">
    <cfRule type="expression" dxfId="5392" priority="2307">
      <formula>$S$28&gt;0</formula>
    </cfRule>
    <cfRule type="cellIs" dxfId="5391" priority="2308" operator="equal">
      <formula>0</formula>
    </cfRule>
  </conditionalFormatting>
  <conditionalFormatting sqref="S249">
    <cfRule type="expression" dxfId="5390" priority="2305">
      <formula>$S$28&gt;0</formula>
    </cfRule>
    <cfRule type="cellIs" dxfId="5389" priority="2306" operator="equal">
      <formula>0</formula>
    </cfRule>
  </conditionalFormatting>
  <conditionalFormatting sqref="N245">
    <cfRule type="expression" dxfId="5388" priority="2266">
      <formula>N245=" "</formula>
    </cfRule>
    <cfRule type="expression" dxfId="5387" priority="2267">
      <formula>N245="NO PRESENTÓ CERTIFICADO"</formula>
    </cfRule>
    <cfRule type="expression" dxfId="5386" priority="2268">
      <formula>N245="PRESENTÓ CERTIFICADO"</formula>
    </cfRule>
  </conditionalFormatting>
  <conditionalFormatting sqref="O245">
    <cfRule type="cellIs" dxfId="5385" priority="2248" operator="equal">
      <formula>"PENDIENTE POR DESCRIPCIÓN"</formula>
    </cfRule>
    <cfRule type="cellIs" dxfId="5384" priority="2249" operator="equal">
      <formula>"DESCRIPCIÓN INSUFICIENTE"</formula>
    </cfRule>
    <cfRule type="cellIs" dxfId="5383" priority="2250" operator="equal">
      <formula>"NO ESTÁ ACORDE A ITEM 5.2.2 (T.R.)"</formula>
    </cfRule>
    <cfRule type="cellIs" dxfId="5382" priority="2251" operator="equal">
      <formula>"ACORDE A ITEM 5.2.2 (T.R.)"</formula>
    </cfRule>
    <cfRule type="cellIs" dxfId="5381" priority="2258" operator="equal">
      <formula>"PENDIENTE POR DESCRIPCIÓN"</formula>
    </cfRule>
    <cfRule type="cellIs" dxfId="5380" priority="2260" operator="equal">
      <formula>"DESCRIPCIÓN INSUFICIENTE"</formula>
    </cfRule>
    <cfRule type="cellIs" dxfId="5379" priority="2261" operator="equal">
      <formula>"NO ESTÁ ACORDE A ITEM 5.2.1 (T.R.)"</formula>
    </cfRule>
    <cfRule type="cellIs" dxfId="5378" priority="2262" operator="equal">
      <formula>"ACORDE A ITEM 5.2.1 (T.R.)"</formula>
    </cfRule>
  </conditionalFormatting>
  <conditionalFormatting sqref="Q245">
    <cfRule type="containsBlanks" dxfId="5377" priority="2253">
      <formula>LEN(TRIM(Q245))=0</formula>
    </cfRule>
    <cfRule type="cellIs" dxfId="5376" priority="2259" operator="equal">
      <formula>"REQUERIMIENTOS SUBSANADOS"</formula>
    </cfRule>
    <cfRule type="containsText" dxfId="5375" priority="2263" operator="containsText" text="NO SUBSANABLE">
      <formula>NOT(ISERROR(SEARCH("NO SUBSANABLE",Q245)))</formula>
    </cfRule>
    <cfRule type="containsText" dxfId="5374" priority="2264" operator="containsText" text="PENDIENTES POR SUBSANAR">
      <formula>NOT(ISERROR(SEARCH("PENDIENTES POR SUBSANAR",Q245)))</formula>
    </cfRule>
    <cfRule type="containsText" dxfId="5373" priority="2265" operator="containsText" text="SIN OBSERVACIÓN">
      <formula>NOT(ISERROR(SEARCH("SIN OBSERVACIÓN",Q245)))</formula>
    </cfRule>
  </conditionalFormatting>
  <conditionalFormatting sqref="R245">
    <cfRule type="containsBlanks" dxfId="5372" priority="2252">
      <formula>LEN(TRIM(R245))=0</formula>
    </cfRule>
    <cfRule type="cellIs" dxfId="5371" priority="2254" operator="equal">
      <formula>"NO CUMPLEN CON LO SOLICITADO"</formula>
    </cfRule>
    <cfRule type="cellIs" dxfId="5370" priority="2255" operator="equal">
      <formula>"CUMPLEN CON LO SOLICITADO"</formula>
    </cfRule>
    <cfRule type="cellIs" dxfId="5369" priority="2256" operator="equal">
      <formula>"PENDIENTES"</formula>
    </cfRule>
    <cfRule type="cellIs" dxfId="5368" priority="2257" operator="equal">
      <formula>"NINGUNO"</formula>
    </cfRule>
  </conditionalFormatting>
  <conditionalFormatting sqref="P242 P245">
    <cfRule type="expression" dxfId="5367" priority="2243">
      <formula>Q242="NO SUBSANABLE"</formula>
    </cfRule>
    <cfRule type="expression" dxfId="5366" priority="2244">
      <formula>Q242="REQUERIMIENTOS SUBSANADOS"</formula>
    </cfRule>
    <cfRule type="expression" dxfId="5365" priority="2245">
      <formula>Q242="PENDIENTES POR SUBSANAR"</formula>
    </cfRule>
    <cfRule type="expression" dxfId="5364" priority="2246">
      <formula>Q242="SIN OBSERVACIÓN"</formula>
    </cfRule>
    <cfRule type="containsBlanks" dxfId="5363" priority="2247">
      <formula>LEN(TRIM(P242))=0</formula>
    </cfRule>
  </conditionalFormatting>
  <conditionalFormatting sqref="N242">
    <cfRule type="expression" dxfId="5362" priority="2234">
      <formula>N242=" "</formula>
    </cfRule>
    <cfRule type="expression" dxfId="5361" priority="2235">
      <formula>N242="NO PRESENTÓ CERTIFICADO"</formula>
    </cfRule>
    <cfRule type="expression" dxfId="5360" priority="2236">
      <formula>N242="PRESENTÓ CERTIFICADO"</formula>
    </cfRule>
  </conditionalFormatting>
  <conditionalFormatting sqref="O242">
    <cfRule type="cellIs" dxfId="5359" priority="2210" operator="equal">
      <formula>"PENDIENTE POR DESCRIPCIÓN"</formula>
    </cfRule>
    <cfRule type="cellIs" dxfId="5358" priority="2211" operator="equal">
      <formula>"DESCRIPCIÓN INSUFICIENTE"</formula>
    </cfRule>
    <cfRule type="cellIs" dxfId="5357" priority="2212" operator="equal">
      <formula>"NO ESTÁ ACORDE A ITEM 5.2.2 (T.R.)"</formula>
    </cfRule>
    <cfRule type="cellIs" dxfId="5356" priority="2213" operator="equal">
      <formula>"ACORDE A ITEM 5.2.2 (T.R.)"</formula>
    </cfRule>
    <cfRule type="cellIs" dxfId="5355" priority="2214" operator="equal">
      <formula>"PENDIENTE POR DESCRIPCIÓN"</formula>
    </cfRule>
    <cfRule type="cellIs" dxfId="5354" priority="2215" operator="equal">
      <formula>"DESCRIPCIÓN INSUFICIENTE"</formula>
    </cfRule>
    <cfRule type="cellIs" dxfId="5353" priority="2216" operator="equal">
      <formula>"NO ESTÁ ACORDE A ITEM 5.2.1 (T.R.)"</formula>
    </cfRule>
    <cfRule type="cellIs" dxfId="5352" priority="2217" operator="equal">
      <formula>"ACORDE A ITEM 5.2.1 (T.R.)"</formula>
    </cfRule>
  </conditionalFormatting>
  <conditionalFormatting sqref="Q242">
    <cfRule type="containsBlanks" dxfId="5351" priority="2181">
      <formula>LEN(TRIM(Q242))=0</formula>
    </cfRule>
    <cfRule type="cellIs" dxfId="5350" priority="2186" operator="equal">
      <formula>"REQUERIMIENTOS SUBSANADOS"</formula>
    </cfRule>
    <cfRule type="containsText" dxfId="5349" priority="2187" operator="containsText" text="NO SUBSANABLE">
      <formula>NOT(ISERROR(SEARCH("NO SUBSANABLE",Q242)))</formula>
    </cfRule>
    <cfRule type="containsText" dxfId="5348" priority="2188" operator="containsText" text="PENDIENTES POR SUBSANAR">
      <formula>NOT(ISERROR(SEARCH("PENDIENTES POR SUBSANAR",Q242)))</formula>
    </cfRule>
    <cfRule type="containsText" dxfId="5347" priority="2189" operator="containsText" text="SIN OBSERVACIÓN">
      <formula>NOT(ISERROR(SEARCH("SIN OBSERVACIÓN",Q242)))</formula>
    </cfRule>
  </conditionalFormatting>
  <conditionalFormatting sqref="R242">
    <cfRule type="containsBlanks" dxfId="5346" priority="2180">
      <formula>LEN(TRIM(R242))=0</formula>
    </cfRule>
    <cfRule type="cellIs" dxfId="5345" priority="2182" operator="equal">
      <formula>"NO CUMPLEN CON LO SOLICITADO"</formula>
    </cfRule>
    <cfRule type="cellIs" dxfId="5344" priority="2183" operator="equal">
      <formula>"CUMPLEN CON LO SOLICITADO"</formula>
    </cfRule>
    <cfRule type="cellIs" dxfId="5343" priority="2184" operator="equal">
      <formula>"PENDIENTES"</formula>
    </cfRule>
    <cfRule type="cellIs" dxfId="5342" priority="2185" operator="equal">
      <formula>"NINGUNO"</formula>
    </cfRule>
  </conditionalFormatting>
  <conditionalFormatting sqref="M242">
    <cfRule type="expression" dxfId="5341" priority="2138">
      <formula>L242="NO CUMPLE"</formula>
    </cfRule>
    <cfRule type="expression" dxfId="5340" priority="2139">
      <formula>L242="CUMPLE"</formula>
    </cfRule>
  </conditionalFormatting>
  <conditionalFormatting sqref="L242:L243">
    <cfRule type="cellIs" dxfId="5339" priority="2136" operator="equal">
      <formula>"NO CUMPLE"</formula>
    </cfRule>
    <cfRule type="cellIs" dxfId="5338" priority="2137" operator="equal">
      <formula>"CUMPLE"</formula>
    </cfRule>
  </conditionalFormatting>
  <conditionalFormatting sqref="M243">
    <cfRule type="expression" dxfId="5337" priority="2134">
      <formula>L243="NO CUMPLE"</formula>
    </cfRule>
    <cfRule type="expression" dxfId="5336" priority="2135">
      <formula>L243="CUMPLE"</formula>
    </cfRule>
  </conditionalFormatting>
  <conditionalFormatting sqref="J242:J244">
    <cfRule type="cellIs" dxfId="5335" priority="2178" operator="equal">
      <formula>"NO CUMPLE"</formula>
    </cfRule>
    <cfRule type="cellIs" dxfId="5334" priority="2179" operator="equal">
      <formula>"CUMPLE"</formula>
    </cfRule>
  </conditionalFormatting>
  <conditionalFormatting sqref="K236">
    <cfRule type="expression" dxfId="5333" priority="2176">
      <formula>J236="NO CUMPLE"</formula>
    </cfRule>
    <cfRule type="expression" dxfId="5332" priority="2177">
      <formula>J236="CUMPLE"</formula>
    </cfRule>
  </conditionalFormatting>
  <conditionalFormatting sqref="K237:K238">
    <cfRule type="expression" dxfId="5331" priority="2174">
      <formula>J237="NO CUMPLE"</formula>
    </cfRule>
    <cfRule type="expression" dxfId="5330" priority="2175">
      <formula>J237="CUMPLE"</formula>
    </cfRule>
  </conditionalFormatting>
  <conditionalFormatting sqref="J245">
    <cfRule type="cellIs" dxfId="5329" priority="2172" operator="equal">
      <formula>"NO CUMPLE"</formula>
    </cfRule>
    <cfRule type="cellIs" dxfId="5328" priority="2173" operator="equal">
      <formula>"CUMPLE"</formula>
    </cfRule>
  </conditionalFormatting>
  <conditionalFormatting sqref="J246:J247">
    <cfRule type="cellIs" dxfId="5327" priority="2170" operator="equal">
      <formula>"NO CUMPLE"</formula>
    </cfRule>
    <cfRule type="cellIs" dxfId="5326" priority="2171" operator="equal">
      <formula>"CUMPLE"</formula>
    </cfRule>
  </conditionalFormatting>
  <conditionalFormatting sqref="K239">
    <cfRule type="expression" dxfId="5325" priority="2168">
      <formula>J239="NO CUMPLE"</formula>
    </cfRule>
    <cfRule type="expression" dxfId="5324" priority="2169">
      <formula>J239="CUMPLE"</formula>
    </cfRule>
  </conditionalFormatting>
  <conditionalFormatting sqref="K240:K241">
    <cfRule type="expression" dxfId="5323" priority="2166">
      <formula>J240="NO CUMPLE"</formula>
    </cfRule>
    <cfRule type="expression" dxfId="5322" priority="2167">
      <formula>J240="CUMPLE"</formula>
    </cfRule>
  </conditionalFormatting>
  <conditionalFormatting sqref="K242">
    <cfRule type="expression" dxfId="5321" priority="2164">
      <formula>J242="NO CUMPLE"</formula>
    </cfRule>
    <cfRule type="expression" dxfId="5320" priority="2165">
      <formula>J242="CUMPLE"</formula>
    </cfRule>
  </conditionalFormatting>
  <conditionalFormatting sqref="K243:K244">
    <cfRule type="expression" dxfId="5319" priority="2162">
      <formula>J243="NO CUMPLE"</formula>
    </cfRule>
    <cfRule type="expression" dxfId="5318" priority="2163">
      <formula>J243="CUMPLE"</formula>
    </cfRule>
  </conditionalFormatting>
  <conditionalFormatting sqref="K245">
    <cfRule type="expression" dxfId="5317" priority="2160">
      <formula>J245="NO CUMPLE"</formula>
    </cfRule>
    <cfRule type="expression" dxfId="5316" priority="2161">
      <formula>J245="CUMPLE"</formula>
    </cfRule>
  </conditionalFormatting>
  <conditionalFormatting sqref="K246:K247">
    <cfRule type="expression" dxfId="5315" priority="2158">
      <formula>J246="NO CUMPLE"</formula>
    </cfRule>
    <cfRule type="expression" dxfId="5314" priority="2159">
      <formula>J246="CUMPLE"</formula>
    </cfRule>
  </conditionalFormatting>
  <conditionalFormatting sqref="M237">
    <cfRule type="expression" dxfId="5313" priority="2146">
      <formula>L237="NO CUMPLE"</formula>
    </cfRule>
    <cfRule type="expression" dxfId="5312" priority="2147">
      <formula>L237="CUMPLE"</formula>
    </cfRule>
  </conditionalFormatting>
  <conditionalFormatting sqref="L236:L237">
    <cfRule type="cellIs" dxfId="5311" priority="2148" operator="equal">
      <formula>"NO CUMPLE"</formula>
    </cfRule>
    <cfRule type="cellIs" dxfId="5310" priority="2149" operator="equal">
      <formula>"CUMPLE"</formula>
    </cfRule>
  </conditionalFormatting>
  <conditionalFormatting sqref="M236">
    <cfRule type="expression" dxfId="5309" priority="2150">
      <formula>L236="NO CUMPLE"</formula>
    </cfRule>
    <cfRule type="expression" dxfId="5308" priority="2151">
      <formula>L236="CUMPLE"</formula>
    </cfRule>
  </conditionalFormatting>
  <conditionalFormatting sqref="M234">
    <cfRule type="expression" dxfId="5307" priority="2152">
      <formula>L234="NO CUMPLE"</formula>
    </cfRule>
    <cfRule type="expression" dxfId="5306" priority="2153">
      <formula>L234="CUMPLE"</formula>
    </cfRule>
  </conditionalFormatting>
  <conditionalFormatting sqref="M233">
    <cfRule type="expression" dxfId="5305" priority="2156">
      <formula>L233="NO CUMPLE"</formula>
    </cfRule>
    <cfRule type="expression" dxfId="5304" priority="2157">
      <formula>L233="CUMPLE"</formula>
    </cfRule>
  </conditionalFormatting>
  <conditionalFormatting sqref="L233:L234">
    <cfRule type="cellIs" dxfId="5303" priority="2154" operator="equal">
      <formula>"NO CUMPLE"</formula>
    </cfRule>
    <cfRule type="cellIs" dxfId="5302" priority="2155" operator="equal">
      <formula>"CUMPLE"</formula>
    </cfRule>
  </conditionalFormatting>
  <conditionalFormatting sqref="M240">
    <cfRule type="expression" dxfId="5301" priority="2140">
      <formula>L240="NO CUMPLE"</formula>
    </cfRule>
    <cfRule type="expression" dxfId="5300" priority="2141">
      <formula>L240="CUMPLE"</formula>
    </cfRule>
  </conditionalFormatting>
  <conditionalFormatting sqref="M239">
    <cfRule type="expression" dxfId="5299" priority="2144">
      <formula>L239="NO CUMPLE"</formula>
    </cfRule>
    <cfRule type="expression" dxfId="5298" priority="2145">
      <formula>L239="CUMPLE"</formula>
    </cfRule>
  </conditionalFormatting>
  <conditionalFormatting sqref="L239:L240">
    <cfRule type="cellIs" dxfId="5297" priority="2142" operator="equal">
      <formula>"NO CUMPLE"</formula>
    </cfRule>
    <cfRule type="cellIs" dxfId="5296" priority="2143" operator="equal">
      <formula>"CUMPLE"</formula>
    </cfRule>
  </conditionalFormatting>
  <conditionalFormatting sqref="M246">
    <cfRule type="expression" dxfId="5295" priority="2128">
      <formula>L246="NO CUMPLE"</formula>
    </cfRule>
    <cfRule type="expression" dxfId="5294" priority="2129">
      <formula>L246="CUMPLE"</formula>
    </cfRule>
  </conditionalFormatting>
  <conditionalFormatting sqref="M245">
    <cfRule type="expression" dxfId="5293" priority="2132">
      <formula>L245="NO CUMPLE"</formula>
    </cfRule>
    <cfRule type="expression" dxfId="5292" priority="2133">
      <formula>L245="CUMPLE"</formula>
    </cfRule>
  </conditionalFormatting>
  <conditionalFormatting sqref="L245:L246">
    <cfRule type="cellIs" dxfId="5291" priority="2130" operator="equal">
      <formula>"NO CUMPLE"</formula>
    </cfRule>
    <cfRule type="cellIs" dxfId="5290" priority="2131" operator="equal">
      <formula>"CUMPLE"</formula>
    </cfRule>
  </conditionalFormatting>
  <conditionalFormatting sqref="J233">
    <cfRule type="cellIs" dxfId="5289" priority="2126" operator="equal">
      <formula>"NO CUMPLE"</formula>
    </cfRule>
    <cfRule type="cellIs" dxfId="5288" priority="2127" operator="equal">
      <formula>"CUMPLE"</formula>
    </cfRule>
  </conditionalFormatting>
  <conditionalFormatting sqref="J234:J235">
    <cfRule type="cellIs" dxfId="5287" priority="2124" operator="equal">
      <formula>"NO CUMPLE"</formula>
    </cfRule>
    <cfRule type="cellIs" dxfId="5286" priority="2125" operator="equal">
      <formula>"CUMPLE"</formula>
    </cfRule>
  </conditionalFormatting>
  <conditionalFormatting sqref="K233">
    <cfRule type="expression" dxfId="5285" priority="2122">
      <formula>J233="NO CUMPLE"</formula>
    </cfRule>
    <cfRule type="expression" dxfId="5284" priority="2123">
      <formula>J233="CUMPLE"</formula>
    </cfRule>
  </conditionalFormatting>
  <conditionalFormatting sqref="K234:K235">
    <cfRule type="expression" dxfId="5283" priority="2120">
      <formula>J234="NO CUMPLE"</formula>
    </cfRule>
    <cfRule type="expression" dxfId="5282" priority="2121">
      <formula>J234="CUMPLE"</formula>
    </cfRule>
  </conditionalFormatting>
  <conditionalFormatting sqref="S255">
    <cfRule type="cellIs" dxfId="5281" priority="2118" operator="greaterThan">
      <formula>0</formula>
    </cfRule>
    <cfRule type="top10" dxfId="5280" priority="2119" rank="10"/>
  </conditionalFormatting>
  <conditionalFormatting sqref="B270">
    <cfRule type="cellIs" dxfId="5279" priority="2114" operator="equal">
      <formula>"NO CUMPLE CON LA EXPERIENCIA REQUERIDA"</formula>
    </cfRule>
    <cfRule type="cellIs" dxfId="5278" priority="2115" operator="equal">
      <formula>"CUMPLE CON LA EXPERIENCIA REQUERIDA"</formula>
    </cfRule>
  </conditionalFormatting>
  <conditionalFormatting sqref="H255">
    <cfRule type="notContainsBlanks" dxfId="5277" priority="2113">
      <formula>LEN(TRIM(H255))&gt;0</formula>
    </cfRule>
  </conditionalFormatting>
  <conditionalFormatting sqref="G255">
    <cfRule type="notContainsBlanks" dxfId="5276" priority="2112">
      <formula>LEN(TRIM(G255))&gt;0</formula>
    </cfRule>
  </conditionalFormatting>
  <conditionalFormatting sqref="F255">
    <cfRule type="notContainsBlanks" dxfId="5275" priority="2111">
      <formula>LEN(TRIM(F255))&gt;0</formula>
    </cfRule>
  </conditionalFormatting>
  <conditionalFormatting sqref="E255">
    <cfRule type="notContainsBlanks" dxfId="5274" priority="2110">
      <formula>LEN(TRIM(E255))&gt;0</formula>
    </cfRule>
  </conditionalFormatting>
  <conditionalFormatting sqref="D255">
    <cfRule type="notContainsBlanks" dxfId="5273" priority="2109">
      <formula>LEN(TRIM(D255))&gt;0</formula>
    </cfRule>
  </conditionalFormatting>
  <conditionalFormatting sqref="C255">
    <cfRule type="notContainsBlanks" dxfId="5272" priority="2108">
      <formula>LEN(TRIM(C255))&gt;0</formula>
    </cfRule>
  </conditionalFormatting>
  <conditionalFormatting sqref="I255">
    <cfRule type="notContainsBlanks" dxfId="5271" priority="2107">
      <formula>LEN(TRIM(I255))&gt;0</formula>
    </cfRule>
  </conditionalFormatting>
  <conditionalFormatting sqref="S258">
    <cfRule type="cellIs" dxfId="5270" priority="2103" operator="greaterThan">
      <formula>0</formula>
    </cfRule>
    <cfRule type="top10" dxfId="5269" priority="2104" rank="10"/>
  </conditionalFormatting>
  <conditionalFormatting sqref="S261">
    <cfRule type="cellIs" dxfId="5268" priority="2101" operator="greaterThan">
      <formula>0</formula>
    </cfRule>
    <cfRule type="top10" dxfId="5267" priority="2102" rank="10"/>
  </conditionalFormatting>
  <conditionalFormatting sqref="G261">
    <cfRule type="notContainsBlanks" dxfId="5266" priority="2100">
      <formula>LEN(TRIM(G261))&gt;0</formula>
    </cfRule>
  </conditionalFormatting>
  <conditionalFormatting sqref="F261">
    <cfRule type="notContainsBlanks" dxfId="5265" priority="2099">
      <formula>LEN(TRIM(F261))&gt;0</formula>
    </cfRule>
  </conditionalFormatting>
  <conditionalFormatting sqref="E261">
    <cfRule type="notContainsBlanks" dxfId="5264" priority="2098">
      <formula>LEN(TRIM(E261))&gt;0</formula>
    </cfRule>
  </conditionalFormatting>
  <conditionalFormatting sqref="D261">
    <cfRule type="notContainsBlanks" dxfId="5263" priority="2097">
      <formula>LEN(TRIM(D261))&gt;0</formula>
    </cfRule>
  </conditionalFormatting>
  <conditionalFormatting sqref="C261">
    <cfRule type="notContainsBlanks" dxfId="5262" priority="2096">
      <formula>LEN(TRIM(C261))&gt;0</formula>
    </cfRule>
  </conditionalFormatting>
  <conditionalFormatting sqref="S264">
    <cfRule type="cellIs" dxfId="5261" priority="2093" operator="greaterThan">
      <formula>0</formula>
    </cfRule>
    <cfRule type="top10" dxfId="5260" priority="2094" rank="10"/>
  </conditionalFormatting>
  <conditionalFormatting sqref="S267">
    <cfRule type="cellIs" dxfId="5259" priority="2091" operator="greaterThan">
      <formula>0</formula>
    </cfRule>
    <cfRule type="top10" dxfId="5258" priority="2092" rank="10"/>
  </conditionalFormatting>
  <conditionalFormatting sqref="G267">
    <cfRule type="notContainsBlanks" dxfId="5257" priority="2090">
      <formula>LEN(TRIM(G267))&gt;0</formula>
    </cfRule>
  </conditionalFormatting>
  <conditionalFormatting sqref="F267">
    <cfRule type="notContainsBlanks" dxfId="5256" priority="2089">
      <formula>LEN(TRIM(F267))&gt;0</formula>
    </cfRule>
  </conditionalFormatting>
  <conditionalFormatting sqref="E267">
    <cfRule type="notContainsBlanks" dxfId="5255" priority="2088">
      <formula>LEN(TRIM(E267))&gt;0</formula>
    </cfRule>
  </conditionalFormatting>
  <conditionalFormatting sqref="D267">
    <cfRule type="notContainsBlanks" dxfId="5254" priority="2087">
      <formula>LEN(TRIM(D267))&gt;0</formula>
    </cfRule>
  </conditionalFormatting>
  <conditionalFormatting sqref="C267">
    <cfRule type="notContainsBlanks" dxfId="5253" priority="2086">
      <formula>LEN(TRIM(C267))&gt;0</formula>
    </cfRule>
  </conditionalFormatting>
  <conditionalFormatting sqref="G258">
    <cfRule type="notContainsBlanks" dxfId="5252" priority="2084">
      <formula>LEN(TRIM(G258))&gt;0</formula>
    </cfRule>
  </conditionalFormatting>
  <conditionalFormatting sqref="F258">
    <cfRule type="notContainsBlanks" dxfId="5251" priority="2083">
      <formula>LEN(TRIM(F258))&gt;0</formula>
    </cfRule>
  </conditionalFormatting>
  <conditionalFormatting sqref="E258">
    <cfRule type="notContainsBlanks" dxfId="5250" priority="2082">
      <formula>LEN(TRIM(E258))&gt;0</formula>
    </cfRule>
  </conditionalFormatting>
  <conditionalFormatting sqref="D258">
    <cfRule type="notContainsBlanks" dxfId="5249" priority="2081">
      <formula>LEN(TRIM(D258))&gt;0</formula>
    </cfRule>
  </conditionalFormatting>
  <conditionalFormatting sqref="C258">
    <cfRule type="notContainsBlanks" dxfId="5248" priority="2080">
      <formula>LEN(TRIM(C258))&gt;0</formula>
    </cfRule>
  </conditionalFormatting>
  <conditionalFormatting sqref="G264">
    <cfRule type="notContainsBlanks" dxfId="5247" priority="2079">
      <formula>LEN(TRIM(G264))&gt;0</formula>
    </cfRule>
  </conditionalFormatting>
  <conditionalFormatting sqref="F264">
    <cfRule type="notContainsBlanks" dxfId="5246" priority="2078">
      <formula>LEN(TRIM(F264))&gt;0</formula>
    </cfRule>
  </conditionalFormatting>
  <conditionalFormatting sqref="E264">
    <cfRule type="notContainsBlanks" dxfId="5245" priority="2077">
      <formula>LEN(TRIM(E264))&gt;0</formula>
    </cfRule>
  </conditionalFormatting>
  <conditionalFormatting sqref="D264">
    <cfRule type="notContainsBlanks" dxfId="5244" priority="2076">
      <formula>LEN(TRIM(D264))&gt;0</formula>
    </cfRule>
  </conditionalFormatting>
  <conditionalFormatting sqref="C264">
    <cfRule type="notContainsBlanks" dxfId="5243" priority="2075">
      <formula>LEN(TRIM(C264))&gt;0</formula>
    </cfRule>
  </conditionalFormatting>
  <conditionalFormatting sqref="S270">
    <cfRule type="expression" dxfId="5242" priority="2071">
      <formula>$S$28&gt;0</formula>
    </cfRule>
    <cfRule type="cellIs" dxfId="5241" priority="2072" operator="equal">
      <formula>0</formula>
    </cfRule>
  </conditionalFormatting>
  <conditionalFormatting sqref="S271">
    <cfRule type="expression" dxfId="5240" priority="2069">
      <formula>$S$28&gt;0</formula>
    </cfRule>
    <cfRule type="cellIs" dxfId="5239" priority="2070" operator="equal">
      <formula>0</formula>
    </cfRule>
  </conditionalFormatting>
  <conditionalFormatting sqref="N255">
    <cfRule type="expression" dxfId="5238" priority="2056">
      <formula>N255=" "</formula>
    </cfRule>
    <cfRule type="expression" dxfId="5237" priority="2057">
      <formula>N255="NO PRESENTÓ CERTIFICADO"</formula>
    </cfRule>
    <cfRule type="expression" dxfId="5236" priority="2058">
      <formula>N255="PRESENTÓ CERTIFICADO"</formula>
    </cfRule>
  </conditionalFormatting>
  <conditionalFormatting sqref="O255">
    <cfRule type="cellIs" dxfId="5235" priority="2038" operator="equal">
      <formula>"PENDIENTE POR DESCRIPCIÓN"</formula>
    </cfRule>
    <cfRule type="cellIs" dxfId="5234" priority="2039" operator="equal">
      <formula>"DESCRIPCIÓN INSUFICIENTE"</formula>
    </cfRule>
    <cfRule type="cellIs" dxfId="5233" priority="2040" operator="equal">
      <formula>"NO ESTÁ ACORDE A ITEM 5.2.2 (T.R.)"</formula>
    </cfRule>
    <cfRule type="cellIs" dxfId="5232" priority="2041" operator="equal">
      <formula>"ACORDE A ITEM 5.2.2 (T.R.)"</formula>
    </cfRule>
    <cfRule type="cellIs" dxfId="5231" priority="2048" operator="equal">
      <formula>"PENDIENTE POR DESCRIPCIÓN"</formula>
    </cfRule>
    <cfRule type="cellIs" dxfId="5230" priority="2050" operator="equal">
      <formula>"DESCRIPCIÓN INSUFICIENTE"</formula>
    </cfRule>
    <cfRule type="cellIs" dxfId="5229" priority="2051" operator="equal">
      <formula>"NO ESTÁ ACORDE A ITEM 5.2.1 (T.R.)"</formula>
    </cfRule>
    <cfRule type="cellIs" dxfId="5228" priority="2052" operator="equal">
      <formula>"ACORDE A ITEM 5.2.1 (T.R.)"</formula>
    </cfRule>
  </conditionalFormatting>
  <conditionalFormatting sqref="Q255">
    <cfRule type="containsBlanks" dxfId="5227" priority="2043">
      <formula>LEN(TRIM(Q255))=0</formula>
    </cfRule>
    <cfRule type="cellIs" dxfId="5226" priority="2049" operator="equal">
      <formula>"REQUERIMIENTOS SUBSANADOS"</formula>
    </cfRule>
    <cfRule type="containsText" dxfId="5225" priority="2053" operator="containsText" text="NO SUBSANABLE">
      <formula>NOT(ISERROR(SEARCH("NO SUBSANABLE",Q255)))</formula>
    </cfRule>
    <cfRule type="containsText" dxfId="5224" priority="2054" operator="containsText" text="PENDIENTES POR SUBSANAR">
      <formula>NOT(ISERROR(SEARCH("PENDIENTES POR SUBSANAR",Q255)))</formula>
    </cfRule>
    <cfRule type="containsText" dxfId="5223" priority="2055" operator="containsText" text="SIN OBSERVACIÓN">
      <formula>NOT(ISERROR(SEARCH("SIN OBSERVACIÓN",Q255)))</formula>
    </cfRule>
  </conditionalFormatting>
  <conditionalFormatting sqref="R255">
    <cfRule type="containsBlanks" dxfId="5222" priority="2042">
      <formula>LEN(TRIM(R255))=0</formula>
    </cfRule>
    <cfRule type="cellIs" dxfId="5221" priority="2044" operator="equal">
      <formula>"NO CUMPLEN CON LO SOLICITADO"</formula>
    </cfRule>
    <cfRule type="cellIs" dxfId="5220" priority="2045" operator="equal">
      <formula>"CUMPLEN CON LO SOLICITADO"</formula>
    </cfRule>
    <cfRule type="cellIs" dxfId="5219" priority="2046" operator="equal">
      <formula>"PENDIENTES"</formula>
    </cfRule>
    <cfRule type="cellIs" dxfId="5218" priority="2047" operator="equal">
      <formula>"NINGUNO"</formula>
    </cfRule>
  </conditionalFormatting>
  <conditionalFormatting sqref="P255">
    <cfRule type="expression" dxfId="5217" priority="2033">
      <formula>Q255="NO SUBSANABLE"</formula>
    </cfRule>
    <cfRule type="expression" dxfId="5216" priority="2034">
      <formula>Q255="REQUERIMIENTOS SUBSANADOS"</formula>
    </cfRule>
    <cfRule type="expression" dxfId="5215" priority="2035">
      <formula>Q255="PENDIENTES POR SUBSANAR"</formula>
    </cfRule>
    <cfRule type="expression" dxfId="5214" priority="2036">
      <formula>Q255="SIN OBSERVACIÓN"</formula>
    </cfRule>
    <cfRule type="containsBlanks" dxfId="5213" priority="2037">
      <formula>LEN(TRIM(P255))=0</formula>
    </cfRule>
  </conditionalFormatting>
  <conditionalFormatting sqref="M264">
    <cfRule type="expression" dxfId="5212" priority="1902">
      <formula>L264="NO CUMPLE"</formula>
    </cfRule>
    <cfRule type="expression" dxfId="5211" priority="1903">
      <formula>L264="CUMPLE"</formula>
    </cfRule>
  </conditionalFormatting>
  <conditionalFormatting sqref="L264:L265">
    <cfRule type="cellIs" dxfId="5210" priority="1900" operator="equal">
      <formula>"NO CUMPLE"</formula>
    </cfRule>
    <cfRule type="cellIs" dxfId="5209" priority="1901" operator="equal">
      <formula>"CUMPLE"</formula>
    </cfRule>
  </conditionalFormatting>
  <conditionalFormatting sqref="M265">
    <cfRule type="expression" dxfId="5208" priority="1898">
      <formula>L265="NO CUMPLE"</formula>
    </cfRule>
    <cfRule type="expression" dxfId="5207" priority="1899">
      <formula>L265="CUMPLE"</formula>
    </cfRule>
  </conditionalFormatting>
  <conditionalFormatting sqref="J258:J266">
    <cfRule type="cellIs" dxfId="5206" priority="1942" operator="equal">
      <formula>"NO CUMPLE"</formula>
    </cfRule>
    <cfRule type="cellIs" dxfId="5205" priority="1943" operator="equal">
      <formula>"CUMPLE"</formula>
    </cfRule>
  </conditionalFormatting>
  <conditionalFormatting sqref="K258">
    <cfRule type="expression" dxfId="5204" priority="1940">
      <formula>J258="NO CUMPLE"</formula>
    </cfRule>
    <cfRule type="expression" dxfId="5203" priority="1941">
      <formula>J258="CUMPLE"</formula>
    </cfRule>
  </conditionalFormatting>
  <conditionalFormatting sqref="K259:K260">
    <cfRule type="expression" dxfId="5202" priority="1938">
      <formula>J259="NO CUMPLE"</formula>
    </cfRule>
    <cfRule type="expression" dxfId="5201" priority="1939">
      <formula>J259="CUMPLE"</formula>
    </cfRule>
  </conditionalFormatting>
  <conditionalFormatting sqref="J268:J269">
    <cfRule type="cellIs" dxfId="5200" priority="1934" operator="equal">
      <formula>"NO CUMPLE"</formula>
    </cfRule>
    <cfRule type="cellIs" dxfId="5199" priority="1935" operator="equal">
      <formula>"CUMPLE"</formula>
    </cfRule>
  </conditionalFormatting>
  <conditionalFormatting sqref="K261">
    <cfRule type="expression" dxfId="5198" priority="1932">
      <formula>J261="NO CUMPLE"</formula>
    </cfRule>
    <cfRule type="expression" dxfId="5197" priority="1933">
      <formula>J261="CUMPLE"</formula>
    </cfRule>
  </conditionalFormatting>
  <conditionalFormatting sqref="K262:K263">
    <cfRule type="expression" dxfId="5196" priority="1930">
      <formula>J262="NO CUMPLE"</formula>
    </cfRule>
    <cfRule type="expression" dxfId="5195" priority="1931">
      <formula>J262="CUMPLE"</formula>
    </cfRule>
  </conditionalFormatting>
  <conditionalFormatting sqref="K264">
    <cfRule type="expression" dxfId="5194" priority="1928">
      <formula>J264="NO CUMPLE"</formula>
    </cfRule>
    <cfRule type="expression" dxfId="5193" priority="1929">
      <formula>J264="CUMPLE"</formula>
    </cfRule>
  </conditionalFormatting>
  <conditionalFormatting sqref="K265:K266">
    <cfRule type="expression" dxfId="5192" priority="1926">
      <formula>J265="NO CUMPLE"</formula>
    </cfRule>
    <cfRule type="expression" dxfId="5191" priority="1927">
      <formula>J265="CUMPLE"</formula>
    </cfRule>
  </conditionalFormatting>
  <conditionalFormatting sqref="K267">
    <cfRule type="expression" dxfId="5190" priority="1924">
      <formula>J267="NO CUMPLE"</formula>
    </cfRule>
    <cfRule type="expression" dxfId="5189" priority="1925">
      <formula>J267="CUMPLE"</formula>
    </cfRule>
  </conditionalFormatting>
  <conditionalFormatting sqref="K268:K269">
    <cfRule type="expression" dxfId="5188" priority="1922">
      <formula>J268="NO CUMPLE"</formula>
    </cfRule>
    <cfRule type="expression" dxfId="5187" priority="1923">
      <formula>J268="CUMPLE"</formula>
    </cfRule>
  </conditionalFormatting>
  <conditionalFormatting sqref="M259">
    <cfRule type="expression" dxfId="5186" priority="1910">
      <formula>L259="NO CUMPLE"</formula>
    </cfRule>
    <cfRule type="expression" dxfId="5185" priority="1911">
      <formula>L259="CUMPLE"</formula>
    </cfRule>
  </conditionalFormatting>
  <conditionalFormatting sqref="L258:L259">
    <cfRule type="cellIs" dxfId="5184" priority="1912" operator="equal">
      <formula>"NO CUMPLE"</formula>
    </cfRule>
    <cfRule type="cellIs" dxfId="5183" priority="1913" operator="equal">
      <formula>"CUMPLE"</formula>
    </cfRule>
  </conditionalFormatting>
  <conditionalFormatting sqref="M258">
    <cfRule type="expression" dxfId="5182" priority="1914">
      <formula>L258="NO CUMPLE"</formula>
    </cfRule>
    <cfRule type="expression" dxfId="5181" priority="1915">
      <formula>L258="CUMPLE"</formula>
    </cfRule>
  </conditionalFormatting>
  <conditionalFormatting sqref="M256">
    <cfRule type="expression" dxfId="5180" priority="1916">
      <formula>L256="NO CUMPLE"</formula>
    </cfRule>
    <cfRule type="expression" dxfId="5179" priority="1917">
      <formula>L256="CUMPLE"</formula>
    </cfRule>
  </conditionalFormatting>
  <conditionalFormatting sqref="M255">
    <cfRule type="expression" dxfId="5178" priority="1920">
      <formula>L255="NO CUMPLE"</formula>
    </cfRule>
    <cfRule type="expression" dxfId="5177" priority="1921">
      <formula>L255="CUMPLE"</formula>
    </cfRule>
  </conditionalFormatting>
  <conditionalFormatting sqref="L255:L256">
    <cfRule type="cellIs" dxfId="5176" priority="1918" operator="equal">
      <formula>"NO CUMPLE"</formula>
    </cfRule>
    <cfRule type="cellIs" dxfId="5175" priority="1919" operator="equal">
      <formula>"CUMPLE"</formula>
    </cfRule>
  </conditionalFormatting>
  <conditionalFormatting sqref="M262">
    <cfRule type="expression" dxfId="5174" priority="1904">
      <formula>L262="NO CUMPLE"</formula>
    </cfRule>
    <cfRule type="expression" dxfId="5173" priority="1905">
      <formula>L262="CUMPLE"</formula>
    </cfRule>
  </conditionalFormatting>
  <conditionalFormatting sqref="M261">
    <cfRule type="expression" dxfId="5172" priority="1908">
      <formula>L261="NO CUMPLE"</formula>
    </cfRule>
    <cfRule type="expression" dxfId="5171" priority="1909">
      <formula>L261="CUMPLE"</formula>
    </cfRule>
  </conditionalFormatting>
  <conditionalFormatting sqref="L261:L262">
    <cfRule type="cellIs" dxfId="5170" priority="1906" operator="equal">
      <formula>"NO CUMPLE"</formula>
    </cfRule>
    <cfRule type="cellIs" dxfId="5169" priority="1907" operator="equal">
      <formula>"CUMPLE"</formula>
    </cfRule>
  </conditionalFormatting>
  <conditionalFormatting sqref="M268">
    <cfRule type="expression" dxfId="5168" priority="1892">
      <formula>L268="NO CUMPLE"</formula>
    </cfRule>
    <cfRule type="expression" dxfId="5167" priority="1893">
      <formula>L268="CUMPLE"</formula>
    </cfRule>
  </conditionalFormatting>
  <conditionalFormatting sqref="M267">
    <cfRule type="expression" dxfId="5166" priority="1896">
      <formula>L267="NO CUMPLE"</formula>
    </cfRule>
    <cfRule type="expression" dxfId="5165" priority="1897">
      <formula>L267="CUMPLE"</formula>
    </cfRule>
  </conditionalFormatting>
  <conditionalFormatting sqref="L267:L268">
    <cfRule type="cellIs" dxfId="5164" priority="1894" operator="equal">
      <formula>"NO CUMPLE"</formula>
    </cfRule>
    <cfRule type="cellIs" dxfId="5163" priority="1895" operator="equal">
      <formula>"CUMPLE"</formula>
    </cfRule>
  </conditionalFormatting>
  <conditionalFormatting sqref="K255">
    <cfRule type="expression" dxfId="5162" priority="1886">
      <formula>J255="NO CUMPLE"</formula>
    </cfRule>
    <cfRule type="expression" dxfId="5161" priority="1887">
      <formula>J255="CUMPLE"</formula>
    </cfRule>
  </conditionalFormatting>
  <conditionalFormatting sqref="K256:K257">
    <cfRule type="expression" dxfId="5160" priority="1884">
      <formula>J256="NO CUMPLE"</formula>
    </cfRule>
    <cfRule type="expression" dxfId="5159" priority="1885">
      <formula>J256="CUMPLE"</formula>
    </cfRule>
  </conditionalFormatting>
  <conditionalFormatting sqref="S277">
    <cfRule type="cellIs" dxfId="5158" priority="1882" operator="greaterThan">
      <formula>0</formula>
    </cfRule>
    <cfRule type="top10" dxfId="5157" priority="1883" rank="10"/>
  </conditionalFormatting>
  <conditionalFormatting sqref="B292">
    <cfRule type="cellIs" dxfId="5156" priority="1878" operator="equal">
      <formula>"NO CUMPLE CON LA EXPERIENCIA REQUERIDA"</formula>
    </cfRule>
    <cfRule type="cellIs" dxfId="5155" priority="1879" operator="equal">
      <formula>"CUMPLE CON LA EXPERIENCIA REQUERIDA"</formula>
    </cfRule>
  </conditionalFormatting>
  <conditionalFormatting sqref="H277 H280 H283 H286 H289">
    <cfRule type="notContainsBlanks" dxfId="5154" priority="1877">
      <formula>LEN(TRIM(H277))&gt;0</formula>
    </cfRule>
  </conditionalFormatting>
  <conditionalFormatting sqref="G277">
    <cfRule type="notContainsBlanks" dxfId="5153" priority="1876">
      <formula>LEN(TRIM(G277))&gt;0</formula>
    </cfRule>
  </conditionalFormatting>
  <conditionalFormatting sqref="F277">
    <cfRule type="notContainsBlanks" dxfId="5152" priority="1875">
      <formula>LEN(TRIM(F277))&gt;0</formula>
    </cfRule>
  </conditionalFormatting>
  <conditionalFormatting sqref="E277">
    <cfRule type="notContainsBlanks" dxfId="5151" priority="1874">
      <formula>LEN(TRIM(E277))&gt;0</formula>
    </cfRule>
  </conditionalFormatting>
  <conditionalFormatting sqref="D277">
    <cfRule type="notContainsBlanks" dxfId="5150" priority="1873">
      <formula>LEN(TRIM(D277))&gt;0</formula>
    </cfRule>
  </conditionalFormatting>
  <conditionalFormatting sqref="C277">
    <cfRule type="notContainsBlanks" dxfId="5149" priority="1872">
      <formula>LEN(TRIM(C277))&gt;0</formula>
    </cfRule>
  </conditionalFormatting>
  <conditionalFormatting sqref="I277">
    <cfRule type="notContainsBlanks" dxfId="5148" priority="1871">
      <formula>LEN(TRIM(I277))&gt;0</formula>
    </cfRule>
  </conditionalFormatting>
  <conditionalFormatting sqref="S280">
    <cfRule type="cellIs" dxfId="5147" priority="1867" operator="greaterThan">
      <formula>0</formula>
    </cfRule>
    <cfRule type="top10" dxfId="5146" priority="1868" rank="10"/>
  </conditionalFormatting>
  <conditionalFormatting sqref="S283">
    <cfRule type="cellIs" dxfId="5145" priority="1865" operator="greaterThan">
      <formula>0</formula>
    </cfRule>
    <cfRule type="top10" dxfId="5144" priority="1866" rank="10"/>
  </conditionalFormatting>
  <conditionalFormatting sqref="G283">
    <cfRule type="notContainsBlanks" dxfId="5143" priority="1864">
      <formula>LEN(TRIM(G283))&gt;0</formula>
    </cfRule>
  </conditionalFormatting>
  <conditionalFormatting sqref="F283">
    <cfRule type="notContainsBlanks" dxfId="5142" priority="1863">
      <formula>LEN(TRIM(F283))&gt;0</formula>
    </cfRule>
  </conditionalFormatting>
  <conditionalFormatting sqref="E283">
    <cfRule type="notContainsBlanks" dxfId="5141" priority="1862">
      <formula>LEN(TRIM(E283))&gt;0</formula>
    </cfRule>
  </conditionalFormatting>
  <conditionalFormatting sqref="D283">
    <cfRule type="notContainsBlanks" dxfId="5140" priority="1861">
      <formula>LEN(TRIM(D283))&gt;0</formula>
    </cfRule>
  </conditionalFormatting>
  <conditionalFormatting sqref="C283">
    <cfRule type="notContainsBlanks" dxfId="5139" priority="1860">
      <formula>LEN(TRIM(C283))&gt;0</formula>
    </cfRule>
  </conditionalFormatting>
  <conditionalFormatting sqref="I283">
    <cfRule type="notContainsBlanks" dxfId="5138" priority="1859">
      <formula>LEN(TRIM(I283))&gt;0</formula>
    </cfRule>
  </conditionalFormatting>
  <conditionalFormatting sqref="S286">
    <cfRule type="cellIs" dxfId="5137" priority="1857" operator="greaterThan">
      <formula>0</formula>
    </cfRule>
    <cfRule type="top10" dxfId="5136" priority="1858" rank="10"/>
  </conditionalFormatting>
  <conditionalFormatting sqref="S289">
    <cfRule type="cellIs" dxfId="5135" priority="1855" operator="greaterThan">
      <formula>0</formula>
    </cfRule>
    <cfRule type="top10" dxfId="5134" priority="1856" rank="10"/>
  </conditionalFormatting>
  <conditionalFormatting sqref="G289">
    <cfRule type="notContainsBlanks" dxfId="5133" priority="1854">
      <formula>LEN(TRIM(G289))&gt;0</formula>
    </cfRule>
  </conditionalFormatting>
  <conditionalFormatting sqref="F289">
    <cfRule type="notContainsBlanks" dxfId="5132" priority="1853">
      <formula>LEN(TRIM(F289))&gt;0</formula>
    </cfRule>
  </conditionalFormatting>
  <conditionalFormatting sqref="E289">
    <cfRule type="notContainsBlanks" dxfId="5131" priority="1852">
      <formula>LEN(TRIM(E289))&gt;0</formula>
    </cfRule>
  </conditionalFormatting>
  <conditionalFormatting sqref="D289">
    <cfRule type="notContainsBlanks" dxfId="5130" priority="1851">
      <formula>LEN(TRIM(D289))&gt;0</formula>
    </cfRule>
  </conditionalFormatting>
  <conditionalFormatting sqref="C289">
    <cfRule type="notContainsBlanks" dxfId="5129" priority="1850">
      <formula>LEN(TRIM(C289))&gt;0</formula>
    </cfRule>
  </conditionalFormatting>
  <conditionalFormatting sqref="I289">
    <cfRule type="notContainsBlanks" dxfId="5128" priority="1849">
      <formula>LEN(TRIM(I289))&gt;0</formula>
    </cfRule>
  </conditionalFormatting>
  <conditionalFormatting sqref="G280">
    <cfRule type="notContainsBlanks" dxfId="5127" priority="1848">
      <formula>LEN(TRIM(G280))&gt;0</formula>
    </cfRule>
  </conditionalFormatting>
  <conditionalFormatting sqref="F280">
    <cfRule type="notContainsBlanks" dxfId="5126" priority="1847">
      <formula>LEN(TRIM(F280))&gt;0</formula>
    </cfRule>
  </conditionalFormatting>
  <conditionalFormatting sqref="E280">
    <cfRule type="notContainsBlanks" dxfId="5125" priority="1846">
      <formula>LEN(TRIM(E280))&gt;0</formula>
    </cfRule>
  </conditionalFormatting>
  <conditionalFormatting sqref="D280">
    <cfRule type="notContainsBlanks" dxfId="5124" priority="1845">
      <formula>LEN(TRIM(D280))&gt;0</formula>
    </cfRule>
  </conditionalFormatting>
  <conditionalFormatting sqref="C280">
    <cfRule type="notContainsBlanks" dxfId="5123" priority="1844">
      <formula>LEN(TRIM(C280))&gt;0</formula>
    </cfRule>
  </conditionalFormatting>
  <conditionalFormatting sqref="G286">
    <cfRule type="notContainsBlanks" dxfId="5122" priority="1843">
      <formula>LEN(TRIM(G286))&gt;0</formula>
    </cfRule>
  </conditionalFormatting>
  <conditionalFormatting sqref="F286">
    <cfRule type="notContainsBlanks" dxfId="5121" priority="1842">
      <formula>LEN(TRIM(F286))&gt;0</formula>
    </cfRule>
  </conditionalFormatting>
  <conditionalFormatting sqref="E286">
    <cfRule type="notContainsBlanks" dxfId="5120" priority="1841">
      <formula>LEN(TRIM(E286))&gt;0</formula>
    </cfRule>
  </conditionalFormatting>
  <conditionalFormatting sqref="D286">
    <cfRule type="notContainsBlanks" dxfId="5119" priority="1840">
      <formula>LEN(TRIM(D286))&gt;0</formula>
    </cfRule>
  </conditionalFormatting>
  <conditionalFormatting sqref="C286">
    <cfRule type="notContainsBlanks" dxfId="5118" priority="1839">
      <formula>LEN(TRIM(C286))&gt;0</formula>
    </cfRule>
  </conditionalFormatting>
  <conditionalFormatting sqref="I280">
    <cfRule type="notContainsBlanks" dxfId="5117" priority="1838">
      <formula>LEN(TRIM(I280))&gt;0</formula>
    </cfRule>
  </conditionalFormatting>
  <conditionalFormatting sqref="I286">
    <cfRule type="notContainsBlanks" dxfId="5116" priority="1837">
      <formula>LEN(TRIM(I286))&gt;0</formula>
    </cfRule>
  </conditionalFormatting>
  <conditionalFormatting sqref="S292">
    <cfRule type="expression" dxfId="5115" priority="1835">
      <formula>$S$28&gt;0</formula>
    </cfRule>
    <cfRule type="cellIs" dxfId="5114" priority="1836" operator="equal">
      <formula>0</formula>
    </cfRule>
  </conditionalFormatting>
  <conditionalFormatting sqref="S293">
    <cfRule type="expression" dxfId="5113" priority="1833">
      <formula>$S$28&gt;0</formula>
    </cfRule>
    <cfRule type="cellIs" dxfId="5112" priority="1834" operator="equal">
      <formula>0</formula>
    </cfRule>
  </conditionalFormatting>
  <conditionalFormatting sqref="N277">
    <cfRule type="expression" dxfId="5111" priority="1820">
      <formula>N277=" "</formula>
    </cfRule>
    <cfRule type="expression" dxfId="5110" priority="1821">
      <formula>N277="NO PRESENTÓ CERTIFICADO"</formula>
    </cfRule>
    <cfRule type="expression" dxfId="5109" priority="1822">
      <formula>N277="PRESENTÓ CERTIFICADO"</formula>
    </cfRule>
  </conditionalFormatting>
  <conditionalFormatting sqref="O277">
    <cfRule type="cellIs" dxfId="5108" priority="1802" operator="equal">
      <formula>"PENDIENTE POR DESCRIPCIÓN"</formula>
    </cfRule>
    <cfRule type="cellIs" dxfId="5107" priority="1803" operator="equal">
      <formula>"DESCRIPCIÓN INSUFICIENTE"</formula>
    </cfRule>
    <cfRule type="cellIs" dxfId="5106" priority="1804" operator="equal">
      <formula>"NO ESTÁ ACORDE A ITEM 5.2.2 (T.R.)"</formula>
    </cfRule>
    <cfRule type="cellIs" dxfId="5105" priority="1805" operator="equal">
      <formula>"ACORDE A ITEM 5.2.2 (T.R.)"</formula>
    </cfRule>
    <cfRule type="cellIs" dxfId="5104" priority="1812" operator="equal">
      <formula>"PENDIENTE POR DESCRIPCIÓN"</formula>
    </cfRule>
    <cfRule type="cellIs" dxfId="5103" priority="1814" operator="equal">
      <formula>"DESCRIPCIÓN INSUFICIENTE"</formula>
    </cfRule>
    <cfRule type="cellIs" dxfId="5102" priority="1815" operator="equal">
      <formula>"NO ESTÁ ACORDE A ITEM 5.2.1 (T.R.)"</formula>
    </cfRule>
    <cfRule type="cellIs" dxfId="5101" priority="1816" operator="equal">
      <formula>"ACORDE A ITEM 5.2.1 (T.R.)"</formula>
    </cfRule>
  </conditionalFormatting>
  <conditionalFormatting sqref="P277">
    <cfRule type="expression" dxfId="5100" priority="1797">
      <formula>Q277="NO SUBSANABLE"</formula>
    </cfRule>
    <cfRule type="expression" dxfId="5099" priority="1798">
      <formula>Q277="REQUERIMIENTOS SUBSANADOS"</formula>
    </cfRule>
    <cfRule type="expression" dxfId="5098" priority="1799">
      <formula>Q277="PENDIENTES POR SUBSANAR"</formula>
    </cfRule>
    <cfRule type="expression" dxfId="5097" priority="1800">
      <formula>Q277="SIN OBSERVACIÓN"</formula>
    </cfRule>
    <cfRule type="containsBlanks" dxfId="5096" priority="1801">
      <formula>LEN(TRIM(P277))=0</formula>
    </cfRule>
  </conditionalFormatting>
  <conditionalFormatting sqref="N289">
    <cfRule type="expression" dxfId="5095" priority="1794">
      <formula>N289=" "</formula>
    </cfRule>
    <cfRule type="expression" dxfId="5094" priority="1795">
      <formula>N289="NO PRESENTÓ CERTIFICADO"</formula>
    </cfRule>
    <cfRule type="expression" dxfId="5093" priority="1796">
      <formula>N289="PRESENTÓ CERTIFICADO"</formula>
    </cfRule>
  </conditionalFormatting>
  <conditionalFormatting sqref="O289">
    <cfRule type="cellIs" dxfId="5092" priority="1776" operator="equal">
      <formula>"PENDIENTE POR DESCRIPCIÓN"</formula>
    </cfRule>
    <cfRule type="cellIs" dxfId="5091" priority="1777" operator="equal">
      <formula>"DESCRIPCIÓN INSUFICIENTE"</formula>
    </cfRule>
    <cfRule type="cellIs" dxfId="5090" priority="1778" operator="equal">
      <formula>"NO ESTÁ ACORDE A ITEM 5.2.2 (T.R.)"</formula>
    </cfRule>
    <cfRule type="cellIs" dxfId="5089" priority="1779" operator="equal">
      <formula>"ACORDE A ITEM 5.2.2 (T.R.)"</formula>
    </cfRule>
    <cfRule type="cellIs" dxfId="5088" priority="1786" operator="equal">
      <formula>"PENDIENTE POR DESCRIPCIÓN"</formula>
    </cfRule>
    <cfRule type="cellIs" dxfId="5087" priority="1788" operator="equal">
      <formula>"DESCRIPCIÓN INSUFICIENTE"</formula>
    </cfRule>
    <cfRule type="cellIs" dxfId="5086" priority="1789" operator="equal">
      <formula>"NO ESTÁ ACORDE A ITEM 5.2.1 (T.R.)"</formula>
    </cfRule>
    <cfRule type="cellIs" dxfId="5085" priority="1790" operator="equal">
      <formula>"ACORDE A ITEM 5.2.1 (T.R.)"</formula>
    </cfRule>
  </conditionalFormatting>
  <conditionalFormatting sqref="Q289">
    <cfRule type="containsBlanks" dxfId="5084" priority="1781">
      <formula>LEN(TRIM(Q289))=0</formula>
    </cfRule>
    <cfRule type="cellIs" dxfId="5083" priority="1787" operator="equal">
      <formula>"REQUERIMIENTOS SUBSANADOS"</formula>
    </cfRule>
    <cfRule type="containsText" dxfId="5082" priority="1791" operator="containsText" text="NO SUBSANABLE">
      <formula>NOT(ISERROR(SEARCH("NO SUBSANABLE",Q289)))</formula>
    </cfRule>
    <cfRule type="containsText" dxfId="5081" priority="1792" operator="containsText" text="PENDIENTES POR SUBSANAR">
      <formula>NOT(ISERROR(SEARCH("PENDIENTES POR SUBSANAR",Q289)))</formula>
    </cfRule>
    <cfRule type="containsText" dxfId="5080" priority="1793" operator="containsText" text="SIN OBSERVACIÓN">
      <formula>NOT(ISERROR(SEARCH("SIN OBSERVACIÓN",Q289)))</formula>
    </cfRule>
  </conditionalFormatting>
  <conditionalFormatting sqref="R289">
    <cfRule type="containsBlanks" dxfId="5079" priority="1780">
      <formula>LEN(TRIM(R289))=0</formula>
    </cfRule>
    <cfRule type="cellIs" dxfId="5078" priority="1782" operator="equal">
      <formula>"NO CUMPLEN CON LO SOLICITADO"</formula>
    </cfRule>
    <cfRule type="cellIs" dxfId="5077" priority="1783" operator="equal">
      <formula>"CUMPLEN CON LO SOLICITADO"</formula>
    </cfRule>
    <cfRule type="cellIs" dxfId="5076" priority="1784" operator="equal">
      <formula>"PENDIENTES"</formula>
    </cfRule>
    <cfRule type="cellIs" dxfId="5075" priority="1785" operator="equal">
      <formula>"NINGUNO"</formula>
    </cfRule>
  </conditionalFormatting>
  <conditionalFormatting sqref="P280 P283 P286 P289">
    <cfRule type="expression" dxfId="5074" priority="1771">
      <formula>Q280="NO SUBSANABLE"</formula>
    </cfRule>
    <cfRule type="expression" dxfId="5073" priority="1772">
      <formula>Q280="REQUERIMIENTOS SUBSANADOS"</formula>
    </cfRule>
    <cfRule type="expression" dxfId="5072" priority="1773">
      <formula>Q280="PENDIENTES POR SUBSANAR"</formula>
    </cfRule>
    <cfRule type="expression" dxfId="5071" priority="1774">
      <formula>Q280="SIN OBSERVACIÓN"</formula>
    </cfRule>
    <cfRule type="containsBlanks" dxfId="5070" priority="1775">
      <formula>LEN(TRIM(P280))=0</formula>
    </cfRule>
  </conditionalFormatting>
  <conditionalFormatting sqref="N286">
    <cfRule type="expression" dxfId="5069" priority="1762">
      <formula>N286=" "</formula>
    </cfRule>
    <cfRule type="expression" dxfId="5068" priority="1763">
      <formula>N286="NO PRESENTÓ CERTIFICADO"</formula>
    </cfRule>
    <cfRule type="expression" dxfId="5067" priority="1764">
      <formula>N286="PRESENTÓ CERTIFICADO"</formula>
    </cfRule>
  </conditionalFormatting>
  <conditionalFormatting sqref="O286">
    <cfRule type="cellIs" dxfId="5066" priority="1738" operator="equal">
      <formula>"PENDIENTE POR DESCRIPCIÓN"</formula>
    </cfRule>
    <cfRule type="cellIs" dxfId="5065" priority="1739" operator="equal">
      <formula>"DESCRIPCIÓN INSUFICIENTE"</formula>
    </cfRule>
    <cfRule type="cellIs" dxfId="5064" priority="1740" operator="equal">
      <formula>"NO ESTÁ ACORDE A ITEM 5.2.2 (T.R.)"</formula>
    </cfRule>
    <cfRule type="cellIs" dxfId="5063" priority="1741" operator="equal">
      <formula>"ACORDE A ITEM 5.2.2 (T.R.)"</formula>
    </cfRule>
    <cfRule type="cellIs" dxfId="5062" priority="1742" operator="equal">
      <formula>"PENDIENTE POR DESCRIPCIÓN"</formula>
    </cfRule>
    <cfRule type="cellIs" dxfId="5061" priority="1743" operator="equal">
      <formula>"DESCRIPCIÓN INSUFICIENTE"</formula>
    </cfRule>
    <cfRule type="cellIs" dxfId="5060" priority="1744" operator="equal">
      <formula>"NO ESTÁ ACORDE A ITEM 5.2.1 (T.R.)"</formula>
    </cfRule>
    <cfRule type="cellIs" dxfId="5059" priority="1745" operator="equal">
      <formula>"ACORDE A ITEM 5.2.1 (T.R.)"</formula>
    </cfRule>
  </conditionalFormatting>
  <conditionalFormatting sqref="Q283">
    <cfRule type="containsBlanks" dxfId="5058" priority="1719">
      <formula>LEN(TRIM(Q283))=0</formula>
    </cfRule>
    <cfRule type="cellIs" dxfId="5057" priority="1724" operator="equal">
      <formula>"REQUERIMIENTOS SUBSANADOS"</formula>
    </cfRule>
    <cfRule type="containsText" dxfId="5056" priority="1725" operator="containsText" text="NO SUBSANABLE">
      <formula>NOT(ISERROR(SEARCH("NO SUBSANABLE",Q283)))</formula>
    </cfRule>
    <cfRule type="containsText" dxfId="5055" priority="1726" operator="containsText" text="PENDIENTES POR SUBSANAR">
      <formula>NOT(ISERROR(SEARCH("PENDIENTES POR SUBSANAR",Q283)))</formula>
    </cfRule>
    <cfRule type="containsText" dxfId="5054" priority="1727" operator="containsText" text="SIN OBSERVACIÓN">
      <formula>NOT(ISERROR(SEARCH("SIN OBSERVACIÓN",Q283)))</formula>
    </cfRule>
  </conditionalFormatting>
  <conditionalFormatting sqref="R283">
    <cfRule type="containsBlanks" dxfId="5053" priority="1718">
      <formula>LEN(TRIM(R283))=0</formula>
    </cfRule>
    <cfRule type="cellIs" dxfId="5052" priority="1720" operator="equal">
      <formula>"NO CUMPLEN CON LO SOLICITADO"</formula>
    </cfRule>
    <cfRule type="cellIs" dxfId="5051" priority="1721" operator="equal">
      <formula>"CUMPLEN CON LO SOLICITADO"</formula>
    </cfRule>
    <cfRule type="cellIs" dxfId="5050" priority="1722" operator="equal">
      <formula>"PENDIENTES"</formula>
    </cfRule>
    <cfRule type="cellIs" dxfId="5049" priority="1723" operator="equal">
      <formula>"NINGUNO"</formula>
    </cfRule>
  </conditionalFormatting>
  <conditionalFormatting sqref="Q286">
    <cfRule type="containsBlanks" dxfId="5048" priority="1709">
      <formula>LEN(TRIM(Q286))=0</formula>
    </cfRule>
    <cfRule type="cellIs" dxfId="5047" priority="1714" operator="equal">
      <formula>"REQUERIMIENTOS SUBSANADOS"</formula>
    </cfRule>
    <cfRule type="containsText" dxfId="5046" priority="1715" operator="containsText" text="NO SUBSANABLE">
      <formula>NOT(ISERROR(SEARCH("NO SUBSANABLE",Q286)))</formula>
    </cfRule>
    <cfRule type="containsText" dxfId="5045" priority="1716" operator="containsText" text="PENDIENTES POR SUBSANAR">
      <formula>NOT(ISERROR(SEARCH("PENDIENTES POR SUBSANAR",Q286)))</formula>
    </cfRule>
    <cfRule type="containsText" dxfId="5044" priority="1717" operator="containsText" text="SIN OBSERVACIÓN">
      <formula>NOT(ISERROR(SEARCH("SIN OBSERVACIÓN",Q286)))</formula>
    </cfRule>
  </conditionalFormatting>
  <conditionalFormatting sqref="R286">
    <cfRule type="containsBlanks" dxfId="5043" priority="1708">
      <formula>LEN(TRIM(R286))=0</formula>
    </cfRule>
    <cfRule type="cellIs" dxfId="5042" priority="1710" operator="equal">
      <formula>"NO CUMPLEN CON LO SOLICITADO"</formula>
    </cfRule>
    <cfRule type="cellIs" dxfId="5041" priority="1711" operator="equal">
      <formula>"CUMPLEN CON LO SOLICITADO"</formula>
    </cfRule>
    <cfRule type="cellIs" dxfId="5040" priority="1712" operator="equal">
      <formula>"PENDIENTES"</formula>
    </cfRule>
    <cfRule type="cellIs" dxfId="5039" priority="1713" operator="equal">
      <formula>"NINGUNO"</formula>
    </cfRule>
  </conditionalFormatting>
  <conditionalFormatting sqref="M286">
    <cfRule type="expression" dxfId="5038" priority="1666">
      <formula>L286="NO CUMPLE"</formula>
    </cfRule>
    <cfRule type="expression" dxfId="5037" priority="1667">
      <formula>L286="CUMPLE"</formula>
    </cfRule>
  </conditionalFormatting>
  <conditionalFormatting sqref="L286:L287">
    <cfRule type="cellIs" dxfId="5036" priority="1664" operator="equal">
      <formula>"NO CUMPLE"</formula>
    </cfRule>
    <cfRule type="cellIs" dxfId="5035" priority="1665" operator="equal">
      <formula>"CUMPLE"</formula>
    </cfRule>
  </conditionalFormatting>
  <conditionalFormatting sqref="M287">
    <cfRule type="expression" dxfId="5034" priority="1662">
      <formula>L287="NO CUMPLE"</formula>
    </cfRule>
    <cfRule type="expression" dxfId="5033" priority="1663">
      <formula>L287="CUMPLE"</formula>
    </cfRule>
  </conditionalFormatting>
  <conditionalFormatting sqref="J280:J288">
    <cfRule type="cellIs" dxfId="5032" priority="1706" operator="equal">
      <formula>"NO CUMPLE"</formula>
    </cfRule>
    <cfRule type="cellIs" dxfId="5031" priority="1707" operator="equal">
      <formula>"CUMPLE"</formula>
    </cfRule>
  </conditionalFormatting>
  <conditionalFormatting sqref="K280">
    <cfRule type="expression" dxfId="5030" priority="1704">
      <formula>J280="NO CUMPLE"</formula>
    </cfRule>
    <cfRule type="expression" dxfId="5029" priority="1705">
      <formula>J280="CUMPLE"</formula>
    </cfRule>
  </conditionalFormatting>
  <conditionalFormatting sqref="K281:K282">
    <cfRule type="expression" dxfId="5028" priority="1702">
      <formula>J281="NO CUMPLE"</formula>
    </cfRule>
    <cfRule type="expression" dxfId="5027" priority="1703">
      <formula>J281="CUMPLE"</formula>
    </cfRule>
  </conditionalFormatting>
  <conditionalFormatting sqref="J289">
    <cfRule type="cellIs" dxfId="5026" priority="1700" operator="equal">
      <formula>"NO CUMPLE"</formula>
    </cfRule>
    <cfRule type="cellIs" dxfId="5025" priority="1701" operator="equal">
      <formula>"CUMPLE"</formula>
    </cfRule>
  </conditionalFormatting>
  <conditionalFormatting sqref="J290:J291">
    <cfRule type="cellIs" dxfId="5024" priority="1698" operator="equal">
      <formula>"NO CUMPLE"</formula>
    </cfRule>
    <cfRule type="cellIs" dxfId="5023" priority="1699" operator="equal">
      <formula>"CUMPLE"</formula>
    </cfRule>
  </conditionalFormatting>
  <conditionalFormatting sqref="K283">
    <cfRule type="expression" dxfId="5022" priority="1696">
      <formula>J283="NO CUMPLE"</formula>
    </cfRule>
    <cfRule type="expression" dxfId="5021" priority="1697">
      <formula>J283="CUMPLE"</formula>
    </cfRule>
  </conditionalFormatting>
  <conditionalFormatting sqref="K284:K285">
    <cfRule type="expression" dxfId="5020" priority="1694">
      <formula>J284="NO CUMPLE"</formula>
    </cfRule>
    <cfRule type="expression" dxfId="5019" priority="1695">
      <formula>J284="CUMPLE"</formula>
    </cfRule>
  </conditionalFormatting>
  <conditionalFormatting sqref="K286">
    <cfRule type="expression" dxfId="5018" priority="1692">
      <formula>J286="NO CUMPLE"</formula>
    </cfRule>
    <cfRule type="expression" dxfId="5017" priority="1693">
      <formula>J286="CUMPLE"</formula>
    </cfRule>
  </conditionalFormatting>
  <conditionalFormatting sqref="K287:K288">
    <cfRule type="expression" dxfId="5016" priority="1690">
      <formula>J287="NO CUMPLE"</formula>
    </cfRule>
    <cfRule type="expression" dxfId="5015" priority="1691">
      <formula>J287="CUMPLE"</formula>
    </cfRule>
  </conditionalFormatting>
  <conditionalFormatting sqref="K289">
    <cfRule type="expression" dxfId="5014" priority="1688">
      <formula>J289="NO CUMPLE"</formula>
    </cfRule>
    <cfRule type="expression" dxfId="5013" priority="1689">
      <formula>J289="CUMPLE"</formula>
    </cfRule>
  </conditionalFormatting>
  <conditionalFormatting sqref="K290:K291">
    <cfRule type="expression" dxfId="5012" priority="1686">
      <formula>J290="NO CUMPLE"</formula>
    </cfRule>
    <cfRule type="expression" dxfId="5011" priority="1687">
      <formula>J290="CUMPLE"</formula>
    </cfRule>
  </conditionalFormatting>
  <conditionalFormatting sqref="M281">
    <cfRule type="expression" dxfId="5010" priority="1674">
      <formula>L281="NO CUMPLE"</formula>
    </cfRule>
    <cfRule type="expression" dxfId="5009" priority="1675">
      <formula>L281="CUMPLE"</formula>
    </cfRule>
  </conditionalFormatting>
  <conditionalFormatting sqref="L280:L281">
    <cfRule type="cellIs" dxfId="5008" priority="1676" operator="equal">
      <formula>"NO CUMPLE"</formula>
    </cfRule>
    <cfRule type="cellIs" dxfId="5007" priority="1677" operator="equal">
      <formula>"CUMPLE"</formula>
    </cfRule>
  </conditionalFormatting>
  <conditionalFormatting sqref="M280">
    <cfRule type="expression" dxfId="5006" priority="1678">
      <formula>L280="NO CUMPLE"</formula>
    </cfRule>
    <cfRule type="expression" dxfId="5005" priority="1679">
      <formula>L280="CUMPLE"</formula>
    </cfRule>
  </conditionalFormatting>
  <conditionalFormatting sqref="M278">
    <cfRule type="expression" dxfId="5004" priority="1680">
      <formula>L278="NO CUMPLE"</formula>
    </cfRule>
    <cfRule type="expression" dxfId="5003" priority="1681">
      <formula>L278="CUMPLE"</formula>
    </cfRule>
  </conditionalFormatting>
  <conditionalFormatting sqref="M277">
    <cfRule type="expression" dxfId="5002" priority="1684">
      <formula>L277="NO CUMPLE"</formula>
    </cfRule>
    <cfRule type="expression" dxfId="5001" priority="1685">
      <formula>L277="CUMPLE"</formula>
    </cfRule>
  </conditionalFormatting>
  <conditionalFormatting sqref="L277:L278">
    <cfRule type="cellIs" dxfId="5000" priority="1682" operator="equal">
      <formula>"NO CUMPLE"</formula>
    </cfRule>
    <cfRule type="cellIs" dxfId="4999" priority="1683" operator="equal">
      <formula>"CUMPLE"</formula>
    </cfRule>
  </conditionalFormatting>
  <conditionalFormatting sqref="M284">
    <cfRule type="expression" dxfId="4998" priority="1668">
      <formula>L284="NO CUMPLE"</formula>
    </cfRule>
    <cfRule type="expression" dxfId="4997" priority="1669">
      <formula>L284="CUMPLE"</formula>
    </cfRule>
  </conditionalFormatting>
  <conditionalFormatting sqref="M283">
    <cfRule type="expression" dxfId="4996" priority="1672">
      <formula>L283="NO CUMPLE"</formula>
    </cfRule>
    <cfRule type="expression" dxfId="4995" priority="1673">
      <formula>L283="CUMPLE"</formula>
    </cfRule>
  </conditionalFormatting>
  <conditionalFormatting sqref="L283:L284">
    <cfRule type="cellIs" dxfId="4994" priority="1670" operator="equal">
      <formula>"NO CUMPLE"</formula>
    </cfRule>
    <cfRule type="cellIs" dxfId="4993" priority="1671" operator="equal">
      <formula>"CUMPLE"</formula>
    </cfRule>
  </conditionalFormatting>
  <conditionalFormatting sqref="M290">
    <cfRule type="expression" dxfId="4992" priority="1656">
      <formula>L290="NO CUMPLE"</formula>
    </cfRule>
    <cfRule type="expression" dxfId="4991" priority="1657">
      <formula>L290="CUMPLE"</formula>
    </cfRule>
  </conditionalFormatting>
  <conditionalFormatting sqref="M289">
    <cfRule type="expression" dxfId="4990" priority="1660">
      <formula>L289="NO CUMPLE"</formula>
    </cfRule>
    <cfRule type="expression" dxfId="4989" priority="1661">
      <formula>L289="CUMPLE"</formula>
    </cfRule>
  </conditionalFormatting>
  <conditionalFormatting sqref="L289:L290">
    <cfRule type="cellIs" dxfId="4988" priority="1658" operator="equal">
      <formula>"NO CUMPLE"</formula>
    </cfRule>
    <cfRule type="cellIs" dxfId="4987" priority="1659" operator="equal">
      <formula>"CUMPLE"</formula>
    </cfRule>
  </conditionalFormatting>
  <conditionalFormatting sqref="J277">
    <cfRule type="cellIs" dxfId="4986" priority="1654" operator="equal">
      <formula>"NO CUMPLE"</formula>
    </cfRule>
    <cfRule type="cellIs" dxfId="4985" priority="1655" operator="equal">
      <formula>"CUMPLE"</formula>
    </cfRule>
  </conditionalFormatting>
  <conditionalFormatting sqref="J278:J279">
    <cfRule type="cellIs" dxfId="4984" priority="1652" operator="equal">
      <formula>"NO CUMPLE"</formula>
    </cfRule>
    <cfRule type="cellIs" dxfId="4983" priority="1653" operator="equal">
      <formula>"CUMPLE"</formula>
    </cfRule>
  </conditionalFormatting>
  <conditionalFormatting sqref="K277">
    <cfRule type="expression" dxfId="4982" priority="1650">
      <formula>J277="NO CUMPLE"</formula>
    </cfRule>
    <cfRule type="expression" dxfId="4981" priority="1651">
      <formula>J277="CUMPLE"</formula>
    </cfRule>
  </conditionalFormatting>
  <conditionalFormatting sqref="K278:K279">
    <cfRule type="expression" dxfId="4980" priority="1648">
      <formula>J278="NO CUMPLE"</formula>
    </cfRule>
    <cfRule type="expression" dxfId="4979" priority="1649">
      <formula>J278="CUMPLE"</formula>
    </cfRule>
  </conditionalFormatting>
  <conditionalFormatting sqref="S299">
    <cfRule type="cellIs" dxfId="4978" priority="1646" operator="greaterThan">
      <formula>0</formula>
    </cfRule>
    <cfRule type="top10" dxfId="4977" priority="1647" rank="10"/>
  </conditionalFormatting>
  <conditionalFormatting sqref="B314">
    <cfRule type="cellIs" dxfId="4976" priority="1642" operator="equal">
      <formula>"NO CUMPLE CON LA EXPERIENCIA REQUERIDA"</formula>
    </cfRule>
    <cfRule type="cellIs" dxfId="4975" priority="1643" operator="equal">
      <formula>"CUMPLE CON LA EXPERIENCIA REQUERIDA"</formula>
    </cfRule>
  </conditionalFormatting>
  <conditionalFormatting sqref="H299 H302 H305 H308 H311">
    <cfRule type="notContainsBlanks" dxfId="4974" priority="1641">
      <formula>LEN(TRIM(H299))&gt;0</formula>
    </cfRule>
  </conditionalFormatting>
  <conditionalFormatting sqref="G299">
    <cfRule type="notContainsBlanks" dxfId="4973" priority="1640">
      <formula>LEN(TRIM(G299))&gt;0</formula>
    </cfRule>
  </conditionalFormatting>
  <conditionalFormatting sqref="F299">
    <cfRule type="notContainsBlanks" dxfId="4972" priority="1639">
      <formula>LEN(TRIM(F299))&gt;0</formula>
    </cfRule>
  </conditionalFormatting>
  <conditionalFormatting sqref="E299">
    <cfRule type="notContainsBlanks" dxfId="4971" priority="1638">
      <formula>LEN(TRIM(E299))&gt;0</formula>
    </cfRule>
  </conditionalFormatting>
  <conditionalFormatting sqref="D299">
    <cfRule type="notContainsBlanks" dxfId="4970" priority="1637">
      <formula>LEN(TRIM(D299))&gt;0</formula>
    </cfRule>
  </conditionalFormatting>
  <conditionalFormatting sqref="C299">
    <cfRule type="notContainsBlanks" dxfId="4969" priority="1636">
      <formula>LEN(TRIM(C299))&gt;0</formula>
    </cfRule>
  </conditionalFormatting>
  <conditionalFormatting sqref="I299">
    <cfRule type="notContainsBlanks" dxfId="4968" priority="1635">
      <formula>LEN(TRIM(I299))&gt;0</formula>
    </cfRule>
  </conditionalFormatting>
  <conditionalFormatting sqref="S302">
    <cfRule type="cellIs" dxfId="4967" priority="1631" operator="greaterThan">
      <formula>0</formula>
    </cfRule>
    <cfRule type="top10" dxfId="4966" priority="1632" rank="10"/>
  </conditionalFormatting>
  <conditionalFormatting sqref="S305">
    <cfRule type="cellIs" dxfId="4965" priority="1629" operator="greaterThan">
      <formula>0</formula>
    </cfRule>
    <cfRule type="top10" dxfId="4964" priority="1630" rank="10"/>
  </conditionalFormatting>
  <conditionalFormatting sqref="G305">
    <cfRule type="notContainsBlanks" dxfId="4963" priority="1628">
      <formula>LEN(TRIM(G305))&gt;0</formula>
    </cfRule>
  </conditionalFormatting>
  <conditionalFormatting sqref="F305">
    <cfRule type="notContainsBlanks" dxfId="4962" priority="1627">
      <formula>LEN(TRIM(F305))&gt;0</formula>
    </cfRule>
  </conditionalFormatting>
  <conditionalFormatting sqref="E305">
    <cfRule type="notContainsBlanks" dxfId="4961" priority="1626">
      <formula>LEN(TRIM(E305))&gt;0</formula>
    </cfRule>
  </conditionalFormatting>
  <conditionalFormatting sqref="D305">
    <cfRule type="notContainsBlanks" dxfId="4960" priority="1625">
      <formula>LEN(TRIM(D305))&gt;0</formula>
    </cfRule>
  </conditionalFormatting>
  <conditionalFormatting sqref="C305">
    <cfRule type="notContainsBlanks" dxfId="4959" priority="1624">
      <formula>LEN(TRIM(C305))&gt;0</formula>
    </cfRule>
  </conditionalFormatting>
  <conditionalFormatting sqref="I305">
    <cfRule type="notContainsBlanks" dxfId="4958" priority="1623">
      <formula>LEN(TRIM(I305))&gt;0</formula>
    </cfRule>
  </conditionalFormatting>
  <conditionalFormatting sqref="S308">
    <cfRule type="cellIs" dxfId="4957" priority="1621" operator="greaterThan">
      <formula>0</formula>
    </cfRule>
    <cfRule type="top10" dxfId="4956" priority="1622" rank="10"/>
  </conditionalFormatting>
  <conditionalFormatting sqref="S311">
    <cfRule type="cellIs" dxfId="4955" priority="1619" operator="greaterThan">
      <formula>0</formula>
    </cfRule>
    <cfRule type="top10" dxfId="4954" priority="1620" rank="10"/>
  </conditionalFormatting>
  <conditionalFormatting sqref="G311">
    <cfRule type="notContainsBlanks" dxfId="4953" priority="1618">
      <formula>LEN(TRIM(G311))&gt;0</formula>
    </cfRule>
  </conditionalFormatting>
  <conditionalFormatting sqref="F311">
    <cfRule type="notContainsBlanks" dxfId="4952" priority="1617">
      <formula>LEN(TRIM(F311))&gt;0</formula>
    </cfRule>
  </conditionalFormatting>
  <conditionalFormatting sqref="E311">
    <cfRule type="notContainsBlanks" dxfId="4951" priority="1616">
      <formula>LEN(TRIM(E311))&gt;0</formula>
    </cfRule>
  </conditionalFormatting>
  <conditionalFormatting sqref="D311">
    <cfRule type="notContainsBlanks" dxfId="4950" priority="1615">
      <formula>LEN(TRIM(D311))&gt;0</formula>
    </cfRule>
  </conditionalFormatting>
  <conditionalFormatting sqref="C311">
    <cfRule type="notContainsBlanks" dxfId="4949" priority="1614">
      <formula>LEN(TRIM(C311))&gt;0</formula>
    </cfRule>
  </conditionalFormatting>
  <conditionalFormatting sqref="I311">
    <cfRule type="notContainsBlanks" dxfId="4948" priority="1613">
      <formula>LEN(TRIM(I311))&gt;0</formula>
    </cfRule>
  </conditionalFormatting>
  <conditionalFormatting sqref="G302">
    <cfRule type="notContainsBlanks" dxfId="4947" priority="1612">
      <formula>LEN(TRIM(G302))&gt;0</formula>
    </cfRule>
  </conditionalFormatting>
  <conditionalFormatting sqref="F302">
    <cfRule type="notContainsBlanks" dxfId="4946" priority="1611">
      <formula>LEN(TRIM(F302))&gt;0</formula>
    </cfRule>
  </conditionalFormatting>
  <conditionalFormatting sqref="E302">
    <cfRule type="notContainsBlanks" dxfId="4945" priority="1610">
      <formula>LEN(TRIM(E302))&gt;0</formula>
    </cfRule>
  </conditionalFormatting>
  <conditionalFormatting sqref="D302">
    <cfRule type="notContainsBlanks" dxfId="4944" priority="1609">
      <formula>LEN(TRIM(D302))&gt;0</formula>
    </cfRule>
  </conditionalFormatting>
  <conditionalFormatting sqref="C302">
    <cfRule type="notContainsBlanks" dxfId="4943" priority="1608">
      <formula>LEN(TRIM(C302))&gt;0</formula>
    </cfRule>
  </conditionalFormatting>
  <conditionalFormatting sqref="G308">
    <cfRule type="notContainsBlanks" dxfId="4942" priority="1607">
      <formula>LEN(TRIM(G308))&gt;0</formula>
    </cfRule>
  </conditionalFormatting>
  <conditionalFormatting sqref="F308">
    <cfRule type="notContainsBlanks" dxfId="4941" priority="1606">
      <formula>LEN(TRIM(F308))&gt;0</formula>
    </cfRule>
  </conditionalFormatting>
  <conditionalFormatting sqref="E308">
    <cfRule type="notContainsBlanks" dxfId="4940" priority="1605">
      <formula>LEN(TRIM(E308))&gt;0</formula>
    </cfRule>
  </conditionalFormatting>
  <conditionalFormatting sqref="D308">
    <cfRule type="notContainsBlanks" dxfId="4939" priority="1604">
      <formula>LEN(TRIM(D308))&gt;0</formula>
    </cfRule>
  </conditionalFormatting>
  <conditionalFormatting sqref="C308">
    <cfRule type="notContainsBlanks" dxfId="4938" priority="1603">
      <formula>LEN(TRIM(C308))&gt;0</formula>
    </cfRule>
  </conditionalFormatting>
  <conditionalFormatting sqref="I302">
    <cfRule type="notContainsBlanks" dxfId="4937" priority="1602">
      <formula>LEN(TRIM(I302))&gt;0</formula>
    </cfRule>
  </conditionalFormatting>
  <conditionalFormatting sqref="I308">
    <cfRule type="notContainsBlanks" dxfId="4936" priority="1601">
      <formula>LEN(TRIM(I308))&gt;0</formula>
    </cfRule>
  </conditionalFormatting>
  <conditionalFormatting sqref="S314">
    <cfRule type="expression" dxfId="4935" priority="1599">
      <formula>$S$28&gt;0</formula>
    </cfRule>
    <cfRule type="cellIs" dxfId="4934" priority="1600" operator="equal">
      <formula>0</formula>
    </cfRule>
  </conditionalFormatting>
  <conditionalFormatting sqref="S315">
    <cfRule type="expression" dxfId="4933" priority="1597">
      <formula>$S$28&gt;0</formula>
    </cfRule>
    <cfRule type="cellIs" dxfId="4932" priority="1598" operator="equal">
      <formula>0</formula>
    </cfRule>
  </conditionalFormatting>
  <conditionalFormatting sqref="N299">
    <cfRule type="expression" dxfId="4931" priority="1584">
      <formula>N299=" "</formula>
    </cfRule>
    <cfRule type="expression" dxfId="4930" priority="1585">
      <formula>N299="NO PRESENTÓ CERTIFICADO"</formula>
    </cfRule>
    <cfRule type="expression" dxfId="4929" priority="1586">
      <formula>N299="PRESENTÓ CERTIFICADO"</formula>
    </cfRule>
  </conditionalFormatting>
  <conditionalFormatting sqref="O299">
    <cfRule type="cellIs" dxfId="4928" priority="1566" operator="equal">
      <formula>"PENDIENTE POR DESCRIPCIÓN"</formula>
    </cfRule>
    <cfRule type="cellIs" dxfId="4927" priority="1567" operator="equal">
      <formula>"DESCRIPCIÓN INSUFICIENTE"</formula>
    </cfRule>
    <cfRule type="cellIs" dxfId="4926" priority="1568" operator="equal">
      <formula>"NO ESTÁ ACORDE A ITEM 5.2.2 (T.R.)"</formula>
    </cfRule>
    <cfRule type="cellIs" dxfId="4925" priority="1569" operator="equal">
      <formula>"ACORDE A ITEM 5.2.2 (T.R.)"</formula>
    </cfRule>
    <cfRule type="cellIs" dxfId="4924" priority="1576" operator="equal">
      <formula>"PENDIENTE POR DESCRIPCIÓN"</formula>
    </cfRule>
    <cfRule type="cellIs" dxfId="4923" priority="1578" operator="equal">
      <formula>"DESCRIPCIÓN INSUFICIENTE"</formula>
    </cfRule>
    <cfRule type="cellIs" dxfId="4922" priority="1579" operator="equal">
      <formula>"NO ESTÁ ACORDE A ITEM 5.2.1 (T.R.)"</formula>
    </cfRule>
    <cfRule type="cellIs" dxfId="4921" priority="1580" operator="equal">
      <formula>"ACORDE A ITEM 5.2.1 (T.R.)"</formula>
    </cfRule>
  </conditionalFormatting>
  <conditionalFormatting sqref="Q299">
    <cfRule type="containsBlanks" dxfId="4920" priority="1571">
      <formula>LEN(TRIM(Q299))=0</formula>
    </cfRule>
    <cfRule type="cellIs" dxfId="4919" priority="1577" operator="equal">
      <formula>"REQUERIMIENTOS SUBSANADOS"</formula>
    </cfRule>
    <cfRule type="containsText" dxfId="4918" priority="1581" operator="containsText" text="NO SUBSANABLE">
      <formula>NOT(ISERROR(SEARCH("NO SUBSANABLE",Q299)))</formula>
    </cfRule>
    <cfRule type="containsText" dxfId="4917" priority="1582" operator="containsText" text="PENDIENTES POR SUBSANAR">
      <formula>NOT(ISERROR(SEARCH("PENDIENTES POR SUBSANAR",Q299)))</formula>
    </cfRule>
    <cfRule type="containsText" dxfId="4916" priority="1583" operator="containsText" text="SIN OBSERVACIÓN">
      <formula>NOT(ISERROR(SEARCH("SIN OBSERVACIÓN",Q299)))</formula>
    </cfRule>
  </conditionalFormatting>
  <conditionalFormatting sqref="R299">
    <cfRule type="containsBlanks" dxfId="4915" priority="1570">
      <formula>LEN(TRIM(R299))=0</formula>
    </cfRule>
    <cfRule type="cellIs" dxfId="4914" priority="1572" operator="equal">
      <formula>"NO CUMPLEN CON LO SOLICITADO"</formula>
    </cfRule>
    <cfRule type="cellIs" dxfId="4913" priority="1573" operator="equal">
      <formula>"CUMPLEN CON LO SOLICITADO"</formula>
    </cfRule>
    <cfRule type="cellIs" dxfId="4912" priority="1574" operator="equal">
      <formula>"PENDIENTES"</formula>
    </cfRule>
    <cfRule type="cellIs" dxfId="4911" priority="1575" operator="equal">
      <formula>"NINGUNO"</formula>
    </cfRule>
  </conditionalFormatting>
  <conditionalFormatting sqref="P299">
    <cfRule type="expression" dxfId="4910" priority="1561">
      <formula>Q299="NO SUBSANABLE"</formula>
    </cfRule>
    <cfRule type="expression" dxfId="4909" priority="1562">
      <formula>Q299="REQUERIMIENTOS SUBSANADOS"</formula>
    </cfRule>
    <cfRule type="expression" dxfId="4908" priority="1563">
      <formula>Q299="PENDIENTES POR SUBSANAR"</formula>
    </cfRule>
    <cfRule type="expression" dxfId="4907" priority="1564">
      <formula>Q299="SIN OBSERVACIÓN"</formula>
    </cfRule>
    <cfRule type="containsBlanks" dxfId="4906" priority="1565">
      <formula>LEN(TRIM(P299))=0</formula>
    </cfRule>
  </conditionalFormatting>
  <conditionalFormatting sqref="N311">
    <cfRule type="expression" dxfId="4905" priority="1558">
      <formula>N311=" "</formula>
    </cfRule>
    <cfRule type="expression" dxfId="4904" priority="1559">
      <formula>N311="NO PRESENTÓ CERTIFICADO"</formula>
    </cfRule>
    <cfRule type="expression" dxfId="4903" priority="1560">
      <formula>N311="PRESENTÓ CERTIFICADO"</formula>
    </cfRule>
  </conditionalFormatting>
  <conditionalFormatting sqref="O311">
    <cfRule type="cellIs" dxfId="4902" priority="1540" operator="equal">
      <formula>"PENDIENTE POR DESCRIPCIÓN"</formula>
    </cfRule>
    <cfRule type="cellIs" dxfId="4901" priority="1541" operator="equal">
      <formula>"DESCRIPCIÓN INSUFICIENTE"</formula>
    </cfRule>
    <cfRule type="cellIs" dxfId="4900" priority="1542" operator="equal">
      <formula>"NO ESTÁ ACORDE A ITEM 5.2.2 (T.R.)"</formula>
    </cfRule>
    <cfRule type="cellIs" dxfId="4899" priority="1543" operator="equal">
      <formula>"ACORDE A ITEM 5.2.2 (T.R.)"</formula>
    </cfRule>
    <cfRule type="cellIs" dxfId="4898" priority="1550" operator="equal">
      <formula>"PENDIENTE POR DESCRIPCIÓN"</formula>
    </cfRule>
    <cfRule type="cellIs" dxfId="4897" priority="1552" operator="equal">
      <formula>"DESCRIPCIÓN INSUFICIENTE"</formula>
    </cfRule>
    <cfRule type="cellIs" dxfId="4896" priority="1553" operator="equal">
      <formula>"NO ESTÁ ACORDE A ITEM 5.2.1 (T.R.)"</formula>
    </cfRule>
    <cfRule type="cellIs" dxfId="4895" priority="1554" operator="equal">
      <formula>"ACORDE A ITEM 5.2.1 (T.R.)"</formula>
    </cfRule>
  </conditionalFormatting>
  <conditionalFormatting sqref="Q311">
    <cfRule type="containsBlanks" dxfId="4894" priority="1545">
      <formula>LEN(TRIM(Q311))=0</formula>
    </cfRule>
    <cfRule type="cellIs" dxfId="4893" priority="1551" operator="equal">
      <formula>"REQUERIMIENTOS SUBSANADOS"</formula>
    </cfRule>
    <cfRule type="containsText" dxfId="4892" priority="1555" operator="containsText" text="NO SUBSANABLE">
      <formula>NOT(ISERROR(SEARCH("NO SUBSANABLE",Q311)))</formula>
    </cfRule>
    <cfRule type="containsText" dxfId="4891" priority="1556" operator="containsText" text="PENDIENTES POR SUBSANAR">
      <formula>NOT(ISERROR(SEARCH("PENDIENTES POR SUBSANAR",Q311)))</formula>
    </cfRule>
    <cfRule type="containsText" dxfId="4890" priority="1557" operator="containsText" text="SIN OBSERVACIÓN">
      <formula>NOT(ISERROR(SEARCH("SIN OBSERVACIÓN",Q311)))</formula>
    </cfRule>
  </conditionalFormatting>
  <conditionalFormatting sqref="R311">
    <cfRule type="containsBlanks" dxfId="4889" priority="1544">
      <formula>LEN(TRIM(R311))=0</formula>
    </cfRule>
    <cfRule type="cellIs" dxfId="4888" priority="1546" operator="equal">
      <formula>"NO CUMPLEN CON LO SOLICITADO"</formula>
    </cfRule>
    <cfRule type="cellIs" dxfId="4887" priority="1547" operator="equal">
      <formula>"CUMPLEN CON LO SOLICITADO"</formula>
    </cfRule>
    <cfRule type="cellIs" dxfId="4886" priority="1548" operator="equal">
      <formula>"PENDIENTES"</formula>
    </cfRule>
    <cfRule type="cellIs" dxfId="4885" priority="1549" operator="equal">
      <formula>"NINGUNO"</formula>
    </cfRule>
  </conditionalFormatting>
  <conditionalFormatting sqref="P302 P305 P308 P311">
    <cfRule type="expression" dxfId="4884" priority="1535">
      <formula>Q302="NO SUBSANABLE"</formula>
    </cfRule>
    <cfRule type="expression" dxfId="4883" priority="1536">
      <formula>Q302="REQUERIMIENTOS SUBSANADOS"</formula>
    </cfRule>
    <cfRule type="expression" dxfId="4882" priority="1537">
      <formula>Q302="PENDIENTES POR SUBSANAR"</formula>
    </cfRule>
    <cfRule type="expression" dxfId="4881" priority="1538">
      <formula>Q302="SIN OBSERVACIÓN"</formula>
    </cfRule>
    <cfRule type="containsBlanks" dxfId="4880" priority="1539">
      <formula>LEN(TRIM(P302))=0</formula>
    </cfRule>
  </conditionalFormatting>
  <conditionalFormatting sqref="N302">
    <cfRule type="expression" dxfId="4879" priority="1532">
      <formula>N302=" "</formula>
    </cfRule>
    <cfRule type="expression" dxfId="4878" priority="1533">
      <formula>N302="NO PRESENTÓ CERTIFICADO"</formula>
    </cfRule>
    <cfRule type="expression" dxfId="4877" priority="1534">
      <formula>N302="PRESENTÓ CERTIFICADO"</formula>
    </cfRule>
  </conditionalFormatting>
  <conditionalFormatting sqref="N305">
    <cfRule type="expression" dxfId="4876" priority="1529">
      <formula>N305=" "</formula>
    </cfRule>
    <cfRule type="expression" dxfId="4875" priority="1530">
      <formula>N305="NO PRESENTÓ CERTIFICADO"</formula>
    </cfRule>
    <cfRule type="expression" dxfId="4874" priority="1531">
      <formula>N305="PRESENTÓ CERTIFICADO"</formula>
    </cfRule>
  </conditionalFormatting>
  <conditionalFormatting sqref="N308">
    <cfRule type="expression" dxfId="4873" priority="1526">
      <formula>N308=" "</formula>
    </cfRule>
    <cfRule type="expression" dxfId="4872" priority="1527">
      <formula>N308="NO PRESENTÓ CERTIFICADO"</formula>
    </cfRule>
    <cfRule type="expression" dxfId="4871" priority="1528">
      <formula>N308="PRESENTÓ CERTIFICADO"</formula>
    </cfRule>
  </conditionalFormatting>
  <conditionalFormatting sqref="O302">
    <cfRule type="cellIs" dxfId="4870" priority="1518" operator="equal">
      <formula>"PENDIENTE POR DESCRIPCIÓN"</formula>
    </cfRule>
    <cfRule type="cellIs" dxfId="4869" priority="1519" operator="equal">
      <formula>"DESCRIPCIÓN INSUFICIENTE"</formula>
    </cfRule>
    <cfRule type="cellIs" dxfId="4868" priority="1520" operator="equal">
      <formula>"NO ESTÁ ACORDE A ITEM 5.2.2 (T.R.)"</formula>
    </cfRule>
    <cfRule type="cellIs" dxfId="4867" priority="1521" operator="equal">
      <formula>"ACORDE A ITEM 5.2.2 (T.R.)"</formula>
    </cfRule>
    <cfRule type="cellIs" dxfId="4866" priority="1522" operator="equal">
      <formula>"PENDIENTE POR DESCRIPCIÓN"</formula>
    </cfRule>
    <cfRule type="cellIs" dxfId="4865" priority="1523" operator="equal">
      <formula>"DESCRIPCIÓN INSUFICIENTE"</formula>
    </cfRule>
    <cfRule type="cellIs" dxfId="4864" priority="1524" operator="equal">
      <formula>"NO ESTÁ ACORDE A ITEM 5.2.1 (T.R.)"</formula>
    </cfRule>
    <cfRule type="cellIs" dxfId="4863" priority="1525" operator="equal">
      <formula>"ACORDE A ITEM 5.2.1 (T.R.)"</formula>
    </cfRule>
  </conditionalFormatting>
  <conditionalFormatting sqref="O305">
    <cfRule type="cellIs" dxfId="4862" priority="1510" operator="equal">
      <formula>"PENDIENTE POR DESCRIPCIÓN"</formula>
    </cfRule>
    <cfRule type="cellIs" dxfId="4861" priority="1511" operator="equal">
      <formula>"DESCRIPCIÓN INSUFICIENTE"</formula>
    </cfRule>
    <cfRule type="cellIs" dxfId="4860" priority="1512" operator="equal">
      <formula>"NO ESTÁ ACORDE A ITEM 5.2.2 (T.R.)"</formula>
    </cfRule>
    <cfRule type="cellIs" dxfId="4859" priority="1513" operator="equal">
      <formula>"ACORDE A ITEM 5.2.2 (T.R.)"</formula>
    </cfRule>
    <cfRule type="cellIs" dxfId="4858" priority="1514" operator="equal">
      <formula>"PENDIENTE POR DESCRIPCIÓN"</formula>
    </cfRule>
    <cfRule type="cellIs" dxfId="4857" priority="1515" operator="equal">
      <formula>"DESCRIPCIÓN INSUFICIENTE"</formula>
    </cfRule>
    <cfRule type="cellIs" dxfId="4856" priority="1516" operator="equal">
      <formula>"NO ESTÁ ACORDE A ITEM 5.2.1 (T.R.)"</formula>
    </cfRule>
    <cfRule type="cellIs" dxfId="4855" priority="1517" operator="equal">
      <formula>"ACORDE A ITEM 5.2.1 (T.R.)"</formula>
    </cfRule>
  </conditionalFormatting>
  <conditionalFormatting sqref="O308">
    <cfRule type="cellIs" dxfId="4854" priority="1502" operator="equal">
      <formula>"PENDIENTE POR DESCRIPCIÓN"</formula>
    </cfRule>
    <cfRule type="cellIs" dxfId="4853" priority="1503" operator="equal">
      <formula>"DESCRIPCIÓN INSUFICIENTE"</formula>
    </cfRule>
    <cfRule type="cellIs" dxfId="4852" priority="1504" operator="equal">
      <formula>"NO ESTÁ ACORDE A ITEM 5.2.2 (T.R.)"</formula>
    </cfRule>
    <cfRule type="cellIs" dxfId="4851" priority="1505" operator="equal">
      <formula>"ACORDE A ITEM 5.2.2 (T.R.)"</formula>
    </cfRule>
    <cfRule type="cellIs" dxfId="4850" priority="1506" operator="equal">
      <formula>"PENDIENTE POR DESCRIPCIÓN"</formula>
    </cfRule>
    <cfRule type="cellIs" dxfId="4849" priority="1507" operator="equal">
      <formula>"DESCRIPCIÓN INSUFICIENTE"</formula>
    </cfRule>
    <cfRule type="cellIs" dxfId="4848" priority="1508" operator="equal">
      <formula>"NO ESTÁ ACORDE A ITEM 5.2.1 (T.R.)"</formula>
    </cfRule>
    <cfRule type="cellIs" dxfId="4847" priority="1509" operator="equal">
      <formula>"ACORDE A ITEM 5.2.1 (T.R.)"</formula>
    </cfRule>
  </conditionalFormatting>
  <conditionalFormatting sqref="Q302">
    <cfRule type="containsBlanks" dxfId="4846" priority="1493">
      <formula>LEN(TRIM(Q302))=0</formula>
    </cfRule>
    <cfRule type="cellIs" dxfId="4845" priority="1498" operator="equal">
      <formula>"REQUERIMIENTOS SUBSANADOS"</formula>
    </cfRule>
    <cfRule type="containsText" dxfId="4844" priority="1499" operator="containsText" text="NO SUBSANABLE">
      <formula>NOT(ISERROR(SEARCH("NO SUBSANABLE",Q302)))</formula>
    </cfRule>
    <cfRule type="containsText" dxfId="4843" priority="1500" operator="containsText" text="PENDIENTES POR SUBSANAR">
      <formula>NOT(ISERROR(SEARCH("PENDIENTES POR SUBSANAR",Q302)))</formula>
    </cfRule>
    <cfRule type="containsText" dxfId="4842" priority="1501" operator="containsText" text="SIN OBSERVACIÓN">
      <formula>NOT(ISERROR(SEARCH("SIN OBSERVACIÓN",Q302)))</formula>
    </cfRule>
  </conditionalFormatting>
  <conditionalFormatting sqref="R302">
    <cfRule type="containsBlanks" dxfId="4841" priority="1492">
      <formula>LEN(TRIM(R302))=0</formula>
    </cfRule>
    <cfRule type="cellIs" dxfId="4840" priority="1494" operator="equal">
      <formula>"NO CUMPLEN CON LO SOLICITADO"</formula>
    </cfRule>
    <cfRule type="cellIs" dxfId="4839" priority="1495" operator="equal">
      <formula>"CUMPLEN CON LO SOLICITADO"</formula>
    </cfRule>
    <cfRule type="cellIs" dxfId="4838" priority="1496" operator="equal">
      <formula>"PENDIENTES"</formula>
    </cfRule>
    <cfRule type="cellIs" dxfId="4837" priority="1497" operator="equal">
      <formula>"NINGUNO"</formula>
    </cfRule>
  </conditionalFormatting>
  <conditionalFormatting sqref="Q305">
    <cfRule type="containsBlanks" dxfId="4836" priority="1483">
      <formula>LEN(TRIM(Q305))=0</formula>
    </cfRule>
    <cfRule type="cellIs" dxfId="4835" priority="1488" operator="equal">
      <formula>"REQUERIMIENTOS SUBSANADOS"</formula>
    </cfRule>
    <cfRule type="containsText" dxfId="4834" priority="1489" operator="containsText" text="NO SUBSANABLE">
      <formula>NOT(ISERROR(SEARCH("NO SUBSANABLE",Q305)))</formula>
    </cfRule>
    <cfRule type="containsText" dxfId="4833" priority="1490" operator="containsText" text="PENDIENTES POR SUBSANAR">
      <formula>NOT(ISERROR(SEARCH("PENDIENTES POR SUBSANAR",Q305)))</formula>
    </cfRule>
    <cfRule type="containsText" dxfId="4832" priority="1491" operator="containsText" text="SIN OBSERVACIÓN">
      <formula>NOT(ISERROR(SEARCH("SIN OBSERVACIÓN",Q305)))</formula>
    </cfRule>
  </conditionalFormatting>
  <conditionalFormatting sqref="R305">
    <cfRule type="containsBlanks" dxfId="4831" priority="1482">
      <formula>LEN(TRIM(R305))=0</formula>
    </cfRule>
    <cfRule type="cellIs" dxfId="4830" priority="1484" operator="equal">
      <formula>"NO CUMPLEN CON LO SOLICITADO"</formula>
    </cfRule>
    <cfRule type="cellIs" dxfId="4829" priority="1485" operator="equal">
      <formula>"CUMPLEN CON LO SOLICITADO"</formula>
    </cfRule>
    <cfRule type="cellIs" dxfId="4828" priority="1486" operator="equal">
      <formula>"PENDIENTES"</formula>
    </cfRule>
    <cfRule type="cellIs" dxfId="4827" priority="1487" operator="equal">
      <formula>"NINGUNO"</formula>
    </cfRule>
  </conditionalFormatting>
  <conditionalFormatting sqref="Q308">
    <cfRule type="containsBlanks" dxfId="4826" priority="1473">
      <formula>LEN(TRIM(Q308))=0</formula>
    </cfRule>
    <cfRule type="cellIs" dxfId="4825" priority="1478" operator="equal">
      <formula>"REQUERIMIENTOS SUBSANADOS"</formula>
    </cfRule>
    <cfRule type="containsText" dxfId="4824" priority="1479" operator="containsText" text="NO SUBSANABLE">
      <formula>NOT(ISERROR(SEARCH("NO SUBSANABLE",Q308)))</formula>
    </cfRule>
    <cfRule type="containsText" dxfId="4823" priority="1480" operator="containsText" text="PENDIENTES POR SUBSANAR">
      <formula>NOT(ISERROR(SEARCH("PENDIENTES POR SUBSANAR",Q308)))</formula>
    </cfRule>
    <cfRule type="containsText" dxfId="4822" priority="1481" operator="containsText" text="SIN OBSERVACIÓN">
      <formula>NOT(ISERROR(SEARCH("SIN OBSERVACIÓN",Q308)))</formula>
    </cfRule>
  </conditionalFormatting>
  <conditionalFormatting sqref="R308">
    <cfRule type="containsBlanks" dxfId="4821" priority="1472">
      <formula>LEN(TRIM(R308))=0</formula>
    </cfRule>
    <cfRule type="cellIs" dxfId="4820" priority="1474" operator="equal">
      <formula>"NO CUMPLEN CON LO SOLICITADO"</formula>
    </cfRule>
    <cfRule type="cellIs" dxfId="4819" priority="1475" operator="equal">
      <formula>"CUMPLEN CON LO SOLICITADO"</formula>
    </cfRule>
    <cfRule type="cellIs" dxfId="4818" priority="1476" operator="equal">
      <formula>"PENDIENTES"</formula>
    </cfRule>
    <cfRule type="cellIs" dxfId="4817" priority="1477" operator="equal">
      <formula>"NINGUNO"</formula>
    </cfRule>
  </conditionalFormatting>
  <conditionalFormatting sqref="M308">
    <cfRule type="expression" dxfId="4816" priority="1430">
      <formula>L308="NO CUMPLE"</formula>
    </cfRule>
    <cfRule type="expression" dxfId="4815" priority="1431">
      <formula>L308="CUMPLE"</formula>
    </cfRule>
  </conditionalFormatting>
  <conditionalFormatting sqref="L308:L309">
    <cfRule type="cellIs" dxfId="4814" priority="1428" operator="equal">
      <formula>"NO CUMPLE"</formula>
    </cfRule>
    <cfRule type="cellIs" dxfId="4813" priority="1429" operator="equal">
      <formula>"CUMPLE"</formula>
    </cfRule>
  </conditionalFormatting>
  <conditionalFormatting sqref="M309">
    <cfRule type="expression" dxfId="4812" priority="1426">
      <formula>L309="NO CUMPLE"</formula>
    </cfRule>
    <cfRule type="expression" dxfId="4811" priority="1427">
      <formula>L309="CUMPLE"</formula>
    </cfRule>
  </conditionalFormatting>
  <conditionalFormatting sqref="J302:J310">
    <cfRule type="cellIs" dxfId="4810" priority="1470" operator="equal">
      <formula>"NO CUMPLE"</formula>
    </cfRule>
    <cfRule type="cellIs" dxfId="4809" priority="1471" operator="equal">
      <formula>"CUMPLE"</formula>
    </cfRule>
  </conditionalFormatting>
  <conditionalFormatting sqref="K302">
    <cfRule type="expression" dxfId="4808" priority="1468">
      <formula>J302="NO CUMPLE"</formula>
    </cfRule>
    <cfRule type="expression" dxfId="4807" priority="1469">
      <formula>J302="CUMPLE"</formula>
    </cfRule>
  </conditionalFormatting>
  <conditionalFormatting sqref="K303:K304">
    <cfRule type="expression" dxfId="4806" priority="1466">
      <formula>J303="NO CUMPLE"</formula>
    </cfRule>
    <cfRule type="expression" dxfId="4805" priority="1467">
      <formula>J303="CUMPLE"</formula>
    </cfRule>
  </conditionalFormatting>
  <conditionalFormatting sqref="J311">
    <cfRule type="cellIs" dxfId="4804" priority="1464" operator="equal">
      <formula>"NO CUMPLE"</formula>
    </cfRule>
    <cfRule type="cellIs" dxfId="4803" priority="1465" operator="equal">
      <formula>"CUMPLE"</formula>
    </cfRule>
  </conditionalFormatting>
  <conditionalFormatting sqref="J312:J313">
    <cfRule type="cellIs" dxfId="4802" priority="1462" operator="equal">
      <formula>"NO CUMPLE"</formula>
    </cfRule>
    <cfRule type="cellIs" dxfId="4801" priority="1463" operator="equal">
      <formula>"CUMPLE"</formula>
    </cfRule>
  </conditionalFormatting>
  <conditionalFormatting sqref="K305">
    <cfRule type="expression" dxfId="4800" priority="1460">
      <formula>J305="NO CUMPLE"</formula>
    </cfRule>
    <cfRule type="expression" dxfId="4799" priority="1461">
      <formula>J305="CUMPLE"</formula>
    </cfRule>
  </conditionalFormatting>
  <conditionalFormatting sqref="K306:K307">
    <cfRule type="expression" dxfId="4798" priority="1458">
      <formula>J306="NO CUMPLE"</formula>
    </cfRule>
    <cfRule type="expression" dxfId="4797" priority="1459">
      <formula>J306="CUMPLE"</formula>
    </cfRule>
  </conditionalFormatting>
  <conditionalFormatting sqref="K308">
    <cfRule type="expression" dxfId="4796" priority="1456">
      <formula>J308="NO CUMPLE"</formula>
    </cfRule>
    <cfRule type="expression" dxfId="4795" priority="1457">
      <formula>J308="CUMPLE"</formula>
    </cfRule>
  </conditionalFormatting>
  <conditionalFormatting sqref="K309:K310">
    <cfRule type="expression" dxfId="4794" priority="1454">
      <formula>J309="NO CUMPLE"</formula>
    </cfRule>
    <cfRule type="expression" dxfId="4793" priority="1455">
      <formula>J309="CUMPLE"</formula>
    </cfRule>
  </conditionalFormatting>
  <conditionalFormatting sqref="K311">
    <cfRule type="expression" dxfId="4792" priority="1452">
      <formula>J311="NO CUMPLE"</formula>
    </cfRule>
    <cfRule type="expression" dxfId="4791" priority="1453">
      <formula>J311="CUMPLE"</formula>
    </cfRule>
  </conditionalFormatting>
  <conditionalFormatting sqref="K312:K313">
    <cfRule type="expression" dxfId="4790" priority="1450">
      <formula>J312="NO CUMPLE"</formula>
    </cfRule>
    <cfRule type="expression" dxfId="4789" priority="1451">
      <formula>J312="CUMPLE"</formula>
    </cfRule>
  </conditionalFormatting>
  <conditionalFormatting sqref="M303">
    <cfRule type="expression" dxfId="4788" priority="1438">
      <formula>L303="NO CUMPLE"</formula>
    </cfRule>
    <cfRule type="expression" dxfId="4787" priority="1439">
      <formula>L303="CUMPLE"</formula>
    </cfRule>
  </conditionalFormatting>
  <conditionalFormatting sqref="L302:L303">
    <cfRule type="cellIs" dxfId="4786" priority="1440" operator="equal">
      <formula>"NO CUMPLE"</formula>
    </cfRule>
    <cfRule type="cellIs" dxfId="4785" priority="1441" operator="equal">
      <formula>"CUMPLE"</formula>
    </cfRule>
  </conditionalFormatting>
  <conditionalFormatting sqref="M302">
    <cfRule type="expression" dxfId="4784" priority="1442">
      <formula>L302="NO CUMPLE"</formula>
    </cfRule>
    <cfRule type="expression" dxfId="4783" priority="1443">
      <formula>L302="CUMPLE"</formula>
    </cfRule>
  </conditionalFormatting>
  <conditionalFormatting sqref="M300">
    <cfRule type="expression" dxfId="4782" priority="1444">
      <formula>L300="NO CUMPLE"</formula>
    </cfRule>
    <cfRule type="expression" dxfId="4781" priority="1445">
      <formula>L300="CUMPLE"</formula>
    </cfRule>
  </conditionalFormatting>
  <conditionalFormatting sqref="M299">
    <cfRule type="expression" dxfId="4780" priority="1448">
      <formula>L299="NO CUMPLE"</formula>
    </cfRule>
    <cfRule type="expression" dxfId="4779" priority="1449">
      <formula>L299="CUMPLE"</formula>
    </cfRule>
  </conditionalFormatting>
  <conditionalFormatting sqref="L299:L300">
    <cfRule type="cellIs" dxfId="4778" priority="1446" operator="equal">
      <formula>"NO CUMPLE"</formula>
    </cfRule>
    <cfRule type="cellIs" dxfId="4777" priority="1447" operator="equal">
      <formula>"CUMPLE"</formula>
    </cfRule>
  </conditionalFormatting>
  <conditionalFormatting sqref="M306">
    <cfRule type="expression" dxfId="4776" priority="1432">
      <formula>L306="NO CUMPLE"</formula>
    </cfRule>
    <cfRule type="expression" dxfId="4775" priority="1433">
      <formula>L306="CUMPLE"</formula>
    </cfRule>
  </conditionalFormatting>
  <conditionalFormatting sqref="M305">
    <cfRule type="expression" dxfId="4774" priority="1436">
      <formula>L305="NO CUMPLE"</formula>
    </cfRule>
    <cfRule type="expression" dxfId="4773" priority="1437">
      <formula>L305="CUMPLE"</formula>
    </cfRule>
  </conditionalFormatting>
  <conditionalFormatting sqref="L305:L306">
    <cfRule type="cellIs" dxfId="4772" priority="1434" operator="equal">
      <formula>"NO CUMPLE"</formula>
    </cfRule>
    <cfRule type="cellIs" dxfId="4771" priority="1435" operator="equal">
      <formula>"CUMPLE"</formula>
    </cfRule>
  </conditionalFormatting>
  <conditionalFormatting sqref="M312">
    <cfRule type="expression" dxfId="4770" priority="1420">
      <formula>L312="NO CUMPLE"</formula>
    </cfRule>
    <cfRule type="expression" dxfId="4769" priority="1421">
      <formula>L312="CUMPLE"</formula>
    </cfRule>
  </conditionalFormatting>
  <conditionalFormatting sqref="M311">
    <cfRule type="expression" dxfId="4768" priority="1424">
      <formula>L311="NO CUMPLE"</formula>
    </cfRule>
    <cfRule type="expression" dxfId="4767" priority="1425">
      <formula>L311="CUMPLE"</formula>
    </cfRule>
  </conditionalFormatting>
  <conditionalFormatting sqref="L311:L312">
    <cfRule type="cellIs" dxfId="4766" priority="1422" operator="equal">
      <formula>"NO CUMPLE"</formula>
    </cfRule>
    <cfRule type="cellIs" dxfId="4765" priority="1423" operator="equal">
      <formula>"CUMPLE"</formula>
    </cfRule>
  </conditionalFormatting>
  <conditionalFormatting sqref="J299">
    <cfRule type="cellIs" dxfId="4764" priority="1418" operator="equal">
      <formula>"NO CUMPLE"</formula>
    </cfRule>
    <cfRule type="cellIs" dxfId="4763" priority="1419" operator="equal">
      <formula>"CUMPLE"</formula>
    </cfRule>
  </conditionalFormatting>
  <conditionalFormatting sqref="J300:J301">
    <cfRule type="cellIs" dxfId="4762" priority="1416" operator="equal">
      <formula>"NO CUMPLE"</formula>
    </cfRule>
    <cfRule type="cellIs" dxfId="4761" priority="1417" operator="equal">
      <formula>"CUMPLE"</formula>
    </cfRule>
  </conditionalFormatting>
  <conditionalFormatting sqref="K299">
    <cfRule type="expression" dxfId="4760" priority="1414">
      <formula>J299="NO CUMPLE"</formula>
    </cfRule>
    <cfRule type="expression" dxfId="4759" priority="1415">
      <formula>J299="CUMPLE"</formula>
    </cfRule>
  </conditionalFormatting>
  <conditionalFormatting sqref="K300:K301">
    <cfRule type="expression" dxfId="4758" priority="1412">
      <formula>J300="NO CUMPLE"</formula>
    </cfRule>
    <cfRule type="expression" dxfId="4757" priority="1413">
      <formula>J300="CUMPLE"</formula>
    </cfRule>
  </conditionalFormatting>
  <conditionalFormatting sqref="T116">
    <cfRule type="cellIs" dxfId="4756" priority="1398" operator="equal">
      <formula>"NO CUMPLE"</formula>
    </cfRule>
    <cfRule type="cellIs" dxfId="4755" priority="1399" operator="equal">
      <formula>"CUMPLE"</formula>
    </cfRule>
  </conditionalFormatting>
  <conditionalFormatting sqref="T101">
    <cfRule type="cellIs" dxfId="4754" priority="1396" operator="equal">
      <formula>"NO"</formula>
    </cfRule>
    <cfRule type="cellIs" dxfId="4753" priority="1397" operator="equal">
      <formula>"SI"</formula>
    </cfRule>
  </conditionalFormatting>
  <conditionalFormatting sqref="T138">
    <cfRule type="cellIs" dxfId="4752" priority="1382" operator="equal">
      <formula>"NO CUMPLE"</formula>
    </cfRule>
    <cfRule type="cellIs" dxfId="4751" priority="1383" operator="equal">
      <formula>"CUMPLE"</formula>
    </cfRule>
  </conditionalFormatting>
  <conditionalFormatting sqref="T123">
    <cfRule type="cellIs" dxfId="4750" priority="1380" operator="equal">
      <formula>"NO"</formula>
    </cfRule>
    <cfRule type="cellIs" dxfId="4749" priority="1381" operator="equal">
      <formula>"SI"</formula>
    </cfRule>
  </conditionalFormatting>
  <conditionalFormatting sqref="T160">
    <cfRule type="cellIs" dxfId="4748" priority="1366" operator="equal">
      <formula>"NO CUMPLE"</formula>
    </cfRule>
    <cfRule type="cellIs" dxfId="4747" priority="1367" operator="equal">
      <formula>"CUMPLE"</formula>
    </cfRule>
  </conditionalFormatting>
  <conditionalFormatting sqref="T145">
    <cfRule type="cellIs" dxfId="4746" priority="1364" operator="equal">
      <formula>"NO"</formula>
    </cfRule>
    <cfRule type="cellIs" dxfId="4745" priority="1365" operator="equal">
      <formula>"SI"</formula>
    </cfRule>
  </conditionalFormatting>
  <conditionalFormatting sqref="U151:U153">
    <cfRule type="cellIs" dxfId="4744" priority="1358" operator="equal">
      <formula>0</formula>
    </cfRule>
    <cfRule type="cellIs" dxfId="4743" priority="1359" operator="equal">
      <formula>1</formula>
    </cfRule>
  </conditionalFormatting>
  <conditionalFormatting sqref="U154:U156">
    <cfRule type="cellIs" dxfId="4742" priority="1356" operator="equal">
      <formula>0</formula>
    </cfRule>
    <cfRule type="cellIs" dxfId="4741" priority="1357" operator="equal">
      <formula>1</formula>
    </cfRule>
  </conditionalFormatting>
  <conditionalFormatting sqref="U157:U159">
    <cfRule type="cellIs" dxfId="4740" priority="1354" operator="equal">
      <formula>0</formula>
    </cfRule>
    <cfRule type="cellIs" dxfId="4739" priority="1355" operator="equal">
      <formula>1</formula>
    </cfRule>
  </conditionalFormatting>
  <conditionalFormatting sqref="T182">
    <cfRule type="cellIs" dxfId="4738" priority="1350" operator="equal">
      <formula>"NO CUMPLE"</formula>
    </cfRule>
    <cfRule type="cellIs" dxfId="4737" priority="1351" operator="equal">
      <formula>"CUMPLE"</formula>
    </cfRule>
  </conditionalFormatting>
  <conditionalFormatting sqref="T167">
    <cfRule type="cellIs" dxfId="4736" priority="1348" operator="equal">
      <formula>"NO"</formula>
    </cfRule>
    <cfRule type="cellIs" dxfId="4735" priority="1349" operator="equal">
      <formula>"SI"</formula>
    </cfRule>
  </conditionalFormatting>
  <conditionalFormatting sqref="T204">
    <cfRule type="cellIs" dxfId="4734" priority="1334" operator="equal">
      <formula>"NO CUMPLE"</formula>
    </cfRule>
    <cfRule type="cellIs" dxfId="4733" priority="1335" operator="equal">
      <formula>"CUMPLE"</formula>
    </cfRule>
  </conditionalFormatting>
  <conditionalFormatting sqref="T189">
    <cfRule type="cellIs" dxfId="4732" priority="1332" operator="equal">
      <formula>"NO"</formula>
    </cfRule>
    <cfRule type="cellIs" dxfId="4731" priority="1333" operator="equal">
      <formula>"SI"</formula>
    </cfRule>
  </conditionalFormatting>
  <conditionalFormatting sqref="U192:U194">
    <cfRule type="cellIs" dxfId="4730" priority="1328" operator="equal">
      <formula>0</formula>
    </cfRule>
    <cfRule type="cellIs" dxfId="4729" priority="1329" operator="equal">
      <formula>1</formula>
    </cfRule>
  </conditionalFormatting>
  <conditionalFormatting sqref="U195:U197">
    <cfRule type="cellIs" dxfId="4728" priority="1326" operator="equal">
      <formula>0</formula>
    </cfRule>
    <cfRule type="cellIs" dxfId="4727" priority="1327" operator="equal">
      <formula>1</formula>
    </cfRule>
  </conditionalFormatting>
  <conditionalFormatting sqref="U198:U200">
    <cfRule type="cellIs" dxfId="4726" priority="1324" operator="equal">
      <formula>0</formula>
    </cfRule>
    <cfRule type="cellIs" dxfId="4725" priority="1325" operator="equal">
      <formula>1</formula>
    </cfRule>
  </conditionalFormatting>
  <conditionalFormatting sqref="U201:U203">
    <cfRule type="cellIs" dxfId="4724" priority="1322" operator="equal">
      <formula>0</formula>
    </cfRule>
    <cfRule type="cellIs" dxfId="4723" priority="1323" operator="equal">
      <formula>1</formula>
    </cfRule>
  </conditionalFormatting>
  <conditionalFormatting sqref="T226">
    <cfRule type="cellIs" dxfId="4722" priority="1318" operator="equal">
      <formula>"NO CUMPLE"</formula>
    </cfRule>
    <cfRule type="cellIs" dxfId="4721" priority="1319" operator="equal">
      <formula>"CUMPLE"</formula>
    </cfRule>
  </conditionalFormatting>
  <conditionalFormatting sqref="T211">
    <cfRule type="cellIs" dxfId="4720" priority="1316" operator="equal">
      <formula>"NO"</formula>
    </cfRule>
    <cfRule type="cellIs" dxfId="4719" priority="1317" operator="equal">
      <formula>"SI"</formula>
    </cfRule>
  </conditionalFormatting>
  <conditionalFormatting sqref="U214:U216">
    <cfRule type="cellIs" dxfId="4718" priority="1312" operator="equal">
      <formula>0</formula>
    </cfRule>
    <cfRule type="cellIs" dxfId="4717" priority="1313" operator="equal">
      <formula>1</formula>
    </cfRule>
  </conditionalFormatting>
  <conditionalFormatting sqref="U217:U219">
    <cfRule type="cellIs" dxfId="4716" priority="1310" operator="equal">
      <formula>0</formula>
    </cfRule>
    <cfRule type="cellIs" dxfId="4715" priority="1311" operator="equal">
      <formula>1</formula>
    </cfRule>
  </conditionalFormatting>
  <conditionalFormatting sqref="U220:U222">
    <cfRule type="cellIs" dxfId="4714" priority="1308" operator="equal">
      <formula>0</formula>
    </cfRule>
    <cfRule type="cellIs" dxfId="4713" priority="1309" operator="equal">
      <formula>1</formula>
    </cfRule>
  </conditionalFormatting>
  <conditionalFormatting sqref="U223:U225">
    <cfRule type="cellIs" dxfId="4712" priority="1306" operator="equal">
      <formula>0</formula>
    </cfRule>
    <cfRule type="cellIs" dxfId="4711" priority="1307" operator="equal">
      <formula>1</formula>
    </cfRule>
  </conditionalFormatting>
  <conditionalFormatting sqref="T248">
    <cfRule type="cellIs" dxfId="4710" priority="1302" operator="equal">
      <formula>"NO CUMPLE"</formula>
    </cfRule>
    <cfRule type="cellIs" dxfId="4709" priority="1303" operator="equal">
      <formula>"CUMPLE"</formula>
    </cfRule>
  </conditionalFormatting>
  <conditionalFormatting sqref="T233">
    <cfRule type="cellIs" dxfId="4708" priority="1300" operator="equal">
      <formula>"NO"</formula>
    </cfRule>
    <cfRule type="cellIs" dxfId="4707" priority="1301" operator="equal">
      <formula>"SI"</formula>
    </cfRule>
  </conditionalFormatting>
  <conditionalFormatting sqref="U242:U244">
    <cfRule type="cellIs" dxfId="4706" priority="1292" operator="equal">
      <formula>0</formula>
    </cfRule>
    <cfRule type="cellIs" dxfId="4705" priority="1293" operator="equal">
      <formula>1</formula>
    </cfRule>
  </conditionalFormatting>
  <conditionalFormatting sqref="U245:U247">
    <cfRule type="cellIs" dxfId="4704" priority="1290" operator="equal">
      <formula>0</formula>
    </cfRule>
    <cfRule type="cellIs" dxfId="4703" priority="1291" operator="equal">
      <formula>1</formula>
    </cfRule>
  </conditionalFormatting>
  <conditionalFormatting sqref="T270">
    <cfRule type="cellIs" dxfId="4702" priority="1286" operator="equal">
      <formula>"NO CUMPLE"</formula>
    </cfRule>
    <cfRule type="cellIs" dxfId="4701" priority="1287" operator="equal">
      <formula>"CUMPLE"</formula>
    </cfRule>
  </conditionalFormatting>
  <conditionalFormatting sqref="T255">
    <cfRule type="cellIs" dxfId="4700" priority="1284" operator="equal">
      <formula>"NO"</formula>
    </cfRule>
    <cfRule type="cellIs" dxfId="4699" priority="1285" operator="equal">
      <formula>"SI"</formula>
    </cfRule>
  </conditionalFormatting>
  <conditionalFormatting sqref="U255:U257">
    <cfRule type="cellIs" dxfId="4698" priority="1282" operator="equal">
      <formula>0</formula>
    </cfRule>
    <cfRule type="cellIs" dxfId="4697" priority="1283" operator="equal">
      <formula>1</formula>
    </cfRule>
  </conditionalFormatting>
  <conditionalFormatting sqref="T292">
    <cfRule type="cellIs" dxfId="4696" priority="1270" operator="equal">
      <formula>"NO CUMPLE"</formula>
    </cfRule>
    <cfRule type="cellIs" dxfId="4695" priority="1271" operator="equal">
      <formula>"CUMPLE"</formula>
    </cfRule>
  </conditionalFormatting>
  <conditionalFormatting sqref="T277">
    <cfRule type="cellIs" dxfId="4694" priority="1268" operator="equal">
      <formula>"NO"</formula>
    </cfRule>
    <cfRule type="cellIs" dxfId="4693" priority="1269" operator="equal">
      <formula>"SI"</formula>
    </cfRule>
  </conditionalFormatting>
  <conditionalFormatting sqref="U277:U279">
    <cfRule type="cellIs" dxfId="4692" priority="1266" operator="equal">
      <formula>0</formula>
    </cfRule>
    <cfRule type="cellIs" dxfId="4691" priority="1267" operator="equal">
      <formula>1</formula>
    </cfRule>
  </conditionalFormatting>
  <conditionalFormatting sqref="U286:U288">
    <cfRule type="cellIs" dxfId="4690" priority="1260" operator="equal">
      <formula>0</formula>
    </cfRule>
    <cfRule type="cellIs" dxfId="4689" priority="1261" operator="equal">
      <formula>1</formula>
    </cfRule>
  </conditionalFormatting>
  <conditionalFormatting sqref="U289:U291">
    <cfRule type="cellIs" dxfId="4688" priority="1258" operator="equal">
      <formula>0</formula>
    </cfRule>
    <cfRule type="cellIs" dxfId="4687" priority="1259" operator="equal">
      <formula>1</formula>
    </cfRule>
  </conditionalFormatting>
  <conditionalFormatting sqref="T314">
    <cfRule type="cellIs" dxfId="4686" priority="1254" operator="equal">
      <formula>"NO CUMPLE"</formula>
    </cfRule>
    <cfRule type="cellIs" dxfId="4685" priority="1255" operator="equal">
      <formula>"CUMPLE"</formula>
    </cfRule>
  </conditionalFormatting>
  <conditionalFormatting sqref="T299">
    <cfRule type="cellIs" dxfId="4684" priority="1252" operator="equal">
      <formula>"NO"</formula>
    </cfRule>
    <cfRule type="cellIs" dxfId="4683" priority="1253" operator="equal">
      <formula>"SI"</formula>
    </cfRule>
  </conditionalFormatting>
  <conditionalFormatting sqref="U299:U301">
    <cfRule type="cellIs" dxfId="4682" priority="1250" operator="equal">
      <formula>0</formula>
    </cfRule>
    <cfRule type="cellIs" dxfId="4681" priority="1251" operator="equal">
      <formula>1</formula>
    </cfRule>
  </conditionalFormatting>
  <conditionalFormatting sqref="U302:U304">
    <cfRule type="cellIs" dxfId="4680" priority="1248" operator="equal">
      <formula>0</formula>
    </cfRule>
    <cfRule type="cellIs" dxfId="4679" priority="1249" operator="equal">
      <formula>1</formula>
    </cfRule>
  </conditionalFormatting>
  <conditionalFormatting sqref="U305:U307">
    <cfRule type="cellIs" dxfId="4678" priority="1246" operator="equal">
      <formula>0</formula>
    </cfRule>
    <cfRule type="cellIs" dxfId="4677" priority="1247" operator="equal">
      <formula>1</formula>
    </cfRule>
  </conditionalFormatting>
  <conditionalFormatting sqref="U308:U310">
    <cfRule type="cellIs" dxfId="4676" priority="1244" operator="equal">
      <formula>0</formula>
    </cfRule>
    <cfRule type="cellIs" dxfId="4675" priority="1245" operator="equal">
      <formula>1</formula>
    </cfRule>
  </conditionalFormatting>
  <conditionalFormatting sqref="U311:U313">
    <cfRule type="cellIs" dxfId="4674" priority="1242" operator="equal">
      <formula>0</formula>
    </cfRule>
    <cfRule type="cellIs" dxfId="4673" priority="1243" operator="equal">
      <formula>1</formula>
    </cfRule>
  </conditionalFormatting>
  <conditionalFormatting sqref="K16">
    <cfRule type="expression" dxfId="4672" priority="1238">
      <formula>J16="NO CUMPLE"</formula>
    </cfRule>
    <cfRule type="expression" dxfId="4671" priority="1239">
      <formula>J16="CUMPLE"</formula>
    </cfRule>
  </conditionalFormatting>
  <conditionalFormatting sqref="K17:K18">
    <cfRule type="expression" dxfId="4670" priority="1236">
      <formula>J17="NO CUMPLE"</formula>
    </cfRule>
    <cfRule type="expression" dxfId="4669" priority="1237">
      <formula>J17="CUMPLE"</formula>
    </cfRule>
  </conditionalFormatting>
  <conditionalFormatting sqref="K19">
    <cfRule type="expression" dxfId="4668" priority="1234">
      <formula>J19="NO CUMPLE"</formula>
    </cfRule>
    <cfRule type="expression" dxfId="4667" priority="1235">
      <formula>J19="CUMPLE"</formula>
    </cfRule>
  </conditionalFormatting>
  <conditionalFormatting sqref="K20:K21">
    <cfRule type="expression" dxfId="4666" priority="1232">
      <formula>J20="NO CUMPLE"</formula>
    </cfRule>
    <cfRule type="expression" dxfId="4665" priority="1233">
      <formula>J20="CUMPLE"</formula>
    </cfRule>
  </conditionalFormatting>
  <conditionalFormatting sqref="K22">
    <cfRule type="expression" dxfId="4664" priority="1230">
      <formula>J22="NO CUMPLE"</formula>
    </cfRule>
    <cfRule type="expression" dxfId="4663" priority="1231">
      <formula>J22="CUMPLE"</formula>
    </cfRule>
  </conditionalFormatting>
  <conditionalFormatting sqref="K23:K24">
    <cfRule type="expression" dxfId="4662" priority="1228">
      <formula>J23="NO CUMPLE"</formula>
    </cfRule>
    <cfRule type="expression" dxfId="4661" priority="1229">
      <formula>J23="CUMPLE"</formula>
    </cfRule>
  </conditionalFormatting>
  <conditionalFormatting sqref="K25">
    <cfRule type="expression" dxfId="4660" priority="1226">
      <formula>J25="NO CUMPLE"</formula>
    </cfRule>
    <cfRule type="expression" dxfId="4659" priority="1227">
      <formula>J25="CUMPLE"</formula>
    </cfRule>
  </conditionalFormatting>
  <conditionalFormatting sqref="K26:K27">
    <cfRule type="expression" dxfId="4658" priority="1224">
      <formula>J26="NO CUMPLE"</formula>
    </cfRule>
    <cfRule type="expression" dxfId="4657" priority="1225">
      <formula>J26="CUMPLE"</formula>
    </cfRule>
  </conditionalFormatting>
  <conditionalFormatting sqref="N280">
    <cfRule type="expression" dxfId="4656" priority="1221">
      <formula>N280=" "</formula>
    </cfRule>
    <cfRule type="expression" dxfId="4655" priority="1222">
      <formula>N280="NO PRESENTÓ CERTIFICADO"</formula>
    </cfRule>
    <cfRule type="expression" dxfId="4654" priority="1223">
      <formula>N280="PRESENTÓ CERTIFICADO"</formula>
    </cfRule>
  </conditionalFormatting>
  <conditionalFormatting sqref="O280">
    <cfRule type="cellIs" dxfId="4653" priority="1213" operator="equal">
      <formula>"PENDIENTE POR DESCRIPCIÓN"</formula>
    </cfRule>
    <cfRule type="cellIs" dxfId="4652" priority="1214" operator="equal">
      <formula>"DESCRIPCIÓN INSUFICIENTE"</formula>
    </cfRule>
    <cfRule type="cellIs" dxfId="4651" priority="1215" operator="equal">
      <formula>"NO ESTÁ ACORDE A ITEM 5.2.2 (T.R.)"</formula>
    </cfRule>
    <cfRule type="cellIs" dxfId="4650" priority="1216" operator="equal">
      <formula>"ACORDE A ITEM 5.2.2 (T.R.)"</formula>
    </cfRule>
    <cfRule type="cellIs" dxfId="4649" priority="1217" operator="equal">
      <formula>"PENDIENTE POR DESCRIPCIÓN"</formula>
    </cfRule>
    <cfRule type="cellIs" dxfId="4648" priority="1218" operator="equal">
      <formula>"DESCRIPCIÓN INSUFICIENTE"</formula>
    </cfRule>
    <cfRule type="cellIs" dxfId="4647" priority="1219" operator="equal">
      <formula>"NO ESTÁ ACORDE A ITEM 5.2.1 (T.R.)"</formula>
    </cfRule>
    <cfRule type="cellIs" dxfId="4646" priority="1220" operator="equal">
      <formula>"ACORDE A ITEM 5.2.1 (T.R.)"</formula>
    </cfRule>
  </conditionalFormatting>
  <conditionalFormatting sqref="N283">
    <cfRule type="expression" dxfId="4645" priority="1205">
      <formula>N283=" "</formula>
    </cfRule>
    <cfRule type="expression" dxfId="4644" priority="1206">
      <formula>N283="NO PRESENTÓ CERTIFICADO"</formula>
    </cfRule>
    <cfRule type="expression" dxfId="4643" priority="1207">
      <formula>N283="PRESENTÓ CERTIFICADO"</formula>
    </cfRule>
  </conditionalFormatting>
  <conditionalFormatting sqref="O283">
    <cfRule type="cellIs" dxfId="4642" priority="1197" operator="equal">
      <formula>"PENDIENTE POR DESCRIPCIÓN"</formula>
    </cfRule>
    <cfRule type="cellIs" dxfId="4641" priority="1198" operator="equal">
      <formula>"DESCRIPCIÓN INSUFICIENTE"</formula>
    </cfRule>
    <cfRule type="cellIs" dxfId="4640" priority="1199" operator="equal">
      <formula>"NO ESTÁ ACORDE A ITEM 5.2.2 (T.R.)"</formula>
    </cfRule>
    <cfRule type="cellIs" dxfId="4639" priority="1200" operator="equal">
      <formula>"ACORDE A ITEM 5.2.2 (T.R.)"</formula>
    </cfRule>
    <cfRule type="cellIs" dxfId="4638" priority="1201" operator="equal">
      <formula>"PENDIENTE POR DESCRIPCIÓN"</formula>
    </cfRule>
    <cfRule type="cellIs" dxfId="4637" priority="1202" operator="equal">
      <formula>"DESCRIPCIÓN INSUFICIENTE"</formula>
    </cfRule>
    <cfRule type="cellIs" dxfId="4636" priority="1203" operator="equal">
      <formula>"NO ESTÁ ACORDE A ITEM 5.2.1 (T.R.)"</formula>
    </cfRule>
    <cfRule type="cellIs" dxfId="4635" priority="1204" operator="equal">
      <formula>"ACORDE A ITEM 5.2.1 (T.R.)"</formula>
    </cfRule>
  </conditionalFormatting>
  <conditionalFormatting sqref="Q277">
    <cfRule type="containsBlanks" dxfId="4634" priority="1188">
      <formula>LEN(TRIM(Q277))=0</formula>
    </cfRule>
    <cfRule type="cellIs" dxfId="4633" priority="1193" operator="equal">
      <formula>"REQUERIMIENTOS SUBSANADOS"</formula>
    </cfRule>
    <cfRule type="containsText" dxfId="4632" priority="1194" operator="containsText" text="NO SUBSANABLE">
      <formula>NOT(ISERROR(SEARCH("NO SUBSANABLE",Q277)))</formula>
    </cfRule>
    <cfRule type="containsText" dxfId="4631" priority="1195" operator="containsText" text="PENDIENTES POR SUBSANAR">
      <formula>NOT(ISERROR(SEARCH("PENDIENTES POR SUBSANAR",Q277)))</formula>
    </cfRule>
    <cfRule type="containsText" dxfId="4630" priority="1196" operator="containsText" text="SIN OBSERVACIÓN">
      <formula>NOT(ISERROR(SEARCH("SIN OBSERVACIÓN",Q277)))</formula>
    </cfRule>
  </conditionalFormatting>
  <conditionalFormatting sqref="R277">
    <cfRule type="containsBlanks" dxfId="4629" priority="1187">
      <formula>LEN(TRIM(R277))=0</formula>
    </cfRule>
    <cfRule type="cellIs" dxfId="4628" priority="1189" operator="equal">
      <formula>"NO CUMPLEN CON LO SOLICITADO"</formula>
    </cfRule>
    <cfRule type="cellIs" dxfId="4627" priority="1190" operator="equal">
      <formula>"CUMPLEN CON LO SOLICITADO"</formula>
    </cfRule>
    <cfRule type="cellIs" dxfId="4626" priority="1191" operator="equal">
      <formula>"PENDIENTES"</formula>
    </cfRule>
    <cfRule type="cellIs" dxfId="4625" priority="1192" operator="equal">
      <formula>"NINGUNO"</formula>
    </cfRule>
  </conditionalFormatting>
  <conditionalFormatting sqref="Q280">
    <cfRule type="containsBlanks" dxfId="4624" priority="1178">
      <formula>LEN(TRIM(Q280))=0</formula>
    </cfRule>
    <cfRule type="cellIs" dxfId="4623" priority="1183" operator="equal">
      <formula>"REQUERIMIENTOS SUBSANADOS"</formula>
    </cfRule>
    <cfRule type="containsText" dxfId="4622" priority="1184" operator="containsText" text="NO SUBSANABLE">
      <formula>NOT(ISERROR(SEARCH("NO SUBSANABLE",Q280)))</formula>
    </cfRule>
    <cfRule type="containsText" dxfId="4621" priority="1185" operator="containsText" text="PENDIENTES POR SUBSANAR">
      <formula>NOT(ISERROR(SEARCH("PENDIENTES POR SUBSANAR",Q280)))</formula>
    </cfRule>
    <cfRule type="containsText" dxfId="4620" priority="1186" operator="containsText" text="SIN OBSERVACIÓN">
      <formula>NOT(ISERROR(SEARCH("SIN OBSERVACIÓN",Q280)))</formula>
    </cfRule>
  </conditionalFormatting>
  <conditionalFormatting sqref="R280">
    <cfRule type="containsBlanks" dxfId="4619" priority="1177">
      <formula>LEN(TRIM(R280))=0</formula>
    </cfRule>
    <cfRule type="cellIs" dxfId="4618" priority="1179" operator="equal">
      <formula>"NO CUMPLEN CON LO SOLICITADO"</formula>
    </cfRule>
    <cfRule type="cellIs" dxfId="4617" priority="1180" operator="equal">
      <formula>"CUMPLEN CON LO SOLICITADO"</formula>
    </cfRule>
    <cfRule type="cellIs" dxfId="4616" priority="1181" operator="equal">
      <formula>"PENDIENTES"</formula>
    </cfRule>
    <cfRule type="cellIs" dxfId="4615" priority="1182" operator="equal">
      <formula>"NINGUNO"</formula>
    </cfRule>
  </conditionalFormatting>
  <conditionalFormatting sqref="U280:U285">
    <cfRule type="cellIs" dxfId="4614" priority="1175" operator="equal">
      <formula>0</formula>
    </cfRule>
    <cfRule type="cellIs" dxfId="4613" priority="1176" operator="equal">
      <formula>1</formula>
    </cfRule>
  </conditionalFormatting>
  <conditionalFormatting sqref="H258 H261 H264 H267">
    <cfRule type="notContainsBlanks" dxfId="4612" priority="1174">
      <formula>LEN(TRIM(H258))&gt;0</formula>
    </cfRule>
  </conditionalFormatting>
  <conditionalFormatting sqref="I258 I261 I264 I267">
    <cfRule type="notContainsBlanks" dxfId="4611" priority="1173">
      <formula>LEN(TRIM(I258))&gt;0</formula>
    </cfRule>
  </conditionalFormatting>
  <conditionalFormatting sqref="N258">
    <cfRule type="expression" dxfId="4610" priority="1170">
      <formula>N258=" "</formula>
    </cfRule>
    <cfRule type="expression" dxfId="4609" priority="1171">
      <formula>N258="NO PRESENTÓ CERTIFICADO"</formula>
    </cfRule>
    <cfRule type="expression" dxfId="4608" priority="1172">
      <formula>N258="PRESENTÓ CERTIFICADO"</formula>
    </cfRule>
  </conditionalFormatting>
  <conditionalFormatting sqref="O258">
    <cfRule type="cellIs" dxfId="4607" priority="1152" operator="equal">
      <formula>"PENDIENTE POR DESCRIPCIÓN"</formula>
    </cfRule>
    <cfRule type="cellIs" dxfId="4606" priority="1153" operator="equal">
      <formula>"DESCRIPCIÓN INSUFICIENTE"</formula>
    </cfRule>
    <cfRule type="cellIs" dxfId="4605" priority="1154" operator="equal">
      <formula>"NO ESTÁ ACORDE A ITEM 5.2.2 (T.R.)"</formula>
    </cfRule>
    <cfRule type="cellIs" dxfId="4604" priority="1155" operator="equal">
      <formula>"ACORDE A ITEM 5.2.2 (T.R.)"</formula>
    </cfRule>
    <cfRule type="cellIs" dxfId="4603" priority="1162" operator="equal">
      <formula>"PENDIENTE POR DESCRIPCIÓN"</formula>
    </cfRule>
    <cfRule type="cellIs" dxfId="4602" priority="1164" operator="equal">
      <formula>"DESCRIPCIÓN INSUFICIENTE"</formula>
    </cfRule>
    <cfRule type="cellIs" dxfId="4601" priority="1165" operator="equal">
      <formula>"NO ESTÁ ACORDE A ITEM 5.2.1 (T.R.)"</formula>
    </cfRule>
    <cfRule type="cellIs" dxfId="4600" priority="1166" operator="equal">
      <formula>"ACORDE A ITEM 5.2.1 (T.R.)"</formula>
    </cfRule>
  </conditionalFormatting>
  <conditionalFormatting sqref="Q258">
    <cfRule type="containsBlanks" dxfId="4599" priority="1157">
      <formula>LEN(TRIM(Q258))=0</formula>
    </cfRule>
    <cfRule type="cellIs" dxfId="4598" priority="1163" operator="equal">
      <formula>"REQUERIMIENTOS SUBSANADOS"</formula>
    </cfRule>
    <cfRule type="containsText" dxfId="4597" priority="1167" operator="containsText" text="NO SUBSANABLE">
      <formula>NOT(ISERROR(SEARCH("NO SUBSANABLE",Q258)))</formula>
    </cfRule>
    <cfRule type="containsText" dxfId="4596" priority="1168" operator="containsText" text="PENDIENTES POR SUBSANAR">
      <formula>NOT(ISERROR(SEARCH("PENDIENTES POR SUBSANAR",Q258)))</formula>
    </cfRule>
    <cfRule type="containsText" dxfId="4595" priority="1169" operator="containsText" text="SIN OBSERVACIÓN">
      <formula>NOT(ISERROR(SEARCH("SIN OBSERVACIÓN",Q258)))</formula>
    </cfRule>
  </conditionalFormatting>
  <conditionalFormatting sqref="R258">
    <cfRule type="containsBlanks" dxfId="4594" priority="1156">
      <formula>LEN(TRIM(R258))=0</formula>
    </cfRule>
    <cfRule type="cellIs" dxfId="4593" priority="1158" operator="equal">
      <formula>"NO CUMPLEN CON LO SOLICITADO"</formula>
    </cfRule>
    <cfRule type="cellIs" dxfId="4592" priority="1159" operator="equal">
      <formula>"CUMPLEN CON LO SOLICITADO"</formula>
    </cfRule>
    <cfRule type="cellIs" dxfId="4591" priority="1160" operator="equal">
      <formula>"PENDIENTES"</formula>
    </cfRule>
    <cfRule type="cellIs" dxfId="4590" priority="1161" operator="equal">
      <formula>"NINGUNO"</formula>
    </cfRule>
  </conditionalFormatting>
  <conditionalFormatting sqref="P258">
    <cfRule type="expression" dxfId="4589" priority="1147">
      <formula>Q258="NO SUBSANABLE"</formula>
    </cfRule>
    <cfRule type="expression" dxfId="4588" priority="1148">
      <formula>Q258="REQUERIMIENTOS SUBSANADOS"</formula>
    </cfRule>
    <cfRule type="expression" dxfId="4587" priority="1149">
      <formula>Q258="PENDIENTES POR SUBSANAR"</formula>
    </cfRule>
    <cfRule type="expression" dxfId="4586" priority="1150">
      <formula>Q258="SIN OBSERVACIÓN"</formula>
    </cfRule>
    <cfRule type="containsBlanks" dxfId="4585" priority="1151">
      <formula>LEN(TRIM(P258))=0</formula>
    </cfRule>
  </conditionalFormatting>
  <conditionalFormatting sqref="N261">
    <cfRule type="expression" dxfId="4584" priority="1142">
      <formula>N261=" "</formula>
    </cfRule>
    <cfRule type="expression" dxfId="4583" priority="1143">
      <formula>N261="NO PRESENTÓ CERTIFICADO"</formula>
    </cfRule>
    <cfRule type="expression" dxfId="4582" priority="1144">
      <formula>N261="PRESENTÓ CERTIFICADO"</formula>
    </cfRule>
  </conditionalFormatting>
  <conditionalFormatting sqref="O261">
    <cfRule type="cellIs" dxfId="4581" priority="1124" operator="equal">
      <formula>"PENDIENTE POR DESCRIPCIÓN"</formula>
    </cfRule>
    <cfRule type="cellIs" dxfId="4580" priority="1125" operator="equal">
      <formula>"DESCRIPCIÓN INSUFICIENTE"</formula>
    </cfRule>
    <cfRule type="cellIs" dxfId="4579" priority="1126" operator="equal">
      <formula>"NO ESTÁ ACORDE A ITEM 5.2.2 (T.R.)"</formula>
    </cfRule>
    <cfRule type="cellIs" dxfId="4578" priority="1127" operator="equal">
      <formula>"ACORDE A ITEM 5.2.2 (T.R.)"</formula>
    </cfRule>
    <cfRule type="cellIs" dxfId="4577" priority="1134" operator="equal">
      <formula>"PENDIENTE POR DESCRIPCIÓN"</formula>
    </cfRule>
    <cfRule type="cellIs" dxfId="4576" priority="1136" operator="equal">
      <formula>"DESCRIPCIÓN INSUFICIENTE"</formula>
    </cfRule>
    <cfRule type="cellIs" dxfId="4575" priority="1137" operator="equal">
      <formula>"NO ESTÁ ACORDE A ITEM 5.2.1 (T.R.)"</formula>
    </cfRule>
    <cfRule type="cellIs" dxfId="4574" priority="1138" operator="equal">
      <formula>"ACORDE A ITEM 5.2.1 (T.R.)"</formula>
    </cfRule>
  </conditionalFormatting>
  <conditionalFormatting sqref="Q261">
    <cfRule type="containsBlanks" dxfId="4573" priority="1129">
      <formula>LEN(TRIM(Q261))=0</formula>
    </cfRule>
    <cfRule type="cellIs" dxfId="4572" priority="1135" operator="equal">
      <formula>"REQUERIMIENTOS SUBSANADOS"</formula>
    </cfRule>
    <cfRule type="containsText" dxfId="4571" priority="1139" operator="containsText" text="NO SUBSANABLE">
      <formula>NOT(ISERROR(SEARCH("NO SUBSANABLE",Q261)))</formula>
    </cfRule>
    <cfRule type="containsText" dxfId="4570" priority="1140" operator="containsText" text="PENDIENTES POR SUBSANAR">
      <formula>NOT(ISERROR(SEARCH("PENDIENTES POR SUBSANAR",Q261)))</formula>
    </cfRule>
    <cfRule type="containsText" dxfId="4569" priority="1141" operator="containsText" text="SIN OBSERVACIÓN">
      <formula>NOT(ISERROR(SEARCH("SIN OBSERVACIÓN",Q261)))</formula>
    </cfRule>
  </conditionalFormatting>
  <conditionalFormatting sqref="R261">
    <cfRule type="containsBlanks" dxfId="4568" priority="1128">
      <formula>LEN(TRIM(R261))=0</formula>
    </cfRule>
    <cfRule type="cellIs" dxfId="4567" priority="1130" operator="equal">
      <formula>"NO CUMPLEN CON LO SOLICITADO"</formula>
    </cfRule>
    <cfRule type="cellIs" dxfId="4566" priority="1131" operator="equal">
      <formula>"CUMPLEN CON LO SOLICITADO"</formula>
    </cfRule>
    <cfRule type="cellIs" dxfId="4565" priority="1132" operator="equal">
      <formula>"PENDIENTES"</formula>
    </cfRule>
    <cfRule type="cellIs" dxfId="4564" priority="1133" operator="equal">
      <formula>"NINGUNO"</formula>
    </cfRule>
  </conditionalFormatting>
  <conditionalFormatting sqref="P261">
    <cfRule type="expression" dxfId="4563" priority="1119">
      <formula>Q261="NO SUBSANABLE"</formula>
    </cfRule>
    <cfRule type="expression" dxfId="4562" priority="1120">
      <formula>Q261="REQUERIMIENTOS SUBSANADOS"</formula>
    </cfRule>
    <cfRule type="expression" dxfId="4561" priority="1121">
      <formula>Q261="PENDIENTES POR SUBSANAR"</formula>
    </cfRule>
    <cfRule type="expression" dxfId="4560" priority="1122">
      <formula>Q261="SIN OBSERVACIÓN"</formula>
    </cfRule>
    <cfRule type="containsBlanks" dxfId="4559" priority="1123">
      <formula>LEN(TRIM(P261))=0</formula>
    </cfRule>
  </conditionalFormatting>
  <conditionalFormatting sqref="N264">
    <cfRule type="expression" dxfId="4558" priority="1114">
      <formula>N264=" "</formula>
    </cfRule>
    <cfRule type="expression" dxfId="4557" priority="1115">
      <formula>N264="NO PRESENTÓ CERTIFICADO"</formula>
    </cfRule>
    <cfRule type="expression" dxfId="4556" priority="1116">
      <formula>N264="PRESENTÓ CERTIFICADO"</formula>
    </cfRule>
  </conditionalFormatting>
  <conditionalFormatting sqref="O264">
    <cfRule type="cellIs" dxfId="4555" priority="1096" operator="equal">
      <formula>"PENDIENTE POR DESCRIPCIÓN"</formula>
    </cfRule>
    <cfRule type="cellIs" dxfId="4554" priority="1097" operator="equal">
      <formula>"DESCRIPCIÓN INSUFICIENTE"</formula>
    </cfRule>
    <cfRule type="cellIs" dxfId="4553" priority="1098" operator="equal">
      <formula>"NO ESTÁ ACORDE A ITEM 5.2.2 (T.R.)"</formula>
    </cfRule>
    <cfRule type="cellIs" dxfId="4552" priority="1099" operator="equal">
      <formula>"ACORDE A ITEM 5.2.2 (T.R.)"</formula>
    </cfRule>
    <cfRule type="cellIs" dxfId="4551" priority="1106" operator="equal">
      <formula>"PENDIENTE POR DESCRIPCIÓN"</formula>
    </cfRule>
    <cfRule type="cellIs" dxfId="4550" priority="1108" operator="equal">
      <formula>"DESCRIPCIÓN INSUFICIENTE"</formula>
    </cfRule>
    <cfRule type="cellIs" dxfId="4549" priority="1109" operator="equal">
      <formula>"NO ESTÁ ACORDE A ITEM 5.2.1 (T.R.)"</formula>
    </cfRule>
    <cfRule type="cellIs" dxfId="4548" priority="1110" operator="equal">
      <formula>"ACORDE A ITEM 5.2.1 (T.R.)"</formula>
    </cfRule>
  </conditionalFormatting>
  <conditionalFormatting sqref="Q264">
    <cfRule type="containsBlanks" dxfId="4547" priority="1101">
      <formula>LEN(TRIM(Q264))=0</formula>
    </cfRule>
    <cfRule type="cellIs" dxfId="4546" priority="1107" operator="equal">
      <formula>"REQUERIMIENTOS SUBSANADOS"</formula>
    </cfRule>
    <cfRule type="containsText" dxfId="4545" priority="1111" operator="containsText" text="NO SUBSANABLE">
      <formula>NOT(ISERROR(SEARCH("NO SUBSANABLE",Q264)))</formula>
    </cfRule>
    <cfRule type="containsText" dxfId="4544" priority="1112" operator="containsText" text="PENDIENTES POR SUBSANAR">
      <formula>NOT(ISERROR(SEARCH("PENDIENTES POR SUBSANAR",Q264)))</formula>
    </cfRule>
    <cfRule type="containsText" dxfId="4543" priority="1113" operator="containsText" text="SIN OBSERVACIÓN">
      <formula>NOT(ISERROR(SEARCH("SIN OBSERVACIÓN",Q264)))</formula>
    </cfRule>
  </conditionalFormatting>
  <conditionalFormatting sqref="R264">
    <cfRule type="containsBlanks" dxfId="4542" priority="1100">
      <formula>LEN(TRIM(R264))=0</formula>
    </cfRule>
    <cfRule type="cellIs" dxfId="4541" priority="1102" operator="equal">
      <formula>"NO CUMPLEN CON LO SOLICITADO"</formula>
    </cfRule>
    <cfRule type="cellIs" dxfId="4540" priority="1103" operator="equal">
      <formula>"CUMPLEN CON LO SOLICITADO"</formula>
    </cfRule>
    <cfRule type="cellIs" dxfId="4539" priority="1104" operator="equal">
      <formula>"PENDIENTES"</formula>
    </cfRule>
    <cfRule type="cellIs" dxfId="4538" priority="1105" operator="equal">
      <formula>"NINGUNO"</formula>
    </cfRule>
  </conditionalFormatting>
  <conditionalFormatting sqref="P264">
    <cfRule type="expression" dxfId="4537" priority="1091">
      <formula>Q264="NO SUBSANABLE"</formula>
    </cfRule>
    <cfRule type="expression" dxfId="4536" priority="1092">
      <formula>Q264="REQUERIMIENTOS SUBSANADOS"</formula>
    </cfRule>
    <cfRule type="expression" dxfId="4535" priority="1093">
      <formula>Q264="PENDIENTES POR SUBSANAR"</formula>
    </cfRule>
    <cfRule type="expression" dxfId="4534" priority="1094">
      <formula>Q264="SIN OBSERVACIÓN"</formula>
    </cfRule>
    <cfRule type="containsBlanks" dxfId="4533" priority="1095">
      <formula>LEN(TRIM(P264))=0</formula>
    </cfRule>
  </conditionalFormatting>
  <conditionalFormatting sqref="N267">
    <cfRule type="expression" dxfId="4532" priority="1088">
      <formula>N267=" "</formula>
    </cfRule>
    <cfRule type="expression" dxfId="4531" priority="1089">
      <formula>N267="NO PRESENTÓ CERTIFICADO"</formula>
    </cfRule>
    <cfRule type="expression" dxfId="4530" priority="1090">
      <formula>N267="PRESENTÓ CERTIFICADO"</formula>
    </cfRule>
  </conditionalFormatting>
  <conditionalFormatting sqref="O267">
    <cfRule type="cellIs" dxfId="4529" priority="1070" operator="equal">
      <formula>"PENDIENTE POR DESCRIPCIÓN"</formula>
    </cfRule>
    <cfRule type="cellIs" dxfId="4528" priority="1071" operator="equal">
      <formula>"DESCRIPCIÓN INSUFICIENTE"</formula>
    </cfRule>
    <cfRule type="cellIs" dxfId="4527" priority="1072" operator="equal">
      <formula>"NO ESTÁ ACORDE A ITEM 5.2.2 (T.R.)"</formula>
    </cfRule>
    <cfRule type="cellIs" dxfId="4526" priority="1073" operator="equal">
      <formula>"ACORDE A ITEM 5.2.2 (T.R.)"</formula>
    </cfRule>
    <cfRule type="cellIs" dxfId="4525" priority="1080" operator="equal">
      <formula>"PENDIENTE POR DESCRIPCIÓN"</formula>
    </cfRule>
    <cfRule type="cellIs" dxfId="4524" priority="1082" operator="equal">
      <formula>"DESCRIPCIÓN INSUFICIENTE"</formula>
    </cfRule>
    <cfRule type="cellIs" dxfId="4523" priority="1083" operator="equal">
      <formula>"NO ESTÁ ACORDE A ITEM 5.2.1 (T.R.)"</formula>
    </cfRule>
    <cfRule type="cellIs" dxfId="4522" priority="1084" operator="equal">
      <formula>"ACORDE A ITEM 5.2.1 (T.R.)"</formula>
    </cfRule>
  </conditionalFormatting>
  <conditionalFormatting sqref="Q267">
    <cfRule type="containsBlanks" dxfId="4521" priority="1075">
      <formula>LEN(TRIM(Q267))=0</formula>
    </cfRule>
    <cfRule type="cellIs" dxfId="4520" priority="1081" operator="equal">
      <formula>"REQUERIMIENTOS SUBSANADOS"</formula>
    </cfRule>
    <cfRule type="containsText" dxfId="4519" priority="1085" operator="containsText" text="NO SUBSANABLE">
      <formula>NOT(ISERROR(SEARCH("NO SUBSANABLE",Q267)))</formula>
    </cfRule>
    <cfRule type="containsText" dxfId="4518" priority="1086" operator="containsText" text="PENDIENTES POR SUBSANAR">
      <formula>NOT(ISERROR(SEARCH("PENDIENTES POR SUBSANAR",Q267)))</formula>
    </cfRule>
    <cfRule type="containsText" dxfId="4517" priority="1087" operator="containsText" text="SIN OBSERVACIÓN">
      <formula>NOT(ISERROR(SEARCH("SIN OBSERVACIÓN",Q267)))</formula>
    </cfRule>
  </conditionalFormatting>
  <conditionalFormatting sqref="R267">
    <cfRule type="containsBlanks" dxfId="4516" priority="1074">
      <formula>LEN(TRIM(R267))=0</formula>
    </cfRule>
    <cfRule type="cellIs" dxfId="4515" priority="1076" operator="equal">
      <formula>"NO CUMPLEN CON LO SOLICITADO"</formula>
    </cfRule>
    <cfRule type="cellIs" dxfId="4514" priority="1077" operator="equal">
      <formula>"CUMPLEN CON LO SOLICITADO"</formula>
    </cfRule>
    <cfRule type="cellIs" dxfId="4513" priority="1078" operator="equal">
      <formula>"PENDIENTES"</formula>
    </cfRule>
    <cfRule type="cellIs" dxfId="4512" priority="1079" operator="equal">
      <formula>"NINGUNO"</formula>
    </cfRule>
  </conditionalFormatting>
  <conditionalFormatting sqref="P267">
    <cfRule type="expression" dxfId="4511" priority="1065">
      <formula>Q267="NO SUBSANABLE"</formula>
    </cfRule>
    <cfRule type="expression" dxfId="4510" priority="1066">
      <formula>Q267="REQUERIMIENTOS SUBSANADOS"</formula>
    </cfRule>
    <cfRule type="expression" dxfId="4509" priority="1067">
      <formula>Q267="PENDIENTES POR SUBSANAR"</formula>
    </cfRule>
    <cfRule type="expression" dxfId="4508" priority="1068">
      <formula>Q267="SIN OBSERVACIÓN"</formula>
    </cfRule>
    <cfRule type="containsBlanks" dxfId="4507" priority="1069">
      <formula>LEN(TRIM(P267))=0</formula>
    </cfRule>
  </conditionalFormatting>
  <conditionalFormatting sqref="J267">
    <cfRule type="cellIs" dxfId="4506" priority="1063" operator="equal">
      <formula>"NO CUMPLE"</formula>
    </cfRule>
    <cfRule type="cellIs" dxfId="4505" priority="1064" operator="equal">
      <formula>"CUMPLE"</formula>
    </cfRule>
  </conditionalFormatting>
  <conditionalFormatting sqref="J256">
    <cfRule type="cellIs" dxfId="4504" priority="1061" operator="equal">
      <formula>"NO CUMPLE"</formula>
    </cfRule>
    <cfRule type="cellIs" dxfId="4503" priority="1062" operator="equal">
      <formula>"CUMPLE"</formula>
    </cfRule>
  </conditionalFormatting>
  <conditionalFormatting sqref="J255">
    <cfRule type="cellIs" dxfId="4502" priority="1059" operator="equal">
      <formula>"NO CUMPLE"</formula>
    </cfRule>
    <cfRule type="cellIs" dxfId="4501" priority="1060" operator="equal">
      <formula>"CUMPLE"</formula>
    </cfRule>
  </conditionalFormatting>
  <conditionalFormatting sqref="J257">
    <cfRule type="cellIs" dxfId="4500" priority="1057" operator="equal">
      <formula>"NO CUMPLE"</formula>
    </cfRule>
    <cfRule type="cellIs" dxfId="4499" priority="1058" operator="equal">
      <formula>"CUMPLE"</formula>
    </cfRule>
  </conditionalFormatting>
  <conditionalFormatting sqref="U258:U269">
    <cfRule type="cellIs" dxfId="4498" priority="1055" operator="equal">
      <formula>0</formula>
    </cfRule>
    <cfRule type="cellIs" dxfId="4497" priority="1056" operator="equal">
      <formula>1</formula>
    </cfRule>
  </conditionalFormatting>
  <conditionalFormatting sqref="I236">
    <cfRule type="notContainsBlanks" dxfId="4496" priority="1054">
      <formula>LEN(TRIM(I236))&gt;0</formula>
    </cfRule>
  </conditionalFormatting>
  <conditionalFormatting sqref="N233">
    <cfRule type="expression" dxfId="4495" priority="1049">
      <formula>N233=" "</formula>
    </cfRule>
    <cfRule type="expression" dxfId="4494" priority="1050">
      <formula>N233="NO PRESENTÓ CERTIFICADO"</formula>
    </cfRule>
    <cfRule type="expression" dxfId="4493" priority="1051">
      <formula>N233="PRESENTÓ CERTIFICADO"</formula>
    </cfRule>
  </conditionalFormatting>
  <conditionalFormatting sqref="O233">
    <cfRule type="cellIs" dxfId="4492" priority="1031" operator="equal">
      <formula>"PENDIENTE POR DESCRIPCIÓN"</formula>
    </cfRule>
    <cfRule type="cellIs" dxfId="4491" priority="1032" operator="equal">
      <formula>"DESCRIPCIÓN INSUFICIENTE"</formula>
    </cfRule>
    <cfRule type="cellIs" dxfId="4490" priority="1033" operator="equal">
      <formula>"NO ESTÁ ACORDE A ITEM 5.2.2 (T.R.)"</formula>
    </cfRule>
    <cfRule type="cellIs" dxfId="4489" priority="1034" operator="equal">
      <formula>"ACORDE A ITEM 5.2.2 (T.R.)"</formula>
    </cfRule>
    <cfRule type="cellIs" dxfId="4488" priority="1041" operator="equal">
      <formula>"PENDIENTE POR DESCRIPCIÓN"</formula>
    </cfRule>
    <cfRule type="cellIs" dxfId="4487" priority="1043" operator="equal">
      <formula>"DESCRIPCIÓN INSUFICIENTE"</formula>
    </cfRule>
    <cfRule type="cellIs" dxfId="4486" priority="1044" operator="equal">
      <formula>"NO ESTÁ ACORDE A ITEM 5.2.1 (T.R.)"</formula>
    </cfRule>
    <cfRule type="cellIs" dxfId="4485" priority="1045" operator="equal">
      <formula>"ACORDE A ITEM 5.2.1 (T.R.)"</formula>
    </cfRule>
  </conditionalFormatting>
  <conditionalFormatting sqref="Q233">
    <cfRule type="containsBlanks" dxfId="4484" priority="1036">
      <formula>LEN(TRIM(Q233))=0</formula>
    </cfRule>
    <cfRule type="cellIs" dxfId="4483" priority="1042" operator="equal">
      <formula>"REQUERIMIENTOS SUBSANADOS"</formula>
    </cfRule>
    <cfRule type="containsText" dxfId="4482" priority="1046" operator="containsText" text="NO SUBSANABLE">
      <formula>NOT(ISERROR(SEARCH("NO SUBSANABLE",Q233)))</formula>
    </cfRule>
    <cfRule type="containsText" dxfId="4481" priority="1047" operator="containsText" text="PENDIENTES POR SUBSANAR">
      <formula>NOT(ISERROR(SEARCH("PENDIENTES POR SUBSANAR",Q233)))</formula>
    </cfRule>
    <cfRule type="containsText" dxfId="4480" priority="1048" operator="containsText" text="SIN OBSERVACIÓN">
      <formula>NOT(ISERROR(SEARCH("SIN OBSERVACIÓN",Q233)))</formula>
    </cfRule>
  </conditionalFormatting>
  <conditionalFormatting sqref="R233">
    <cfRule type="containsBlanks" dxfId="4479" priority="1035">
      <formula>LEN(TRIM(R233))=0</formula>
    </cfRule>
    <cfRule type="cellIs" dxfId="4478" priority="1037" operator="equal">
      <formula>"NO CUMPLEN CON LO SOLICITADO"</formula>
    </cfRule>
    <cfRule type="cellIs" dxfId="4477" priority="1038" operator="equal">
      <formula>"CUMPLEN CON LO SOLICITADO"</formula>
    </cfRule>
    <cfRule type="cellIs" dxfId="4476" priority="1039" operator="equal">
      <formula>"PENDIENTES"</formula>
    </cfRule>
    <cfRule type="cellIs" dxfId="4475" priority="1040" operator="equal">
      <formula>"NINGUNO"</formula>
    </cfRule>
  </conditionalFormatting>
  <conditionalFormatting sqref="P233">
    <cfRule type="expression" dxfId="4474" priority="1026">
      <formula>Q233="NO SUBSANABLE"</formula>
    </cfRule>
    <cfRule type="expression" dxfId="4473" priority="1027">
      <formula>Q233="REQUERIMIENTOS SUBSANADOS"</formula>
    </cfRule>
    <cfRule type="expression" dxfId="4472" priority="1028">
      <formula>Q233="PENDIENTES POR SUBSANAR"</formula>
    </cfRule>
    <cfRule type="expression" dxfId="4471" priority="1029">
      <formula>Q233="SIN OBSERVACIÓN"</formula>
    </cfRule>
    <cfRule type="containsBlanks" dxfId="4470" priority="1030">
      <formula>LEN(TRIM(P233))=0</formula>
    </cfRule>
  </conditionalFormatting>
  <conditionalFormatting sqref="N236">
    <cfRule type="expression" dxfId="4469" priority="1023">
      <formula>N236=" "</formula>
    </cfRule>
    <cfRule type="expression" dxfId="4468" priority="1024">
      <formula>N236="NO PRESENTÓ CERTIFICADO"</formula>
    </cfRule>
    <cfRule type="expression" dxfId="4467" priority="1025">
      <formula>N236="PRESENTÓ CERTIFICADO"</formula>
    </cfRule>
  </conditionalFormatting>
  <conditionalFormatting sqref="O236">
    <cfRule type="cellIs" dxfId="4466" priority="1005" operator="equal">
      <formula>"PENDIENTE POR DESCRIPCIÓN"</formula>
    </cfRule>
    <cfRule type="cellIs" dxfId="4465" priority="1006" operator="equal">
      <formula>"DESCRIPCIÓN INSUFICIENTE"</formula>
    </cfRule>
    <cfRule type="cellIs" dxfId="4464" priority="1007" operator="equal">
      <formula>"NO ESTÁ ACORDE A ITEM 5.2.2 (T.R.)"</formula>
    </cfRule>
    <cfRule type="cellIs" dxfId="4463" priority="1008" operator="equal">
      <formula>"ACORDE A ITEM 5.2.2 (T.R.)"</formula>
    </cfRule>
    <cfRule type="cellIs" dxfId="4462" priority="1015" operator="equal">
      <formula>"PENDIENTE POR DESCRIPCIÓN"</formula>
    </cfRule>
    <cfRule type="cellIs" dxfId="4461" priority="1017" operator="equal">
      <formula>"DESCRIPCIÓN INSUFICIENTE"</formula>
    </cfRule>
    <cfRule type="cellIs" dxfId="4460" priority="1018" operator="equal">
      <formula>"NO ESTÁ ACORDE A ITEM 5.2.1 (T.R.)"</formula>
    </cfRule>
    <cfRule type="cellIs" dxfId="4459" priority="1019" operator="equal">
      <formula>"ACORDE A ITEM 5.2.1 (T.R.)"</formula>
    </cfRule>
  </conditionalFormatting>
  <conditionalFormatting sqref="Q236">
    <cfRule type="containsBlanks" dxfId="4458" priority="1010">
      <formula>LEN(TRIM(Q236))=0</formula>
    </cfRule>
    <cfRule type="cellIs" dxfId="4457" priority="1016" operator="equal">
      <formula>"REQUERIMIENTOS SUBSANADOS"</formula>
    </cfRule>
    <cfRule type="containsText" dxfId="4456" priority="1020" operator="containsText" text="NO SUBSANABLE">
      <formula>NOT(ISERROR(SEARCH("NO SUBSANABLE",Q236)))</formula>
    </cfRule>
    <cfRule type="containsText" dxfId="4455" priority="1021" operator="containsText" text="PENDIENTES POR SUBSANAR">
      <formula>NOT(ISERROR(SEARCH("PENDIENTES POR SUBSANAR",Q236)))</formula>
    </cfRule>
    <cfRule type="containsText" dxfId="4454" priority="1022" operator="containsText" text="SIN OBSERVACIÓN">
      <formula>NOT(ISERROR(SEARCH("SIN OBSERVACIÓN",Q236)))</formula>
    </cfRule>
  </conditionalFormatting>
  <conditionalFormatting sqref="R236">
    <cfRule type="containsBlanks" dxfId="4453" priority="1009">
      <formula>LEN(TRIM(R236))=0</formula>
    </cfRule>
    <cfRule type="cellIs" dxfId="4452" priority="1011" operator="equal">
      <formula>"NO CUMPLEN CON LO SOLICITADO"</formula>
    </cfRule>
    <cfRule type="cellIs" dxfId="4451" priority="1012" operator="equal">
      <formula>"CUMPLEN CON LO SOLICITADO"</formula>
    </cfRule>
    <cfRule type="cellIs" dxfId="4450" priority="1013" operator="equal">
      <formula>"PENDIENTES"</formula>
    </cfRule>
    <cfRule type="cellIs" dxfId="4449" priority="1014" operator="equal">
      <formula>"NINGUNO"</formula>
    </cfRule>
  </conditionalFormatting>
  <conditionalFormatting sqref="P236">
    <cfRule type="expression" dxfId="4448" priority="1000">
      <formula>Q236="NO SUBSANABLE"</formula>
    </cfRule>
    <cfRule type="expression" dxfId="4447" priority="1001">
      <formula>Q236="REQUERIMIENTOS SUBSANADOS"</formula>
    </cfRule>
    <cfRule type="expression" dxfId="4446" priority="1002">
      <formula>Q236="PENDIENTES POR SUBSANAR"</formula>
    </cfRule>
    <cfRule type="expression" dxfId="4445" priority="1003">
      <formula>Q236="SIN OBSERVACIÓN"</formula>
    </cfRule>
    <cfRule type="containsBlanks" dxfId="4444" priority="1004">
      <formula>LEN(TRIM(P236))=0</formula>
    </cfRule>
  </conditionalFormatting>
  <conditionalFormatting sqref="N239">
    <cfRule type="expression" dxfId="4443" priority="995">
      <formula>N239=" "</formula>
    </cfRule>
    <cfRule type="expression" dxfId="4442" priority="996">
      <formula>N239="NO PRESENTÓ CERTIFICADO"</formula>
    </cfRule>
    <cfRule type="expression" dxfId="4441" priority="997">
      <formula>N239="PRESENTÓ CERTIFICADO"</formula>
    </cfRule>
  </conditionalFormatting>
  <conditionalFormatting sqref="O239">
    <cfRule type="cellIs" dxfId="4440" priority="977" operator="equal">
      <formula>"PENDIENTE POR DESCRIPCIÓN"</formula>
    </cfRule>
    <cfRule type="cellIs" dxfId="4439" priority="978" operator="equal">
      <formula>"DESCRIPCIÓN INSUFICIENTE"</formula>
    </cfRule>
    <cfRule type="cellIs" dxfId="4438" priority="979" operator="equal">
      <formula>"NO ESTÁ ACORDE A ITEM 5.2.2 (T.R.)"</formula>
    </cfRule>
    <cfRule type="cellIs" dxfId="4437" priority="980" operator="equal">
      <formula>"ACORDE A ITEM 5.2.2 (T.R.)"</formula>
    </cfRule>
    <cfRule type="cellIs" dxfId="4436" priority="987" operator="equal">
      <formula>"PENDIENTE POR DESCRIPCIÓN"</formula>
    </cfRule>
    <cfRule type="cellIs" dxfId="4435" priority="989" operator="equal">
      <formula>"DESCRIPCIÓN INSUFICIENTE"</formula>
    </cfRule>
    <cfRule type="cellIs" dxfId="4434" priority="990" operator="equal">
      <formula>"NO ESTÁ ACORDE A ITEM 5.2.1 (T.R.)"</formula>
    </cfRule>
    <cfRule type="cellIs" dxfId="4433" priority="991" operator="equal">
      <formula>"ACORDE A ITEM 5.2.1 (T.R.)"</formula>
    </cfRule>
  </conditionalFormatting>
  <conditionalFormatting sqref="Q239">
    <cfRule type="containsBlanks" dxfId="4432" priority="982">
      <formula>LEN(TRIM(Q239))=0</formula>
    </cfRule>
    <cfRule type="cellIs" dxfId="4431" priority="988" operator="equal">
      <formula>"REQUERIMIENTOS SUBSANADOS"</formula>
    </cfRule>
    <cfRule type="containsText" dxfId="4430" priority="992" operator="containsText" text="NO SUBSANABLE">
      <formula>NOT(ISERROR(SEARCH("NO SUBSANABLE",Q239)))</formula>
    </cfRule>
    <cfRule type="containsText" dxfId="4429" priority="993" operator="containsText" text="PENDIENTES POR SUBSANAR">
      <formula>NOT(ISERROR(SEARCH("PENDIENTES POR SUBSANAR",Q239)))</formula>
    </cfRule>
    <cfRule type="containsText" dxfId="4428" priority="994" operator="containsText" text="SIN OBSERVACIÓN">
      <formula>NOT(ISERROR(SEARCH("SIN OBSERVACIÓN",Q239)))</formula>
    </cfRule>
  </conditionalFormatting>
  <conditionalFormatting sqref="R239">
    <cfRule type="containsBlanks" dxfId="4427" priority="981">
      <formula>LEN(TRIM(R239))=0</formula>
    </cfRule>
    <cfRule type="cellIs" dxfId="4426" priority="983" operator="equal">
      <formula>"NO CUMPLEN CON LO SOLICITADO"</formula>
    </cfRule>
    <cfRule type="cellIs" dxfId="4425" priority="984" operator="equal">
      <formula>"CUMPLEN CON LO SOLICITADO"</formula>
    </cfRule>
    <cfRule type="cellIs" dxfId="4424" priority="985" operator="equal">
      <formula>"PENDIENTES"</formula>
    </cfRule>
    <cfRule type="cellIs" dxfId="4423" priority="986" operator="equal">
      <formula>"NINGUNO"</formula>
    </cfRule>
  </conditionalFormatting>
  <conditionalFormatting sqref="P239">
    <cfRule type="expression" dxfId="4422" priority="972">
      <formula>Q239="NO SUBSANABLE"</formula>
    </cfRule>
    <cfRule type="expression" dxfId="4421" priority="973">
      <formula>Q239="REQUERIMIENTOS SUBSANADOS"</formula>
    </cfRule>
    <cfRule type="expression" dxfId="4420" priority="974">
      <formula>Q239="PENDIENTES POR SUBSANAR"</formula>
    </cfRule>
    <cfRule type="expression" dxfId="4419" priority="975">
      <formula>Q239="SIN OBSERVACIÓN"</formula>
    </cfRule>
    <cfRule type="containsBlanks" dxfId="4418" priority="976">
      <formula>LEN(TRIM(P239))=0</formula>
    </cfRule>
  </conditionalFormatting>
  <conditionalFormatting sqref="J236">
    <cfRule type="cellIs" dxfId="4417" priority="968" operator="equal">
      <formula>"NO CUMPLE"</formula>
    </cfRule>
    <cfRule type="cellIs" dxfId="4416" priority="969" operator="equal">
      <formula>"CUMPLE"</formula>
    </cfRule>
  </conditionalFormatting>
  <conditionalFormatting sqref="J237">
    <cfRule type="cellIs" dxfId="4415" priority="966" operator="equal">
      <formula>"NO CUMPLE"</formula>
    </cfRule>
    <cfRule type="cellIs" dxfId="4414" priority="967" operator="equal">
      <formula>"CUMPLE"</formula>
    </cfRule>
  </conditionalFormatting>
  <conditionalFormatting sqref="J238">
    <cfRule type="cellIs" dxfId="4413" priority="964" operator="equal">
      <formula>"NO CUMPLE"</formula>
    </cfRule>
    <cfRule type="cellIs" dxfId="4412" priority="965" operator="equal">
      <formula>"CUMPLE"</formula>
    </cfRule>
  </conditionalFormatting>
  <conditionalFormatting sqref="J239">
    <cfRule type="cellIs" dxfId="4411" priority="962" operator="equal">
      <formula>"NO CUMPLE"</formula>
    </cfRule>
    <cfRule type="cellIs" dxfId="4410" priority="963" operator="equal">
      <formula>"CUMPLE"</formula>
    </cfRule>
  </conditionalFormatting>
  <conditionalFormatting sqref="J240">
    <cfRule type="cellIs" dxfId="4409" priority="960" operator="equal">
      <formula>"NO CUMPLE"</formula>
    </cfRule>
    <cfRule type="cellIs" dxfId="4408" priority="961" operator="equal">
      <formula>"CUMPLE"</formula>
    </cfRule>
  </conditionalFormatting>
  <conditionalFormatting sqref="J241">
    <cfRule type="cellIs" dxfId="4407" priority="958" operator="equal">
      <formula>"NO CUMPLE"</formula>
    </cfRule>
    <cfRule type="cellIs" dxfId="4406" priority="959" operator="equal">
      <formula>"CUMPLE"</formula>
    </cfRule>
  </conditionalFormatting>
  <conditionalFormatting sqref="S233">
    <cfRule type="cellIs" dxfId="4405" priority="956" operator="greaterThan">
      <formula>0</formula>
    </cfRule>
    <cfRule type="top10" dxfId="4404" priority="957" rank="10"/>
  </conditionalFormatting>
  <conditionalFormatting sqref="U233:U235">
    <cfRule type="cellIs" dxfId="4403" priority="954" operator="equal">
      <formula>0</formula>
    </cfRule>
    <cfRule type="cellIs" dxfId="4402" priority="955" operator="equal">
      <formula>1</formula>
    </cfRule>
  </conditionalFormatting>
  <conditionalFormatting sqref="U236:U238">
    <cfRule type="cellIs" dxfId="4401" priority="952" operator="equal">
      <formula>0</formula>
    </cfRule>
    <cfRule type="cellIs" dxfId="4400" priority="953" operator="equal">
      <formula>1</formula>
    </cfRule>
  </conditionalFormatting>
  <conditionalFormatting sqref="U239:U241">
    <cfRule type="cellIs" dxfId="4399" priority="950" operator="equal">
      <formula>0</formula>
    </cfRule>
    <cfRule type="cellIs" dxfId="4398" priority="951" operator="equal">
      <formula>1</formula>
    </cfRule>
  </conditionalFormatting>
  <conditionalFormatting sqref="N211">
    <cfRule type="expression" dxfId="4397" priority="945">
      <formula>N211=" "</formula>
    </cfRule>
    <cfRule type="expression" dxfId="4396" priority="946">
      <formula>N211="NO PRESENTÓ CERTIFICADO"</formula>
    </cfRule>
    <cfRule type="expression" dxfId="4395" priority="947">
      <formula>N211="PRESENTÓ CERTIFICADO"</formula>
    </cfRule>
  </conditionalFormatting>
  <conditionalFormatting sqref="O211">
    <cfRule type="cellIs" dxfId="4394" priority="927" operator="equal">
      <formula>"PENDIENTE POR DESCRIPCIÓN"</formula>
    </cfRule>
    <cfRule type="cellIs" dxfId="4393" priority="928" operator="equal">
      <formula>"DESCRIPCIÓN INSUFICIENTE"</formula>
    </cfRule>
    <cfRule type="cellIs" dxfId="4392" priority="929" operator="equal">
      <formula>"NO ESTÁ ACORDE A ITEM 5.2.2 (T.R.)"</formula>
    </cfRule>
    <cfRule type="cellIs" dxfId="4391" priority="930" operator="equal">
      <formula>"ACORDE A ITEM 5.2.2 (T.R.)"</formula>
    </cfRule>
    <cfRule type="cellIs" dxfId="4390" priority="937" operator="equal">
      <formula>"PENDIENTE POR DESCRIPCIÓN"</formula>
    </cfRule>
    <cfRule type="cellIs" dxfId="4389" priority="939" operator="equal">
      <formula>"DESCRIPCIÓN INSUFICIENTE"</formula>
    </cfRule>
    <cfRule type="cellIs" dxfId="4388" priority="940" operator="equal">
      <formula>"NO ESTÁ ACORDE A ITEM 5.2.1 (T.R.)"</formula>
    </cfRule>
    <cfRule type="cellIs" dxfId="4387" priority="941" operator="equal">
      <formula>"ACORDE A ITEM 5.2.1 (T.R.)"</formula>
    </cfRule>
  </conditionalFormatting>
  <conditionalFormatting sqref="Q211">
    <cfRule type="containsBlanks" dxfId="4386" priority="932">
      <formula>LEN(TRIM(Q211))=0</formula>
    </cfRule>
    <cfRule type="cellIs" dxfId="4385" priority="938" operator="equal">
      <formula>"REQUERIMIENTOS SUBSANADOS"</formula>
    </cfRule>
    <cfRule type="containsText" dxfId="4384" priority="942" operator="containsText" text="NO SUBSANABLE">
      <formula>NOT(ISERROR(SEARCH("NO SUBSANABLE",Q211)))</formula>
    </cfRule>
    <cfRule type="containsText" dxfId="4383" priority="943" operator="containsText" text="PENDIENTES POR SUBSANAR">
      <formula>NOT(ISERROR(SEARCH("PENDIENTES POR SUBSANAR",Q211)))</formula>
    </cfRule>
    <cfRule type="containsText" dxfId="4382" priority="944" operator="containsText" text="SIN OBSERVACIÓN">
      <formula>NOT(ISERROR(SEARCH("SIN OBSERVACIÓN",Q211)))</formula>
    </cfRule>
  </conditionalFormatting>
  <conditionalFormatting sqref="R211">
    <cfRule type="containsBlanks" dxfId="4381" priority="931">
      <formula>LEN(TRIM(R211))=0</formula>
    </cfRule>
    <cfRule type="cellIs" dxfId="4380" priority="933" operator="equal">
      <formula>"NO CUMPLEN CON LO SOLICITADO"</formula>
    </cfRule>
    <cfRule type="cellIs" dxfId="4379" priority="934" operator="equal">
      <formula>"CUMPLEN CON LO SOLICITADO"</formula>
    </cfRule>
    <cfRule type="cellIs" dxfId="4378" priority="935" operator="equal">
      <formula>"PENDIENTES"</formula>
    </cfRule>
    <cfRule type="cellIs" dxfId="4377" priority="936" operator="equal">
      <formula>"NINGUNO"</formula>
    </cfRule>
  </conditionalFormatting>
  <conditionalFormatting sqref="P211">
    <cfRule type="expression" dxfId="4376" priority="922">
      <formula>Q211="NO SUBSANABLE"</formula>
    </cfRule>
    <cfRule type="expression" dxfId="4375" priority="923">
      <formula>Q211="REQUERIMIENTOS SUBSANADOS"</formula>
    </cfRule>
    <cfRule type="expression" dxfId="4374" priority="924">
      <formula>Q211="PENDIENTES POR SUBSANAR"</formula>
    </cfRule>
    <cfRule type="expression" dxfId="4373" priority="925">
      <formula>Q211="SIN OBSERVACIÓN"</formula>
    </cfRule>
    <cfRule type="containsBlanks" dxfId="4372" priority="926">
      <formula>LEN(TRIM(P211))=0</formula>
    </cfRule>
  </conditionalFormatting>
  <conditionalFormatting sqref="S189">
    <cfRule type="cellIs" dxfId="4371" priority="918" operator="greaterThan">
      <formula>0</formula>
    </cfRule>
    <cfRule type="top10" dxfId="4370" priority="919" rank="10"/>
  </conditionalFormatting>
  <conditionalFormatting sqref="N189">
    <cfRule type="expression" dxfId="4369" priority="915">
      <formula>N189=" "</formula>
    </cfRule>
    <cfRule type="expression" dxfId="4368" priority="916">
      <formula>N189="NO PRESENTÓ CERTIFICADO"</formula>
    </cfRule>
    <cfRule type="expression" dxfId="4367" priority="917">
      <formula>N189="PRESENTÓ CERTIFICADO"</formula>
    </cfRule>
  </conditionalFormatting>
  <conditionalFormatting sqref="O189">
    <cfRule type="cellIs" dxfId="4366" priority="897" operator="equal">
      <formula>"PENDIENTE POR DESCRIPCIÓN"</formula>
    </cfRule>
    <cfRule type="cellIs" dxfId="4365" priority="898" operator="equal">
      <formula>"DESCRIPCIÓN INSUFICIENTE"</formula>
    </cfRule>
    <cfRule type="cellIs" dxfId="4364" priority="899" operator="equal">
      <formula>"NO ESTÁ ACORDE A ITEM 5.2.2 (T.R.)"</formula>
    </cfRule>
    <cfRule type="cellIs" dxfId="4363" priority="900" operator="equal">
      <formula>"ACORDE A ITEM 5.2.2 (T.R.)"</formula>
    </cfRule>
    <cfRule type="cellIs" dxfId="4362" priority="907" operator="equal">
      <formula>"PENDIENTE POR DESCRIPCIÓN"</formula>
    </cfRule>
    <cfRule type="cellIs" dxfId="4361" priority="909" operator="equal">
      <formula>"DESCRIPCIÓN INSUFICIENTE"</formula>
    </cfRule>
    <cfRule type="cellIs" dxfId="4360" priority="910" operator="equal">
      <formula>"NO ESTÁ ACORDE A ITEM 5.2.1 (T.R.)"</formula>
    </cfRule>
    <cfRule type="cellIs" dxfId="4359" priority="911" operator="equal">
      <formula>"ACORDE A ITEM 5.2.1 (T.R.)"</formula>
    </cfRule>
  </conditionalFormatting>
  <conditionalFormatting sqref="Q189">
    <cfRule type="containsBlanks" dxfId="4358" priority="902">
      <formula>LEN(TRIM(Q189))=0</formula>
    </cfRule>
    <cfRule type="cellIs" dxfId="4357" priority="908" operator="equal">
      <formula>"REQUERIMIENTOS SUBSANADOS"</formula>
    </cfRule>
    <cfRule type="containsText" dxfId="4356" priority="912" operator="containsText" text="NO SUBSANABLE">
      <formula>NOT(ISERROR(SEARCH("NO SUBSANABLE",Q189)))</formula>
    </cfRule>
    <cfRule type="containsText" dxfId="4355" priority="913" operator="containsText" text="PENDIENTES POR SUBSANAR">
      <formula>NOT(ISERROR(SEARCH("PENDIENTES POR SUBSANAR",Q189)))</formula>
    </cfRule>
    <cfRule type="containsText" dxfId="4354" priority="914" operator="containsText" text="SIN OBSERVACIÓN">
      <formula>NOT(ISERROR(SEARCH("SIN OBSERVACIÓN",Q189)))</formula>
    </cfRule>
  </conditionalFormatting>
  <conditionalFormatting sqref="R189">
    <cfRule type="containsBlanks" dxfId="4353" priority="901">
      <formula>LEN(TRIM(R189))=0</formula>
    </cfRule>
    <cfRule type="cellIs" dxfId="4352" priority="903" operator="equal">
      <formula>"NO CUMPLEN CON LO SOLICITADO"</formula>
    </cfRule>
    <cfRule type="cellIs" dxfId="4351" priority="904" operator="equal">
      <formula>"CUMPLEN CON LO SOLICITADO"</formula>
    </cfRule>
    <cfRule type="cellIs" dxfId="4350" priority="905" operator="equal">
      <formula>"PENDIENTES"</formula>
    </cfRule>
    <cfRule type="cellIs" dxfId="4349" priority="906" operator="equal">
      <formula>"NINGUNO"</formula>
    </cfRule>
  </conditionalFormatting>
  <conditionalFormatting sqref="P189">
    <cfRule type="expression" dxfId="4348" priority="892">
      <formula>Q189="NO SUBSANABLE"</formula>
    </cfRule>
    <cfRule type="expression" dxfId="4347" priority="893">
      <formula>Q189="REQUERIMIENTOS SUBSANADOS"</formula>
    </cfRule>
    <cfRule type="expression" dxfId="4346" priority="894">
      <formula>Q189="PENDIENTES POR SUBSANAR"</formula>
    </cfRule>
    <cfRule type="expression" dxfId="4345" priority="895">
      <formula>Q189="SIN OBSERVACIÓN"</formula>
    </cfRule>
    <cfRule type="containsBlanks" dxfId="4344" priority="896">
      <formula>LEN(TRIM(P189))=0</formula>
    </cfRule>
  </conditionalFormatting>
  <conditionalFormatting sqref="U211:U213">
    <cfRule type="cellIs" dxfId="4343" priority="890" operator="equal">
      <formula>0</formula>
    </cfRule>
    <cfRule type="cellIs" dxfId="4342" priority="891" operator="equal">
      <formula>1</formula>
    </cfRule>
  </conditionalFormatting>
  <conditionalFormatting sqref="U189:U191">
    <cfRule type="cellIs" dxfId="4341" priority="888" operator="equal">
      <formula>0</formula>
    </cfRule>
    <cfRule type="cellIs" dxfId="4340" priority="889" operator="equal">
      <formula>1</formula>
    </cfRule>
  </conditionalFormatting>
  <conditionalFormatting sqref="H170 H173">
    <cfRule type="notContainsBlanks" dxfId="4339" priority="887">
      <formula>LEN(TRIM(H170))&gt;0</formula>
    </cfRule>
  </conditionalFormatting>
  <conditionalFormatting sqref="N179">
    <cfRule type="expression" dxfId="4338" priority="882">
      <formula>N179=" "</formula>
    </cfRule>
    <cfRule type="expression" dxfId="4337" priority="883">
      <formula>N179="NO PRESENTÓ CERTIFICADO"</formula>
    </cfRule>
    <cfRule type="expression" dxfId="4336" priority="884">
      <formula>N179="PRESENTÓ CERTIFICADO"</formula>
    </cfRule>
  </conditionalFormatting>
  <conditionalFormatting sqref="O179">
    <cfRule type="cellIs" dxfId="4335" priority="864" operator="equal">
      <formula>"PENDIENTE POR DESCRIPCIÓN"</formula>
    </cfRule>
    <cfRule type="cellIs" dxfId="4334" priority="865" operator="equal">
      <formula>"DESCRIPCIÓN INSUFICIENTE"</formula>
    </cfRule>
    <cfRule type="cellIs" dxfId="4333" priority="866" operator="equal">
      <formula>"NO ESTÁ ACORDE A ITEM 5.2.2 (T.R.)"</formula>
    </cfRule>
    <cfRule type="cellIs" dxfId="4332" priority="867" operator="equal">
      <formula>"ACORDE A ITEM 5.2.2 (T.R.)"</formula>
    </cfRule>
    <cfRule type="cellIs" dxfId="4331" priority="874" operator="equal">
      <formula>"PENDIENTE POR DESCRIPCIÓN"</formula>
    </cfRule>
    <cfRule type="cellIs" dxfId="4330" priority="876" operator="equal">
      <formula>"DESCRIPCIÓN INSUFICIENTE"</formula>
    </cfRule>
    <cfRule type="cellIs" dxfId="4329" priority="877" operator="equal">
      <formula>"NO ESTÁ ACORDE A ITEM 5.2.1 (T.R.)"</formula>
    </cfRule>
    <cfRule type="cellIs" dxfId="4328" priority="878" operator="equal">
      <formula>"ACORDE A ITEM 5.2.1 (T.R.)"</formula>
    </cfRule>
  </conditionalFormatting>
  <conditionalFormatting sqref="Q179">
    <cfRule type="containsBlanks" dxfId="4327" priority="869">
      <formula>LEN(TRIM(Q179))=0</formula>
    </cfRule>
    <cfRule type="cellIs" dxfId="4326" priority="875" operator="equal">
      <formula>"REQUERIMIENTOS SUBSANADOS"</formula>
    </cfRule>
    <cfRule type="containsText" dxfId="4325" priority="879" operator="containsText" text="NO SUBSANABLE">
      <formula>NOT(ISERROR(SEARCH("NO SUBSANABLE",Q179)))</formula>
    </cfRule>
    <cfRule type="containsText" dxfId="4324" priority="880" operator="containsText" text="PENDIENTES POR SUBSANAR">
      <formula>NOT(ISERROR(SEARCH("PENDIENTES POR SUBSANAR",Q179)))</formula>
    </cfRule>
    <cfRule type="containsText" dxfId="4323" priority="881" operator="containsText" text="SIN OBSERVACIÓN">
      <formula>NOT(ISERROR(SEARCH("SIN OBSERVACIÓN",Q179)))</formula>
    </cfRule>
  </conditionalFormatting>
  <conditionalFormatting sqref="R179">
    <cfRule type="containsBlanks" dxfId="4322" priority="868">
      <formula>LEN(TRIM(R179))=0</formula>
    </cfRule>
    <cfRule type="cellIs" dxfId="4321" priority="870" operator="equal">
      <formula>"NO CUMPLEN CON LO SOLICITADO"</formula>
    </cfRule>
    <cfRule type="cellIs" dxfId="4320" priority="871" operator="equal">
      <formula>"CUMPLEN CON LO SOLICITADO"</formula>
    </cfRule>
    <cfRule type="cellIs" dxfId="4319" priority="872" operator="equal">
      <formula>"PENDIENTES"</formula>
    </cfRule>
    <cfRule type="cellIs" dxfId="4318" priority="873" operator="equal">
      <formula>"NINGUNO"</formula>
    </cfRule>
  </conditionalFormatting>
  <conditionalFormatting sqref="P179">
    <cfRule type="expression" dxfId="4317" priority="859">
      <formula>Q179="NO SUBSANABLE"</formula>
    </cfRule>
    <cfRule type="expression" dxfId="4316" priority="860">
      <formula>Q179="REQUERIMIENTOS SUBSANADOS"</formula>
    </cfRule>
    <cfRule type="expression" dxfId="4315" priority="861">
      <formula>Q179="PENDIENTES POR SUBSANAR"</formula>
    </cfRule>
    <cfRule type="expression" dxfId="4314" priority="862">
      <formula>Q179="SIN OBSERVACIÓN"</formula>
    </cfRule>
    <cfRule type="containsBlanks" dxfId="4313" priority="863">
      <formula>LEN(TRIM(P179))=0</formula>
    </cfRule>
  </conditionalFormatting>
  <conditionalFormatting sqref="N170">
    <cfRule type="expression" dxfId="4312" priority="856">
      <formula>N170=" "</formula>
    </cfRule>
    <cfRule type="expression" dxfId="4311" priority="857">
      <formula>N170="NO PRESENTÓ CERTIFICADO"</formula>
    </cfRule>
    <cfRule type="expression" dxfId="4310" priority="858">
      <formula>N170="PRESENTÓ CERTIFICADO"</formula>
    </cfRule>
  </conditionalFormatting>
  <conditionalFormatting sqref="O170">
    <cfRule type="cellIs" dxfId="4309" priority="838" operator="equal">
      <formula>"PENDIENTE POR DESCRIPCIÓN"</formula>
    </cfRule>
    <cfRule type="cellIs" dxfId="4308" priority="839" operator="equal">
      <formula>"DESCRIPCIÓN INSUFICIENTE"</formula>
    </cfRule>
    <cfRule type="cellIs" dxfId="4307" priority="840" operator="equal">
      <formula>"NO ESTÁ ACORDE A ITEM 5.2.2 (T.R.)"</formula>
    </cfRule>
    <cfRule type="cellIs" dxfId="4306" priority="841" operator="equal">
      <formula>"ACORDE A ITEM 5.2.2 (T.R.)"</formula>
    </cfRule>
    <cfRule type="cellIs" dxfId="4305" priority="848" operator="equal">
      <formula>"PENDIENTE POR DESCRIPCIÓN"</formula>
    </cfRule>
    <cfRule type="cellIs" dxfId="4304" priority="850" operator="equal">
      <formula>"DESCRIPCIÓN INSUFICIENTE"</formula>
    </cfRule>
    <cfRule type="cellIs" dxfId="4303" priority="851" operator="equal">
      <formula>"NO ESTÁ ACORDE A ITEM 5.2.1 (T.R.)"</formula>
    </cfRule>
    <cfRule type="cellIs" dxfId="4302" priority="852" operator="equal">
      <formula>"ACORDE A ITEM 5.2.1 (T.R.)"</formula>
    </cfRule>
  </conditionalFormatting>
  <conditionalFormatting sqref="Q170">
    <cfRule type="containsBlanks" dxfId="4301" priority="843">
      <formula>LEN(TRIM(Q170))=0</formula>
    </cfRule>
    <cfRule type="cellIs" dxfId="4300" priority="849" operator="equal">
      <formula>"REQUERIMIENTOS SUBSANADOS"</formula>
    </cfRule>
    <cfRule type="containsText" dxfId="4299" priority="853" operator="containsText" text="NO SUBSANABLE">
      <formula>NOT(ISERROR(SEARCH("NO SUBSANABLE",Q170)))</formula>
    </cfRule>
    <cfRule type="containsText" dxfId="4298" priority="854" operator="containsText" text="PENDIENTES POR SUBSANAR">
      <formula>NOT(ISERROR(SEARCH("PENDIENTES POR SUBSANAR",Q170)))</formula>
    </cfRule>
    <cfRule type="containsText" dxfId="4297" priority="855" operator="containsText" text="SIN OBSERVACIÓN">
      <formula>NOT(ISERROR(SEARCH("SIN OBSERVACIÓN",Q170)))</formula>
    </cfRule>
  </conditionalFormatting>
  <conditionalFormatting sqref="R170">
    <cfRule type="containsBlanks" dxfId="4296" priority="842">
      <formula>LEN(TRIM(R170))=0</formula>
    </cfRule>
    <cfRule type="cellIs" dxfId="4295" priority="844" operator="equal">
      <formula>"NO CUMPLEN CON LO SOLICITADO"</formula>
    </cfRule>
    <cfRule type="cellIs" dxfId="4294" priority="845" operator="equal">
      <formula>"CUMPLEN CON LO SOLICITADO"</formula>
    </cfRule>
    <cfRule type="cellIs" dxfId="4293" priority="846" operator="equal">
      <formula>"PENDIENTES"</formula>
    </cfRule>
    <cfRule type="cellIs" dxfId="4292" priority="847" operator="equal">
      <formula>"NINGUNO"</formula>
    </cfRule>
  </conditionalFormatting>
  <conditionalFormatting sqref="P170">
    <cfRule type="expression" dxfId="4291" priority="833">
      <formula>Q170="NO SUBSANABLE"</formula>
    </cfRule>
    <cfRule type="expression" dxfId="4290" priority="834">
      <formula>Q170="REQUERIMIENTOS SUBSANADOS"</formula>
    </cfRule>
    <cfRule type="expression" dxfId="4289" priority="835">
      <formula>Q170="PENDIENTES POR SUBSANAR"</formula>
    </cfRule>
    <cfRule type="expression" dxfId="4288" priority="836">
      <formula>Q170="SIN OBSERVACIÓN"</formula>
    </cfRule>
    <cfRule type="containsBlanks" dxfId="4287" priority="837">
      <formula>LEN(TRIM(P170))=0</formula>
    </cfRule>
  </conditionalFormatting>
  <conditionalFormatting sqref="N167">
    <cfRule type="expression" dxfId="4286" priority="830">
      <formula>N167=" "</formula>
    </cfRule>
    <cfRule type="expression" dxfId="4285" priority="831">
      <formula>N167="NO PRESENTÓ CERTIFICADO"</formula>
    </cfRule>
    <cfRule type="expression" dxfId="4284" priority="832">
      <formula>N167="PRESENTÓ CERTIFICADO"</formula>
    </cfRule>
  </conditionalFormatting>
  <conditionalFormatting sqref="O167">
    <cfRule type="cellIs" dxfId="4283" priority="812" operator="equal">
      <formula>"PENDIENTE POR DESCRIPCIÓN"</formula>
    </cfRule>
    <cfRule type="cellIs" dxfId="4282" priority="813" operator="equal">
      <formula>"DESCRIPCIÓN INSUFICIENTE"</formula>
    </cfRule>
    <cfRule type="cellIs" dxfId="4281" priority="814" operator="equal">
      <formula>"NO ESTÁ ACORDE A ITEM 5.2.2 (T.R.)"</formula>
    </cfRule>
    <cfRule type="cellIs" dxfId="4280" priority="815" operator="equal">
      <formula>"ACORDE A ITEM 5.2.2 (T.R.)"</formula>
    </cfRule>
    <cfRule type="cellIs" dxfId="4279" priority="822" operator="equal">
      <formula>"PENDIENTE POR DESCRIPCIÓN"</formula>
    </cfRule>
    <cfRule type="cellIs" dxfId="4278" priority="824" operator="equal">
      <formula>"DESCRIPCIÓN INSUFICIENTE"</formula>
    </cfRule>
    <cfRule type="cellIs" dxfId="4277" priority="825" operator="equal">
      <formula>"NO ESTÁ ACORDE A ITEM 5.2.1 (T.R.)"</formula>
    </cfRule>
    <cfRule type="cellIs" dxfId="4276" priority="826" operator="equal">
      <formula>"ACORDE A ITEM 5.2.1 (T.R.)"</formula>
    </cfRule>
  </conditionalFormatting>
  <conditionalFormatting sqref="Q167">
    <cfRule type="containsBlanks" dxfId="4275" priority="817">
      <formula>LEN(TRIM(Q167))=0</formula>
    </cfRule>
    <cfRule type="cellIs" dxfId="4274" priority="823" operator="equal">
      <formula>"REQUERIMIENTOS SUBSANADOS"</formula>
    </cfRule>
    <cfRule type="containsText" dxfId="4273" priority="827" operator="containsText" text="NO SUBSANABLE">
      <formula>NOT(ISERROR(SEARCH("NO SUBSANABLE",Q167)))</formula>
    </cfRule>
    <cfRule type="containsText" dxfId="4272" priority="828" operator="containsText" text="PENDIENTES POR SUBSANAR">
      <formula>NOT(ISERROR(SEARCH("PENDIENTES POR SUBSANAR",Q167)))</formula>
    </cfRule>
    <cfRule type="containsText" dxfId="4271" priority="829" operator="containsText" text="SIN OBSERVACIÓN">
      <formula>NOT(ISERROR(SEARCH("SIN OBSERVACIÓN",Q167)))</formula>
    </cfRule>
  </conditionalFormatting>
  <conditionalFormatting sqref="R167">
    <cfRule type="containsBlanks" dxfId="4270" priority="816">
      <formula>LEN(TRIM(R167))=0</formula>
    </cfRule>
    <cfRule type="cellIs" dxfId="4269" priority="818" operator="equal">
      <formula>"NO CUMPLEN CON LO SOLICITADO"</formula>
    </cfRule>
    <cfRule type="cellIs" dxfId="4268" priority="819" operator="equal">
      <formula>"CUMPLEN CON LO SOLICITADO"</formula>
    </cfRule>
    <cfRule type="cellIs" dxfId="4267" priority="820" operator="equal">
      <formula>"PENDIENTES"</formula>
    </cfRule>
    <cfRule type="cellIs" dxfId="4266" priority="821" operator="equal">
      <formula>"NINGUNO"</formula>
    </cfRule>
  </conditionalFormatting>
  <conditionalFormatting sqref="P167">
    <cfRule type="expression" dxfId="4265" priority="807">
      <formula>Q167="NO SUBSANABLE"</formula>
    </cfRule>
    <cfRule type="expression" dxfId="4264" priority="808">
      <formula>Q167="REQUERIMIENTOS SUBSANADOS"</formula>
    </cfRule>
    <cfRule type="expression" dxfId="4263" priority="809">
      <formula>Q167="PENDIENTES POR SUBSANAR"</formula>
    </cfRule>
    <cfRule type="expression" dxfId="4262" priority="810">
      <formula>Q167="SIN OBSERVACIÓN"</formula>
    </cfRule>
    <cfRule type="containsBlanks" dxfId="4261" priority="811">
      <formula>LEN(TRIM(P167))=0</formula>
    </cfRule>
  </conditionalFormatting>
  <conditionalFormatting sqref="N176">
    <cfRule type="expression" dxfId="4260" priority="802">
      <formula>N176=" "</formula>
    </cfRule>
    <cfRule type="expression" dxfId="4259" priority="803">
      <formula>N176="NO PRESENTÓ CERTIFICADO"</formula>
    </cfRule>
    <cfRule type="expression" dxfId="4258" priority="804">
      <formula>N176="PRESENTÓ CERTIFICADO"</formula>
    </cfRule>
  </conditionalFormatting>
  <conditionalFormatting sqref="O176">
    <cfRule type="cellIs" dxfId="4257" priority="784" operator="equal">
      <formula>"PENDIENTE POR DESCRIPCIÓN"</formula>
    </cfRule>
    <cfRule type="cellIs" dxfId="4256" priority="785" operator="equal">
      <formula>"DESCRIPCIÓN INSUFICIENTE"</formula>
    </cfRule>
    <cfRule type="cellIs" dxfId="4255" priority="786" operator="equal">
      <formula>"NO ESTÁ ACORDE A ITEM 5.2.2 (T.R.)"</formula>
    </cfRule>
    <cfRule type="cellIs" dxfId="4254" priority="787" operator="equal">
      <formula>"ACORDE A ITEM 5.2.2 (T.R.)"</formula>
    </cfRule>
    <cfRule type="cellIs" dxfId="4253" priority="794" operator="equal">
      <formula>"PENDIENTE POR DESCRIPCIÓN"</formula>
    </cfRule>
    <cfRule type="cellIs" dxfId="4252" priority="796" operator="equal">
      <formula>"DESCRIPCIÓN INSUFICIENTE"</formula>
    </cfRule>
    <cfRule type="cellIs" dxfId="4251" priority="797" operator="equal">
      <formula>"NO ESTÁ ACORDE A ITEM 5.2.1 (T.R.)"</formula>
    </cfRule>
    <cfRule type="cellIs" dxfId="4250" priority="798" operator="equal">
      <formula>"ACORDE A ITEM 5.2.1 (T.R.)"</formula>
    </cfRule>
  </conditionalFormatting>
  <conditionalFormatting sqref="Q176">
    <cfRule type="containsBlanks" dxfId="4249" priority="789">
      <formula>LEN(TRIM(Q176))=0</formula>
    </cfRule>
    <cfRule type="cellIs" dxfId="4248" priority="795" operator="equal">
      <formula>"REQUERIMIENTOS SUBSANADOS"</formula>
    </cfRule>
    <cfRule type="containsText" dxfId="4247" priority="799" operator="containsText" text="NO SUBSANABLE">
      <formula>NOT(ISERROR(SEARCH("NO SUBSANABLE",Q176)))</formula>
    </cfRule>
    <cfRule type="containsText" dxfId="4246" priority="800" operator="containsText" text="PENDIENTES POR SUBSANAR">
      <formula>NOT(ISERROR(SEARCH("PENDIENTES POR SUBSANAR",Q176)))</formula>
    </cfRule>
    <cfRule type="containsText" dxfId="4245" priority="801" operator="containsText" text="SIN OBSERVACIÓN">
      <formula>NOT(ISERROR(SEARCH("SIN OBSERVACIÓN",Q176)))</formula>
    </cfRule>
  </conditionalFormatting>
  <conditionalFormatting sqref="R176">
    <cfRule type="containsBlanks" dxfId="4244" priority="788">
      <formula>LEN(TRIM(R176))=0</formula>
    </cfRule>
    <cfRule type="cellIs" dxfId="4243" priority="790" operator="equal">
      <formula>"NO CUMPLEN CON LO SOLICITADO"</formula>
    </cfRule>
    <cfRule type="cellIs" dxfId="4242" priority="791" operator="equal">
      <formula>"CUMPLEN CON LO SOLICITADO"</formula>
    </cfRule>
    <cfRule type="cellIs" dxfId="4241" priority="792" operator="equal">
      <formula>"PENDIENTES"</formula>
    </cfRule>
    <cfRule type="cellIs" dxfId="4240" priority="793" operator="equal">
      <formula>"NINGUNO"</formula>
    </cfRule>
  </conditionalFormatting>
  <conditionalFormatting sqref="N173">
    <cfRule type="expression" dxfId="4239" priority="776">
      <formula>N173=" "</formula>
    </cfRule>
    <cfRule type="expression" dxfId="4238" priority="777">
      <formula>N173="NO PRESENTÓ CERTIFICADO"</formula>
    </cfRule>
    <cfRule type="expression" dxfId="4237" priority="778">
      <formula>N173="PRESENTÓ CERTIFICADO"</formula>
    </cfRule>
  </conditionalFormatting>
  <conditionalFormatting sqref="O173">
    <cfRule type="cellIs" dxfId="4236" priority="758" operator="equal">
      <formula>"PENDIENTE POR DESCRIPCIÓN"</formula>
    </cfRule>
    <cfRule type="cellIs" dxfId="4235" priority="759" operator="equal">
      <formula>"DESCRIPCIÓN INSUFICIENTE"</formula>
    </cfRule>
    <cfRule type="cellIs" dxfId="4234" priority="760" operator="equal">
      <formula>"NO ESTÁ ACORDE A ITEM 5.2.2 (T.R.)"</formula>
    </cfRule>
    <cfRule type="cellIs" dxfId="4233" priority="761" operator="equal">
      <formula>"ACORDE A ITEM 5.2.2 (T.R.)"</formula>
    </cfRule>
    <cfRule type="cellIs" dxfId="4232" priority="768" operator="equal">
      <formula>"PENDIENTE POR DESCRIPCIÓN"</formula>
    </cfRule>
    <cfRule type="cellIs" dxfId="4231" priority="770" operator="equal">
      <formula>"DESCRIPCIÓN INSUFICIENTE"</formula>
    </cfRule>
    <cfRule type="cellIs" dxfId="4230" priority="771" operator="equal">
      <formula>"NO ESTÁ ACORDE A ITEM 5.2.1 (T.R.)"</formula>
    </cfRule>
    <cfRule type="cellIs" dxfId="4229" priority="772" operator="equal">
      <formula>"ACORDE A ITEM 5.2.1 (T.R.)"</formula>
    </cfRule>
  </conditionalFormatting>
  <conditionalFormatting sqref="Q173">
    <cfRule type="containsBlanks" dxfId="4228" priority="763">
      <formula>LEN(TRIM(Q173))=0</formula>
    </cfRule>
    <cfRule type="cellIs" dxfId="4227" priority="769" operator="equal">
      <formula>"REQUERIMIENTOS SUBSANADOS"</formula>
    </cfRule>
    <cfRule type="containsText" dxfId="4226" priority="773" operator="containsText" text="NO SUBSANABLE">
      <formula>NOT(ISERROR(SEARCH("NO SUBSANABLE",Q173)))</formula>
    </cfRule>
    <cfRule type="containsText" dxfId="4225" priority="774" operator="containsText" text="PENDIENTES POR SUBSANAR">
      <formula>NOT(ISERROR(SEARCH("PENDIENTES POR SUBSANAR",Q173)))</formula>
    </cfRule>
    <cfRule type="containsText" dxfId="4224" priority="775" operator="containsText" text="SIN OBSERVACIÓN">
      <formula>NOT(ISERROR(SEARCH("SIN OBSERVACIÓN",Q173)))</formula>
    </cfRule>
  </conditionalFormatting>
  <conditionalFormatting sqref="R173">
    <cfRule type="containsBlanks" dxfId="4223" priority="762">
      <formula>LEN(TRIM(R173))=0</formula>
    </cfRule>
    <cfRule type="cellIs" dxfId="4222" priority="764" operator="equal">
      <formula>"NO CUMPLEN CON LO SOLICITADO"</formula>
    </cfRule>
    <cfRule type="cellIs" dxfId="4221" priority="765" operator="equal">
      <formula>"CUMPLEN CON LO SOLICITADO"</formula>
    </cfRule>
    <cfRule type="cellIs" dxfId="4220" priority="766" operator="equal">
      <formula>"PENDIENTES"</formula>
    </cfRule>
    <cfRule type="cellIs" dxfId="4219" priority="767" operator="equal">
      <formula>"NINGUNO"</formula>
    </cfRule>
  </conditionalFormatting>
  <conditionalFormatting sqref="P173">
    <cfRule type="expression" dxfId="4218" priority="753">
      <formula>Q173="NO SUBSANABLE"</formula>
    </cfRule>
    <cfRule type="expression" dxfId="4217" priority="754">
      <formula>Q173="REQUERIMIENTOS SUBSANADOS"</formula>
    </cfRule>
    <cfRule type="expression" dxfId="4216" priority="755">
      <formula>Q173="PENDIENTES POR SUBSANAR"</formula>
    </cfRule>
    <cfRule type="expression" dxfId="4215" priority="756">
      <formula>Q173="SIN OBSERVACIÓN"</formula>
    </cfRule>
    <cfRule type="containsBlanks" dxfId="4214" priority="757">
      <formula>LEN(TRIM(P173))=0</formula>
    </cfRule>
  </conditionalFormatting>
  <conditionalFormatting sqref="J168">
    <cfRule type="cellIs" dxfId="4213" priority="751" operator="equal">
      <formula>"NO CUMPLE"</formula>
    </cfRule>
    <cfRule type="cellIs" dxfId="4212" priority="752" operator="equal">
      <formula>"CUMPLE"</formula>
    </cfRule>
  </conditionalFormatting>
  <conditionalFormatting sqref="J169">
    <cfRule type="cellIs" dxfId="4211" priority="749" operator="equal">
      <formula>"NO CUMPLE"</formula>
    </cfRule>
    <cfRule type="cellIs" dxfId="4210" priority="750" operator="equal">
      <formula>"CUMPLE"</formula>
    </cfRule>
  </conditionalFormatting>
  <conditionalFormatting sqref="J170:J172">
    <cfRule type="cellIs" dxfId="4209" priority="747" operator="equal">
      <formula>"NO CUMPLE"</formula>
    </cfRule>
    <cfRule type="cellIs" dxfId="4208" priority="748" operator="equal">
      <formula>"CUMPLE"</formula>
    </cfRule>
  </conditionalFormatting>
  <conditionalFormatting sqref="J173:J175">
    <cfRule type="cellIs" dxfId="4207" priority="745" operator="equal">
      <formula>"NO CUMPLE"</formula>
    </cfRule>
    <cfRule type="cellIs" dxfId="4206" priority="746" operator="equal">
      <formula>"CUMPLE"</formula>
    </cfRule>
  </conditionalFormatting>
  <conditionalFormatting sqref="J176:J178">
    <cfRule type="cellIs" dxfId="4205" priority="743" operator="equal">
      <formula>"NO CUMPLE"</formula>
    </cfRule>
    <cfRule type="cellIs" dxfId="4204" priority="744" operator="equal">
      <formula>"CUMPLE"</formula>
    </cfRule>
  </conditionalFormatting>
  <conditionalFormatting sqref="P176">
    <cfRule type="expression" dxfId="4203" priority="738">
      <formula>Q176="NO SUBSANABLE"</formula>
    </cfRule>
    <cfRule type="expression" dxfId="4202" priority="739">
      <formula>Q176="REQUERIMIENTOS SUBSANADOS"</formula>
    </cfRule>
    <cfRule type="expression" dxfId="4201" priority="740">
      <formula>Q176="PENDIENTES POR SUBSANAR"</formula>
    </cfRule>
    <cfRule type="expression" dxfId="4200" priority="741">
      <formula>Q176="SIN OBSERVACIÓN"</formula>
    </cfRule>
    <cfRule type="containsBlanks" dxfId="4199" priority="742">
      <formula>LEN(TRIM(P176))=0</formula>
    </cfRule>
  </conditionalFormatting>
  <conditionalFormatting sqref="J179">
    <cfRule type="cellIs" dxfId="4198" priority="736" operator="equal">
      <formula>"NO CUMPLE"</formula>
    </cfRule>
    <cfRule type="cellIs" dxfId="4197" priority="737" operator="equal">
      <formula>"CUMPLE"</formula>
    </cfRule>
  </conditionalFormatting>
  <conditionalFormatting sqref="J180">
    <cfRule type="cellIs" dxfId="4196" priority="734" operator="equal">
      <formula>"NO CUMPLE"</formula>
    </cfRule>
    <cfRule type="cellIs" dxfId="4195" priority="735" operator="equal">
      <formula>"CUMPLE"</formula>
    </cfRule>
  </conditionalFormatting>
  <conditionalFormatting sqref="F148">
    <cfRule type="notContainsBlanks" dxfId="4194" priority="733">
      <formula>LEN(TRIM(F148))&gt;0</formula>
    </cfRule>
  </conditionalFormatting>
  <conditionalFormatting sqref="N145">
    <cfRule type="expression" dxfId="4193" priority="724">
      <formula>N145=" "</formula>
    </cfRule>
    <cfRule type="expression" dxfId="4192" priority="725">
      <formula>N145="NO PRESENTÓ CERTIFICADO"</formula>
    </cfRule>
    <cfRule type="expression" dxfId="4191" priority="726">
      <formula>N145="PRESENTÓ CERTIFICADO"</formula>
    </cfRule>
  </conditionalFormatting>
  <conditionalFormatting sqref="O145">
    <cfRule type="cellIs" dxfId="4190" priority="706" operator="equal">
      <formula>"PENDIENTE POR DESCRIPCIÓN"</formula>
    </cfRule>
    <cfRule type="cellIs" dxfId="4189" priority="707" operator="equal">
      <formula>"DESCRIPCIÓN INSUFICIENTE"</formula>
    </cfRule>
    <cfRule type="cellIs" dxfId="4188" priority="708" operator="equal">
      <formula>"NO ESTÁ ACORDE A ITEM 5.2.2 (T.R.)"</formula>
    </cfRule>
    <cfRule type="cellIs" dxfId="4187" priority="709" operator="equal">
      <formula>"ACORDE A ITEM 5.2.2 (T.R.)"</formula>
    </cfRule>
    <cfRule type="cellIs" dxfId="4186" priority="716" operator="equal">
      <formula>"PENDIENTE POR DESCRIPCIÓN"</formula>
    </cfRule>
    <cfRule type="cellIs" dxfId="4185" priority="718" operator="equal">
      <formula>"DESCRIPCIÓN INSUFICIENTE"</formula>
    </cfRule>
    <cfRule type="cellIs" dxfId="4184" priority="719" operator="equal">
      <formula>"NO ESTÁ ACORDE A ITEM 5.2.1 (T.R.)"</formula>
    </cfRule>
    <cfRule type="cellIs" dxfId="4183" priority="720" operator="equal">
      <formula>"ACORDE A ITEM 5.2.1 (T.R.)"</formula>
    </cfRule>
  </conditionalFormatting>
  <conditionalFormatting sqref="Q145">
    <cfRule type="containsBlanks" dxfId="4182" priority="711">
      <formula>LEN(TRIM(Q145))=0</formula>
    </cfRule>
    <cfRule type="cellIs" dxfId="4181" priority="717" operator="equal">
      <formula>"REQUERIMIENTOS SUBSANADOS"</formula>
    </cfRule>
    <cfRule type="containsText" dxfId="4180" priority="721" operator="containsText" text="NO SUBSANABLE">
      <formula>NOT(ISERROR(SEARCH("NO SUBSANABLE",Q145)))</formula>
    </cfRule>
    <cfRule type="containsText" dxfId="4179" priority="722" operator="containsText" text="PENDIENTES POR SUBSANAR">
      <formula>NOT(ISERROR(SEARCH("PENDIENTES POR SUBSANAR",Q145)))</formula>
    </cfRule>
    <cfRule type="containsText" dxfId="4178" priority="723" operator="containsText" text="SIN OBSERVACIÓN">
      <formula>NOT(ISERROR(SEARCH("SIN OBSERVACIÓN",Q145)))</formula>
    </cfRule>
  </conditionalFormatting>
  <conditionalFormatting sqref="R145">
    <cfRule type="containsBlanks" dxfId="4177" priority="710">
      <formula>LEN(TRIM(R145))=0</formula>
    </cfRule>
    <cfRule type="cellIs" dxfId="4176" priority="712" operator="equal">
      <formula>"NO CUMPLEN CON LO SOLICITADO"</formula>
    </cfRule>
    <cfRule type="cellIs" dxfId="4175" priority="713" operator="equal">
      <formula>"CUMPLEN CON LO SOLICITADO"</formula>
    </cfRule>
    <cfRule type="cellIs" dxfId="4174" priority="714" operator="equal">
      <formula>"PENDIENTES"</formula>
    </cfRule>
    <cfRule type="cellIs" dxfId="4173" priority="715" operator="equal">
      <formula>"NINGUNO"</formula>
    </cfRule>
  </conditionalFormatting>
  <conditionalFormatting sqref="P145">
    <cfRule type="expression" dxfId="4172" priority="701">
      <formula>Q145="NO SUBSANABLE"</formula>
    </cfRule>
    <cfRule type="expression" dxfId="4171" priority="702">
      <formula>Q145="REQUERIMIENTOS SUBSANADOS"</formula>
    </cfRule>
    <cfRule type="expression" dxfId="4170" priority="703">
      <formula>Q145="PENDIENTES POR SUBSANAR"</formula>
    </cfRule>
    <cfRule type="expression" dxfId="4169" priority="704">
      <formula>Q145="SIN OBSERVACIÓN"</formula>
    </cfRule>
    <cfRule type="containsBlanks" dxfId="4168" priority="705">
      <formula>LEN(TRIM(P145))=0</formula>
    </cfRule>
  </conditionalFormatting>
  <conditionalFormatting sqref="N148">
    <cfRule type="expression" dxfId="4167" priority="698">
      <formula>N148=" "</formula>
    </cfRule>
    <cfRule type="expression" dxfId="4166" priority="699">
      <formula>N148="NO PRESENTÓ CERTIFICADO"</formula>
    </cfRule>
    <cfRule type="expression" dxfId="4165" priority="700">
      <formula>N148="PRESENTÓ CERTIFICADO"</formula>
    </cfRule>
  </conditionalFormatting>
  <conditionalFormatting sqref="O148">
    <cfRule type="cellIs" dxfId="4164" priority="680" operator="equal">
      <formula>"PENDIENTE POR DESCRIPCIÓN"</formula>
    </cfRule>
    <cfRule type="cellIs" dxfId="4163" priority="681" operator="equal">
      <formula>"DESCRIPCIÓN INSUFICIENTE"</formula>
    </cfRule>
    <cfRule type="cellIs" dxfId="4162" priority="682" operator="equal">
      <formula>"NO ESTÁ ACORDE A ITEM 5.2.2 (T.R.)"</formula>
    </cfRule>
    <cfRule type="cellIs" dxfId="4161" priority="683" operator="equal">
      <formula>"ACORDE A ITEM 5.2.2 (T.R.)"</formula>
    </cfRule>
    <cfRule type="cellIs" dxfId="4160" priority="690" operator="equal">
      <formula>"PENDIENTE POR DESCRIPCIÓN"</formula>
    </cfRule>
    <cfRule type="cellIs" dxfId="4159" priority="692" operator="equal">
      <formula>"DESCRIPCIÓN INSUFICIENTE"</formula>
    </cfRule>
    <cfRule type="cellIs" dxfId="4158" priority="693" operator="equal">
      <formula>"NO ESTÁ ACORDE A ITEM 5.2.1 (T.R.)"</formula>
    </cfRule>
    <cfRule type="cellIs" dxfId="4157" priority="694" operator="equal">
      <formula>"ACORDE A ITEM 5.2.1 (T.R.)"</formula>
    </cfRule>
  </conditionalFormatting>
  <conditionalFormatting sqref="Q148">
    <cfRule type="containsBlanks" dxfId="4156" priority="685">
      <formula>LEN(TRIM(Q148))=0</formula>
    </cfRule>
    <cfRule type="cellIs" dxfId="4155" priority="691" operator="equal">
      <formula>"REQUERIMIENTOS SUBSANADOS"</formula>
    </cfRule>
    <cfRule type="containsText" dxfId="4154" priority="695" operator="containsText" text="NO SUBSANABLE">
      <formula>NOT(ISERROR(SEARCH("NO SUBSANABLE",Q148)))</formula>
    </cfRule>
    <cfRule type="containsText" dxfId="4153" priority="696" operator="containsText" text="PENDIENTES POR SUBSANAR">
      <formula>NOT(ISERROR(SEARCH("PENDIENTES POR SUBSANAR",Q148)))</formula>
    </cfRule>
    <cfRule type="containsText" dxfId="4152" priority="697" operator="containsText" text="SIN OBSERVACIÓN">
      <formula>NOT(ISERROR(SEARCH("SIN OBSERVACIÓN",Q148)))</formula>
    </cfRule>
  </conditionalFormatting>
  <conditionalFormatting sqref="R148">
    <cfRule type="containsBlanks" dxfId="4151" priority="684">
      <formula>LEN(TRIM(R148))=0</formula>
    </cfRule>
    <cfRule type="cellIs" dxfId="4150" priority="686" operator="equal">
      <formula>"NO CUMPLEN CON LO SOLICITADO"</formula>
    </cfRule>
    <cfRule type="cellIs" dxfId="4149" priority="687" operator="equal">
      <formula>"CUMPLEN CON LO SOLICITADO"</formula>
    </cfRule>
    <cfRule type="cellIs" dxfId="4148" priority="688" operator="equal">
      <formula>"PENDIENTES"</formula>
    </cfRule>
    <cfRule type="cellIs" dxfId="4147" priority="689" operator="equal">
      <formula>"NINGUNO"</formula>
    </cfRule>
  </conditionalFormatting>
  <conditionalFormatting sqref="P148">
    <cfRule type="expression" dxfId="4146" priority="675">
      <formula>Q148="NO SUBSANABLE"</formula>
    </cfRule>
    <cfRule type="expression" dxfId="4145" priority="676">
      <formula>Q148="REQUERIMIENTOS SUBSANADOS"</formula>
    </cfRule>
    <cfRule type="expression" dxfId="4144" priority="677">
      <formula>Q148="PENDIENTES POR SUBSANAR"</formula>
    </cfRule>
    <cfRule type="expression" dxfId="4143" priority="678">
      <formula>Q148="SIN OBSERVACIÓN"</formula>
    </cfRule>
    <cfRule type="containsBlanks" dxfId="4142" priority="679">
      <formula>LEN(TRIM(P148))=0</formula>
    </cfRule>
  </conditionalFormatting>
  <conditionalFormatting sqref="H126 H129">
    <cfRule type="notContainsBlanks" dxfId="4141" priority="674">
      <formula>LEN(TRIM(H126))&gt;0</formula>
    </cfRule>
  </conditionalFormatting>
  <conditionalFormatting sqref="I126 I129">
    <cfRule type="notContainsBlanks" dxfId="4140" priority="673">
      <formula>LEN(TRIM(I126))&gt;0</formula>
    </cfRule>
  </conditionalFormatting>
  <conditionalFormatting sqref="N123">
    <cfRule type="expression" dxfId="4139" priority="666">
      <formula>N123=" "</formula>
    </cfRule>
    <cfRule type="expression" dxfId="4138" priority="667">
      <formula>N123="NO PRESENTÓ CERTIFICADO"</formula>
    </cfRule>
    <cfRule type="expression" dxfId="4137" priority="668">
      <formula>N123="PRESENTÓ CERTIFICADO"</formula>
    </cfRule>
  </conditionalFormatting>
  <conditionalFormatting sqref="O123">
    <cfRule type="cellIs" dxfId="4136" priority="658" operator="equal">
      <formula>"PENDIENTE POR DESCRIPCIÓN"</formula>
    </cfRule>
    <cfRule type="cellIs" dxfId="4135" priority="659" operator="equal">
      <formula>"DESCRIPCIÓN INSUFICIENTE"</formula>
    </cfRule>
    <cfRule type="cellIs" dxfId="4134" priority="660" operator="equal">
      <formula>"NO ESTÁ ACORDE A ITEM 5.2.2 (T.R.)"</formula>
    </cfRule>
    <cfRule type="cellIs" dxfId="4133" priority="661" operator="equal">
      <formula>"ACORDE A ITEM 5.2.2 (T.R.)"</formula>
    </cfRule>
    <cfRule type="cellIs" dxfId="4132" priority="662" operator="equal">
      <formula>"PENDIENTE POR DESCRIPCIÓN"</formula>
    </cfRule>
    <cfRule type="cellIs" dxfId="4131" priority="663" operator="equal">
      <formula>"DESCRIPCIÓN INSUFICIENTE"</formula>
    </cfRule>
    <cfRule type="cellIs" dxfId="4130" priority="664" operator="equal">
      <formula>"NO ESTÁ ACORDE A ITEM 5.2.1 (T.R.)"</formula>
    </cfRule>
    <cfRule type="cellIs" dxfId="4129" priority="665" operator="equal">
      <formula>"ACORDE A ITEM 5.2.1 (T.R.)"</formula>
    </cfRule>
  </conditionalFormatting>
  <conditionalFormatting sqref="N126">
    <cfRule type="expression" dxfId="4128" priority="645">
      <formula>N126=" "</formula>
    </cfRule>
    <cfRule type="expression" dxfId="4127" priority="646">
      <formula>N126="NO PRESENTÓ CERTIFICADO"</formula>
    </cfRule>
    <cfRule type="expression" dxfId="4126" priority="647">
      <formula>N126="PRESENTÓ CERTIFICADO"</formula>
    </cfRule>
  </conditionalFormatting>
  <conditionalFormatting sqref="O126">
    <cfRule type="cellIs" dxfId="4125" priority="627" operator="equal">
      <formula>"PENDIENTE POR DESCRIPCIÓN"</formula>
    </cfRule>
    <cfRule type="cellIs" dxfId="4124" priority="628" operator="equal">
      <formula>"DESCRIPCIÓN INSUFICIENTE"</formula>
    </cfRule>
    <cfRule type="cellIs" dxfId="4123" priority="629" operator="equal">
      <formula>"NO ESTÁ ACORDE A ITEM 5.2.2 (T.R.)"</formula>
    </cfRule>
    <cfRule type="cellIs" dxfId="4122" priority="630" operator="equal">
      <formula>"ACORDE A ITEM 5.2.2 (T.R.)"</formula>
    </cfRule>
    <cfRule type="cellIs" dxfId="4121" priority="637" operator="equal">
      <formula>"PENDIENTE POR DESCRIPCIÓN"</formula>
    </cfRule>
    <cfRule type="cellIs" dxfId="4120" priority="639" operator="equal">
      <formula>"DESCRIPCIÓN INSUFICIENTE"</formula>
    </cfRule>
    <cfRule type="cellIs" dxfId="4119" priority="640" operator="equal">
      <formula>"NO ESTÁ ACORDE A ITEM 5.2.1 (T.R.)"</formula>
    </cfRule>
    <cfRule type="cellIs" dxfId="4118" priority="641" operator="equal">
      <formula>"ACORDE A ITEM 5.2.1 (T.R.)"</formula>
    </cfRule>
  </conditionalFormatting>
  <conditionalFormatting sqref="Q126">
    <cfRule type="containsBlanks" dxfId="4117" priority="632">
      <formula>LEN(TRIM(Q126))=0</formula>
    </cfRule>
    <cfRule type="cellIs" dxfId="4116" priority="638" operator="equal">
      <formula>"REQUERIMIENTOS SUBSANADOS"</formula>
    </cfRule>
    <cfRule type="containsText" dxfId="4115" priority="642" operator="containsText" text="NO SUBSANABLE">
      <formula>NOT(ISERROR(SEARCH("NO SUBSANABLE",Q126)))</formula>
    </cfRule>
    <cfRule type="containsText" dxfId="4114" priority="643" operator="containsText" text="PENDIENTES POR SUBSANAR">
      <formula>NOT(ISERROR(SEARCH("PENDIENTES POR SUBSANAR",Q126)))</formula>
    </cfRule>
    <cfRule type="containsText" dxfId="4113" priority="644" operator="containsText" text="SIN OBSERVACIÓN">
      <formula>NOT(ISERROR(SEARCH("SIN OBSERVACIÓN",Q126)))</formula>
    </cfRule>
  </conditionalFormatting>
  <conditionalFormatting sqref="R126">
    <cfRule type="containsBlanks" dxfId="4112" priority="631">
      <formula>LEN(TRIM(R126))=0</formula>
    </cfRule>
    <cfRule type="cellIs" dxfId="4111" priority="633" operator="equal">
      <formula>"NO CUMPLEN CON LO SOLICITADO"</formula>
    </cfRule>
    <cfRule type="cellIs" dxfId="4110" priority="634" operator="equal">
      <formula>"CUMPLEN CON LO SOLICITADO"</formula>
    </cfRule>
    <cfRule type="cellIs" dxfId="4109" priority="635" operator="equal">
      <formula>"PENDIENTES"</formula>
    </cfRule>
    <cfRule type="cellIs" dxfId="4108" priority="636" operator="equal">
      <formula>"NINGUNO"</formula>
    </cfRule>
  </conditionalFormatting>
  <conditionalFormatting sqref="P126">
    <cfRule type="expression" dxfId="4107" priority="622">
      <formula>Q126="NO SUBSANABLE"</formula>
    </cfRule>
    <cfRule type="expression" dxfId="4106" priority="623">
      <formula>Q126="REQUERIMIENTOS SUBSANADOS"</formula>
    </cfRule>
    <cfRule type="expression" dxfId="4105" priority="624">
      <formula>Q126="PENDIENTES POR SUBSANAR"</formula>
    </cfRule>
    <cfRule type="expression" dxfId="4104" priority="625">
      <formula>Q126="SIN OBSERVACIÓN"</formula>
    </cfRule>
    <cfRule type="containsBlanks" dxfId="4103" priority="626">
      <formula>LEN(TRIM(P126))=0</formula>
    </cfRule>
  </conditionalFormatting>
  <conditionalFormatting sqref="N129">
    <cfRule type="expression" dxfId="4102" priority="619">
      <formula>N129=" "</formula>
    </cfRule>
    <cfRule type="expression" dxfId="4101" priority="620">
      <formula>N129="NO PRESENTÓ CERTIFICADO"</formula>
    </cfRule>
    <cfRule type="expression" dxfId="4100" priority="621">
      <formula>N129="PRESENTÓ CERTIFICADO"</formula>
    </cfRule>
  </conditionalFormatting>
  <conditionalFormatting sqref="O129">
    <cfRule type="cellIs" dxfId="4099" priority="601" operator="equal">
      <formula>"PENDIENTE POR DESCRIPCIÓN"</formula>
    </cfRule>
    <cfRule type="cellIs" dxfId="4098" priority="602" operator="equal">
      <formula>"DESCRIPCIÓN INSUFICIENTE"</formula>
    </cfRule>
    <cfRule type="cellIs" dxfId="4097" priority="603" operator="equal">
      <formula>"NO ESTÁ ACORDE A ITEM 5.2.2 (T.R.)"</formula>
    </cfRule>
    <cfRule type="cellIs" dxfId="4096" priority="604" operator="equal">
      <formula>"ACORDE A ITEM 5.2.2 (T.R.)"</formula>
    </cfRule>
    <cfRule type="cellIs" dxfId="4095" priority="611" operator="equal">
      <formula>"PENDIENTE POR DESCRIPCIÓN"</formula>
    </cfRule>
    <cfRule type="cellIs" dxfId="4094" priority="613" operator="equal">
      <formula>"DESCRIPCIÓN INSUFICIENTE"</formula>
    </cfRule>
    <cfRule type="cellIs" dxfId="4093" priority="614" operator="equal">
      <formula>"NO ESTÁ ACORDE A ITEM 5.2.1 (T.R.)"</formula>
    </cfRule>
    <cfRule type="cellIs" dxfId="4092" priority="615" operator="equal">
      <formula>"ACORDE A ITEM 5.2.1 (T.R.)"</formula>
    </cfRule>
  </conditionalFormatting>
  <conditionalFormatting sqref="Q129">
    <cfRule type="containsBlanks" dxfId="4091" priority="606">
      <formula>LEN(TRIM(Q129))=0</formula>
    </cfRule>
    <cfRule type="cellIs" dxfId="4090" priority="612" operator="equal">
      <formula>"REQUERIMIENTOS SUBSANADOS"</formula>
    </cfRule>
    <cfRule type="containsText" dxfId="4089" priority="616" operator="containsText" text="NO SUBSANABLE">
      <formula>NOT(ISERROR(SEARCH("NO SUBSANABLE",Q129)))</formula>
    </cfRule>
    <cfRule type="containsText" dxfId="4088" priority="617" operator="containsText" text="PENDIENTES POR SUBSANAR">
      <formula>NOT(ISERROR(SEARCH("PENDIENTES POR SUBSANAR",Q129)))</formula>
    </cfRule>
    <cfRule type="containsText" dxfId="4087" priority="618" operator="containsText" text="SIN OBSERVACIÓN">
      <formula>NOT(ISERROR(SEARCH("SIN OBSERVACIÓN",Q129)))</formula>
    </cfRule>
  </conditionalFormatting>
  <conditionalFormatting sqref="R129">
    <cfRule type="containsBlanks" dxfId="4086" priority="605">
      <formula>LEN(TRIM(R129))=0</formula>
    </cfRule>
    <cfRule type="cellIs" dxfId="4085" priority="607" operator="equal">
      <formula>"NO CUMPLEN CON LO SOLICITADO"</formula>
    </cfRule>
    <cfRule type="cellIs" dxfId="4084" priority="608" operator="equal">
      <formula>"CUMPLEN CON LO SOLICITADO"</formula>
    </cfRule>
    <cfRule type="cellIs" dxfId="4083" priority="609" operator="equal">
      <formula>"PENDIENTES"</formula>
    </cfRule>
    <cfRule type="cellIs" dxfId="4082" priority="610" operator="equal">
      <formula>"NINGUNO"</formula>
    </cfRule>
  </conditionalFormatting>
  <conditionalFormatting sqref="P129">
    <cfRule type="expression" dxfId="4081" priority="596">
      <formula>Q129="NO SUBSANABLE"</formula>
    </cfRule>
    <cfRule type="expression" dxfId="4080" priority="597">
      <formula>Q129="REQUERIMIENTOS SUBSANADOS"</formula>
    </cfRule>
    <cfRule type="expression" dxfId="4079" priority="598">
      <formula>Q129="PENDIENTES POR SUBSANAR"</formula>
    </cfRule>
    <cfRule type="expression" dxfId="4078" priority="599">
      <formula>Q129="SIN OBSERVACIÓN"</formula>
    </cfRule>
    <cfRule type="containsBlanks" dxfId="4077" priority="600">
      <formula>LEN(TRIM(P129))=0</formula>
    </cfRule>
  </conditionalFormatting>
  <conditionalFormatting sqref="N132">
    <cfRule type="expression" dxfId="4076" priority="593">
      <formula>N132=" "</formula>
    </cfRule>
    <cfRule type="expression" dxfId="4075" priority="594">
      <formula>N132="NO PRESENTÓ CERTIFICADO"</formula>
    </cfRule>
    <cfRule type="expression" dxfId="4074" priority="595">
      <formula>N132="PRESENTÓ CERTIFICADO"</formula>
    </cfRule>
  </conditionalFormatting>
  <conditionalFormatting sqref="O132">
    <cfRule type="cellIs" dxfId="4073" priority="575" operator="equal">
      <formula>"PENDIENTE POR DESCRIPCIÓN"</formula>
    </cfRule>
    <cfRule type="cellIs" dxfId="4072" priority="576" operator="equal">
      <formula>"DESCRIPCIÓN INSUFICIENTE"</formula>
    </cfRule>
    <cfRule type="cellIs" dxfId="4071" priority="577" operator="equal">
      <formula>"NO ESTÁ ACORDE A ITEM 5.2.2 (T.R.)"</formula>
    </cfRule>
    <cfRule type="cellIs" dxfId="4070" priority="578" operator="equal">
      <formula>"ACORDE A ITEM 5.2.2 (T.R.)"</formula>
    </cfRule>
    <cfRule type="cellIs" dxfId="4069" priority="585" operator="equal">
      <formula>"PENDIENTE POR DESCRIPCIÓN"</formula>
    </cfRule>
    <cfRule type="cellIs" dxfId="4068" priority="587" operator="equal">
      <formula>"DESCRIPCIÓN INSUFICIENTE"</formula>
    </cfRule>
    <cfRule type="cellIs" dxfId="4067" priority="588" operator="equal">
      <formula>"NO ESTÁ ACORDE A ITEM 5.2.1 (T.R.)"</formula>
    </cfRule>
    <cfRule type="cellIs" dxfId="4066" priority="589" operator="equal">
      <formula>"ACORDE A ITEM 5.2.1 (T.R.)"</formula>
    </cfRule>
  </conditionalFormatting>
  <conditionalFormatting sqref="Q132">
    <cfRule type="containsBlanks" dxfId="4065" priority="580">
      <formula>LEN(TRIM(Q132))=0</formula>
    </cfRule>
    <cfRule type="cellIs" dxfId="4064" priority="586" operator="equal">
      <formula>"REQUERIMIENTOS SUBSANADOS"</formula>
    </cfRule>
    <cfRule type="containsText" dxfId="4063" priority="590" operator="containsText" text="NO SUBSANABLE">
      <formula>NOT(ISERROR(SEARCH("NO SUBSANABLE",Q132)))</formula>
    </cfRule>
    <cfRule type="containsText" dxfId="4062" priority="591" operator="containsText" text="PENDIENTES POR SUBSANAR">
      <formula>NOT(ISERROR(SEARCH("PENDIENTES POR SUBSANAR",Q132)))</formula>
    </cfRule>
    <cfRule type="containsText" dxfId="4061" priority="592" operator="containsText" text="SIN OBSERVACIÓN">
      <formula>NOT(ISERROR(SEARCH("SIN OBSERVACIÓN",Q132)))</formula>
    </cfRule>
  </conditionalFormatting>
  <conditionalFormatting sqref="R132">
    <cfRule type="containsBlanks" dxfId="4060" priority="579">
      <formula>LEN(TRIM(R132))=0</formula>
    </cfRule>
    <cfRule type="cellIs" dxfId="4059" priority="581" operator="equal">
      <formula>"NO CUMPLEN CON LO SOLICITADO"</formula>
    </cfRule>
    <cfRule type="cellIs" dxfId="4058" priority="582" operator="equal">
      <formula>"CUMPLEN CON LO SOLICITADO"</formula>
    </cfRule>
    <cfRule type="cellIs" dxfId="4057" priority="583" operator="equal">
      <formula>"PENDIENTES"</formula>
    </cfRule>
    <cfRule type="cellIs" dxfId="4056" priority="584" operator="equal">
      <formula>"NINGUNO"</formula>
    </cfRule>
  </conditionalFormatting>
  <conditionalFormatting sqref="P132">
    <cfRule type="expression" dxfId="4055" priority="570">
      <formula>Q132="NO SUBSANABLE"</formula>
    </cfRule>
    <cfRule type="expression" dxfId="4054" priority="571">
      <formula>Q132="REQUERIMIENTOS SUBSANADOS"</formula>
    </cfRule>
    <cfRule type="expression" dxfId="4053" priority="572">
      <formula>Q132="PENDIENTES POR SUBSANAR"</formula>
    </cfRule>
    <cfRule type="expression" dxfId="4052" priority="573">
      <formula>Q132="SIN OBSERVACIÓN"</formula>
    </cfRule>
    <cfRule type="containsBlanks" dxfId="4051" priority="574">
      <formula>LEN(TRIM(P132))=0</formula>
    </cfRule>
  </conditionalFormatting>
  <conditionalFormatting sqref="U167:U169">
    <cfRule type="cellIs" dxfId="4050" priority="568" operator="equal">
      <formula>0</formula>
    </cfRule>
    <cfRule type="cellIs" dxfId="4049" priority="569" operator="equal">
      <formula>1</formula>
    </cfRule>
  </conditionalFormatting>
  <conditionalFormatting sqref="U170:U181">
    <cfRule type="cellIs" dxfId="4048" priority="566" operator="equal">
      <formula>0</formula>
    </cfRule>
    <cfRule type="cellIs" dxfId="4047" priority="567" operator="equal">
      <formula>1</formula>
    </cfRule>
  </conditionalFormatting>
  <conditionalFormatting sqref="U145:U147">
    <cfRule type="cellIs" dxfId="4046" priority="564" operator="equal">
      <formula>0</formula>
    </cfRule>
    <cfRule type="cellIs" dxfId="4045" priority="565" operator="equal">
      <formula>1</formula>
    </cfRule>
  </conditionalFormatting>
  <conditionalFormatting sqref="U148:U150">
    <cfRule type="cellIs" dxfId="4044" priority="562" operator="equal">
      <formula>0</formula>
    </cfRule>
    <cfRule type="cellIs" dxfId="4043" priority="563" operator="equal">
      <formula>1</formula>
    </cfRule>
  </conditionalFormatting>
  <conditionalFormatting sqref="U123:U137">
    <cfRule type="cellIs" dxfId="4042" priority="560" operator="equal">
      <formula>0</formula>
    </cfRule>
    <cfRule type="cellIs" dxfId="4041" priority="561" operator="equal">
      <formula>1</formula>
    </cfRule>
  </conditionalFormatting>
  <conditionalFormatting sqref="H104 H107">
    <cfRule type="notContainsBlanks" dxfId="4040" priority="559">
      <formula>LEN(TRIM(H104))&gt;0</formula>
    </cfRule>
  </conditionalFormatting>
  <conditionalFormatting sqref="I104 I107">
    <cfRule type="notContainsBlanks" dxfId="4039" priority="558">
      <formula>LEN(TRIM(I104))&gt;0</formula>
    </cfRule>
  </conditionalFormatting>
  <conditionalFormatting sqref="N101">
    <cfRule type="expression" dxfId="4038" priority="551">
      <formula>N101=" "</formula>
    </cfRule>
    <cfRule type="expression" dxfId="4037" priority="552">
      <formula>N101="NO PRESENTÓ CERTIFICADO"</formula>
    </cfRule>
    <cfRule type="expression" dxfId="4036" priority="553">
      <formula>N101="PRESENTÓ CERTIFICADO"</formula>
    </cfRule>
  </conditionalFormatting>
  <conditionalFormatting sqref="O101">
    <cfRule type="cellIs" dxfId="4035" priority="533" operator="equal">
      <formula>"PENDIENTE POR DESCRIPCIÓN"</formula>
    </cfRule>
    <cfRule type="cellIs" dxfId="4034" priority="534" operator="equal">
      <formula>"DESCRIPCIÓN INSUFICIENTE"</formula>
    </cfRule>
    <cfRule type="cellIs" dxfId="4033" priority="535" operator="equal">
      <formula>"NO ESTÁ ACORDE A ITEM 5.2.2 (T.R.)"</formula>
    </cfRule>
    <cfRule type="cellIs" dxfId="4032" priority="536" operator="equal">
      <formula>"ACORDE A ITEM 5.2.2 (T.R.)"</formula>
    </cfRule>
    <cfRule type="cellIs" dxfId="4031" priority="543" operator="equal">
      <formula>"PENDIENTE POR DESCRIPCIÓN"</formula>
    </cfRule>
    <cfRule type="cellIs" dxfId="4030" priority="545" operator="equal">
      <formula>"DESCRIPCIÓN INSUFICIENTE"</formula>
    </cfRule>
    <cfRule type="cellIs" dxfId="4029" priority="546" operator="equal">
      <formula>"NO ESTÁ ACORDE A ITEM 5.2.1 (T.R.)"</formula>
    </cfRule>
    <cfRule type="cellIs" dxfId="4028" priority="547" operator="equal">
      <formula>"ACORDE A ITEM 5.2.1 (T.R.)"</formula>
    </cfRule>
  </conditionalFormatting>
  <conditionalFormatting sqref="Q101">
    <cfRule type="containsBlanks" dxfId="4027" priority="538">
      <formula>LEN(TRIM(Q101))=0</formula>
    </cfRule>
    <cfRule type="cellIs" dxfId="4026" priority="544" operator="equal">
      <formula>"REQUERIMIENTOS SUBSANADOS"</formula>
    </cfRule>
    <cfRule type="containsText" dxfId="4025" priority="548" operator="containsText" text="NO SUBSANABLE">
      <formula>NOT(ISERROR(SEARCH("NO SUBSANABLE",Q101)))</formula>
    </cfRule>
    <cfRule type="containsText" dxfId="4024" priority="549" operator="containsText" text="PENDIENTES POR SUBSANAR">
      <formula>NOT(ISERROR(SEARCH("PENDIENTES POR SUBSANAR",Q101)))</formula>
    </cfRule>
    <cfRule type="containsText" dxfId="4023" priority="550" operator="containsText" text="SIN OBSERVACIÓN">
      <formula>NOT(ISERROR(SEARCH("SIN OBSERVACIÓN",Q101)))</formula>
    </cfRule>
  </conditionalFormatting>
  <conditionalFormatting sqref="R101">
    <cfRule type="containsBlanks" dxfId="4022" priority="537">
      <formula>LEN(TRIM(R101))=0</formula>
    </cfRule>
    <cfRule type="cellIs" dxfId="4021" priority="539" operator="equal">
      <formula>"NO CUMPLEN CON LO SOLICITADO"</formula>
    </cfRule>
    <cfRule type="cellIs" dxfId="4020" priority="540" operator="equal">
      <formula>"CUMPLEN CON LO SOLICITADO"</formula>
    </cfRule>
    <cfRule type="cellIs" dxfId="4019" priority="541" operator="equal">
      <formula>"PENDIENTES"</formula>
    </cfRule>
    <cfRule type="cellIs" dxfId="4018" priority="542" operator="equal">
      <formula>"NINGUNO"</formula>
    </cfRule>
  </conditionalFormatting>
  <conditionalFormatting sqref="P101">
    <cfRule type="expression" dxfId="4017" priority="528">
      <formula>Q101="NO SUBSANABLE"</formula>
    </cfRule>
    <cfRule type="expression" dxfId="4016" priority="529">
      <formula>Q101="REQUERIMIENTOS SUBSANADOS"</formula>
    </cfRule>
    <cfRule type="expression" dxfId="4015" priority="530">
      <formula>Q101="PENDIENTES POR SUBSANAR"</formula>
    </cfRule>
    <cfRule type="expression" dxfId="4014" priority="531">
      <formula>Q101="SIN OBSERVACIÓN"</formula>
    </cfRule>
    <cfRule type="containsBlanks" dxfId="4013" priority="532">
      <formula>LEN(TRIM(P101))=0</formula>
    </cfRule>
  </conditionalFormatting>
  <conditionalFormatting sqref="N104">
    <cfRule type="expression" dxfId="4012" priority="525">
      <formula>N104=" "</formula>
    </cfRule>
    <cfRule type="expression" dxfId="4011" priority="526">
      <formula>N104="NO PRESENTÓ CERTIFICADO"</formula>
    </cfRule>
    <cfRule type="expression" dxfId="4010" priority="527">
      <formula>N104="PRESENTÓ CERTIFICADO"</formula>
    </cfRule>
  </conditionalFormatting>
  <conditionalFormatting sqref="O104">
    <cfRule type="cellIs" dxfId="4009" priority="507" operator="equal">
      <formula>"PENDIENTE POR DESCRIPCIÓN"</formula>
    </cfRule>
    <cfRule type="cellIs" dxfId="4008" priority="508" operator="equal">
      <formula>"DESCRIPCIÓN INSUFICIENTE"</formula>
    </cfRule>
    <cfRule type="cellIs" dxfId="4007" priority="509" operator="equal">
      <formula>"NO ESTÁ ACORDE A ITEM 5.2.2 (T.R.)"</formula>
    </cfRule>
    <cfRule type="cellIs" dxfId="4006" priority="510" operator="equal">
      <formula>"ACORDE A ITEM 5.2.2 (T.R.)"</formula>
    </cfRule>
    <cfRule type="cellIs" dxfId="4005" priority="517" operator="equal">
      <formula>"PENDIENTE POR DESCRIPCIÓN"</formula>
    </cfRule>
    <cfRule type="cellIs" dxfId="4004" priority="519" operator="equal">
      <formula>"DESCRIPCIÓN INSUFICIENTE"</formula>
    </cfRule>
    <cfRule type="cellIs" dxfId="4003" priority="520" operator="equal">
      <formula>"NO ESTÁ ACORDE A ITEM 5.2.1 (T.R.)"</formula>
    </cfRule>
    <cfRule type="cellIs" dxfId="4002" priority="521" operator="equal">
      <formula>"ACORDE A ITEM 5.2.1 (T.R.)"</formula>
    </cfRule>
  </conditionalFormatting>
  <conditionalFormatting sqref="Q104">
    <cfRule type="containsBlanks" dxfId="4001" priority="512">
      <formula>LEN(TRIM(Q104))=0</formula>
    </cfRule>
    <cfRule type="cellIs" dxfId="4000" priority="518" operator="equal">
      <formula>"REQUERIMIENTOS SUBSANADOS"</formula>
    </cfRule>
    <cfRule type="containsText" dxfId="3999" priority="522" operator="containsText" text="NO SUBSANABLE">
      <formula>NOT(ISERROR(SEARCH("NO SUBSANABLE",Q104)))</formula>
    </cfRule>
    <cfRule type="containsText" dxfId="3998" priority="523" operator="containsText" text="PENDIENTES POR SUBSANAR">
      <formula>NOT(ISERROR(SEARCH("PENDIENTES POR SUBSANAR",Q104)))</formula>
    </cfRule>
    <cfRule type="containsText" dxfId="3997" priority="524" operator="containsText" text="SIN OBSERVACIÓN">
      <formula>NOT(ISERROR(SEARCH("SIN OBSERVACIÓN",Q104)))</formula>
    </cfRule>
  </conditionalFormatting>
  <conditionalFormatting sqref="R104">
    <cfRule type="containsBlanks" dxfId="3996" priority="511">
      <formula>LEN(TRIM(R104))=0</formula>
    </cfRule>
    <cfRule type="cellIs" dxfId="3995" priority="513" operator="equal">
      <formula>"NO CUMPLEN CON LO SOLICITADO"</formula>
    </cfRule>
    <cfRule type="cellIs" dxfId="3994" priority="514" operator="equal">
      <formula>"CUMPLEN CON LO SOLICITADO"</formula>
    </cfRule>
    <cfRule type="cellIs" dxfId="3993" priority="515" operator="equal">
      <formula>"PENDIENTES"</formula>
    </cfRule>
    <cfRule type="cellIs" dxfId="3992" priority="516" operator="equal">
      <formula>"NINGUNO"</formula>
    </cfRule>
  </conditionalFormatting>
  <conditionalFormatting sqref="P104">
    <cfRule type="expression" dxfId="3991" priority="502">
      <formula>Q104="NO SUBSANABLE"</formula>
    </cfRule>
    <cfRule type="expression" dxfId="3990" priority="503">
      <formula>Q104="REQUERIMIENTOS SUBSANADOS"</formula>
    </cfRule>
    <cfRule type="expression" dxfId="3989" priority="504">
      <formula>Q104="PENDIENTES POR SUBSANAR"</formula>
    </cfRule>
    <cfRule type="expression" dxfId="3988" priority="505">
      <formula>Q104="SIN OBSERVACIÓN"</formula>
    </cfRule>
    <cfRule type="containsBlanks" dxfId="3987" priority="506">
      <formula>LEN(TRIM(P104))=0</formula>
    </cfRule>
  </conditionalFormatting>
  <conditionalFormatting sqref="N107">
    <cfRule type="expression" dxfId="3986" priority="499">
      <formula>N107=" "</formula>
    </cfRule>
    <cfRule type="expression" dxfId="3985" priority="500">
      <formula>N107="NO PRESENTÓ CERTIFICADO"</formula>
    </cfRule>
    <cfRule type="expression" dxfId="3984" priority="501">
      <formula>N107="PRESENTÓ CERTIFICADO"</formula>
    </cfRule>
  </conditionalFormatting>
  <conditionalFormatting sqref="O107">
    <cfRule type="cellIs" dxfId="3983" priority="491" operator="equal">
      <formula>"PENDIENTE POR DESCRIPCIÓN"</formula>
    </cfRule>
    <cfRule type="cellIs" dxfId="3982" priority="492" operator="equal">
      <formula>"DESCRIPCIÓN INSUFICIENTE"</formula>
    </cfRule>
    <cfRule type="cellIs" dxfId="3981" priority="493" operator="equal">
      <formula>"NO ESTÁ ACORDE A ITEM 5.2.2 (T.R.)"</formula>
    </cfRule>
    <cfRule type="cellIs" dxfId="3980" priority="494" operator="equal">
      <formula>"ACORDE A ITEM 5.2.2 (T.R.)"</formula>
    </cfRule>
    <cfRule type="cellIs" dxfId="3979" priority="495" operator="equal">
      <formula>"PENDIENTE POR DESCRIPCIÓN"</formula>
    </cfRule>
    <cfRule type="cellIs" dxfId="3978" priority="496" operator="equal">
      <formula>"DESCRIPCIÓN INSUFICIENTE"</formula>
    </cfRule>
    <cfRule type="cellIs" dxfId="3977" priority="497" operator="equal">
      <formula>"NO ESTÁ ACORDE A ITEM 5.2.1 (T.R.)"</formula>
    </cfRule>
    <cfRule type="cellIs" dxfId="3976" priority="498" operator="equal">
      <formula>"ACORDE A ITEM 5.2.1 (T.R.)"</formula>
    </cfRule>
  </conditionalFormatting>
  <conditionalFormatting sqref="Q107">
    <cfRule type="containsBlanks" dxfId="3975" priority="482">
      <formula>LEN(TRIM(Q107))=0</formula>
    </cfRule>
    <cfRule type="cellIs" dxfId="3974" priority="487" operator="equal">
      <formula>"REQUERIMIENTOS SUBSANADOS"</formula>
    </cfRule>
    <cfRule type="containsText" dxfId="3973" priority="488" operator="containsText" text="NO SUBSANABLE">
      <formula>NOT(ISERROR(SEARCH("NO SUBSANABLE",Q107)))</formula>
    </cfRule>
    <cfRule type="containsText" dxfId="3972" priority="489" operator="containsText" text="PENDIENTES POR SUBSANAR">
      <formula>NOT(ISERROR(SEARCH("PENDIENTES POR SUBSANAR",Q107)))</formula>
    </cfRule>
    <cfRule type="containsText" dxfId="3971" priority="490" operator="containsText" text="SIN OBSERVACIÓN">
      <formula>NOT(ISERROR(SEARCH("SIN OBSERVACIÓN",Q107)))</formula>
    </cfRule>
  </conditionalFormatting>
  <conditionalFormatting sqref="R107">
    <cfRule type="containsBlanks" dxfId="3970" priority="481">
      <formula>LEN(TRIM(R107))=0</formula>
    </cfRule>
    <cfRule type="cellIs" dxfId="3969" priority="483" operator="equal">
      <formula>"NO CUMPLEN CON LO SOLICITADO"</formula>
    </cfRule>
    <cfRule type="cellIs" dxfId="3968" priority="484" operator="equal">
      <formula>"CUMPLEN CON LO SOLICITADO"</formula>
    </cfRule>
    <cfRule type="cellIs" dxfId="3967" priority="485" operator="equal">
      <formula>"PENDIENTES"</formula>
    </cfRule>
    <cfRule type="cellIs" dxfId="3966" priority="486" operator="equal">
      <formula>"NINGUNO"</formula>
    </cfRule>
  </conditionalFormatting>
  <conditionalFormatting sqref="N110">
    <cfRule type="expression" dxfId="3965" priority="478">
      <formula>N110=" "</formula>
    </cfRule>
    <cfRule type="expression" dxfId="3964" priority="479">
      <formula>N110="NO PRESENTÓ CERTIFICADO"</formula>
    </cfRule>
    <cfRule type="expression" dxfId="3963" priority="480">
      <formula>N110="PRESENTÓ CERTIFICADO"</formula>
    </cfRule>
  </conditionalFormatting>
  <conditionalFormatting sqref="O110">
    <cfRule type="cellIs" dxfId="3962" priority="460" operator="equal">
      <formula>"PENDIENTE POR DESCRIPCIÓN"</formula>
    </cfRule>
    <cfRule type="cellIs" dxfId="3961" priority="461" operator="equal">
      <formula>"DESCRIPCIÓN INSUFICIENTE"</formula>
    </cfRule>
    <cfRule type="cellIs" dxfId="3960" priority="462" operator="equal">
      <formula>"NO ESTÁ ACORDE A ITEM 5.2.2 (T.R.)"</formula>
    </cfRule>
    <cfRule type="cellIs" dxfId="3959" priority="463" operator="equal">
      <formula>"ACORDE A ITEM 5.2.2 (T.R.)"</formula>
    </cfRule>
    <cfRule type="cellIs" dxfId="3958" priority="470" operator="equal">
      <formula>"PENDIENTE POR DESCRIPCIÓN"</formula>
    </cfRule>
    <cfRule type="cellIs" dxfId="3957" priority="472" operator="equal">
      <formula>"DESCRIPCIÓN INSUFICIENTE"</formula>
    </cfRule>
    <cfRule type="cellIs" dxfId="3956" priority="473" operator="equal">
      <formula>"NO ESTÁ ACORDE A ITEM 5.2.1 (T.R.)"</formula>
    </cfRule>
    <cfRule type="cellIs" dxfId="3955" priority="474" operator="equal">
      <formula>"ACORDE A ITEM 5.2.1 (T.R.)"</formula>
    </cfRule>
  </conditionalFormatting>
  <conditionalFormatting sqref="Q110">
    <cfRule type="containsBlanks" dxfId="3954" priority="465">
      <formula>LEN(TRIM(Q110))=0</formula>
    </cfRule>
    <cfRule type="cellIs" dxfId="3953" priority="471" operator="equal">
      <formula>"REQUERIMIENTOS SUBSANADOS"</formula>
    </cfRule>
    <cfRule type="containsText" dxfId="3952" priority="475" operator="containsText" text="NO SUBSANABLE">
      <formula>NOT(ISERROR(SEARCH("NO SUBSANABLE",Q110)))</formula>
    </cfRule>
    <cfRule type="containsText" dxfId="3951" priority="476" operator="containsText" text="PENDIENTES POR SUBSANAR">
      <formula>NOT(ISERROR(SEARCH("PENDIENTES POR SUBSANAR",Q110)))</formula>
    </cfRule>
    <cfRule type="containsText" dxfId="3950" priority="477" operator="containsText" text="SIN OBSERVACIÓN">
      <formula>NOT(ISERROR(SEARCH("SIN OBSERVACIÓN",Q110)))</formula>
    </cfRule>
  </conditionalFormatting>
  <conditionalFormatting sqref="R110">
    <cfRule type="containsBlanks" dxfId="3949" priority="464">
      <formula>LEN(TRIM(R110))=0</formula>
    </cfRule>
    <cfRule type="cellIs" dxfId="3948" priority="466" operator="equal">
      <formula>"NO CUMPLEN CON LO SOLICITADO"</formula>
    </cfRule>
    <cfRule type="cellIs" dxfId="3947" priority="467" operator="equal">
      <formula>"CUMPLEN CON LO SOLICITADO"</formula>
    </cfRule>
    <cfRule type="cellIs" dxfId="3946" priority="468" operator="equal">
      <formula>"PENDIENTES"</formula>
    </cfRule>
    <cfRule type="cellIs" dxfId="3945" priority="469" operator="equal">
      <formula>"NINGUNO"</formula>
    </cfRule>
  </conditionalFormatting>
  <conditionalFormatting sqref="P110">
    <cfRule type="expression" dxfId="3944" priority="455">
      <formula>Q110="NO SUBSANABLE"</formula>
    </cfRule>
    <cfRule type="expression" dxfId="3943" priority="456">
      <formula>Q110="REQUERIMIENTOS SUBSANADOS"</formula>
    </cfRule>
    <cfRule type="expression" dxfId="3942" priority="457">
      <formula>Q110="PENDIENTES POR SUBSANAR"</formula>
    </cfRule>
    <cfRule type="expression" dxfId="3941" priority="458">
      <formula>Q110="SIN OBSERVACIÓN"</formula>
    </cfRule>
    <cfRule type="containsBlanks" dxfId="3940" priority="459">
      <formula>LEN(TRIM(P110))=0</formula>
    </cfRule>
  </conditionalFormatting>
  <conditionalFormatting sqref="N113">
    <cfRule type="expression" dxfId="3939" priority="452">
      <formula>N113=" "</formula>
    </cfRule>
    <cfRule type="expression" dxfId="3938" priority="453">
      <formula>N113="NO PRESENTÓ CERTIFICADO"</formula>
    </cfRule>
    <cfRule type="expression" dxfId="3937" priority="454">
      <formula>N113="PRESENTÓ CERTIFICADO"</formula>
    </cfRule>
  </conditionalFormatting>
  <conditionalFormatting sqref="O113">
    <cfRule type="cellIs" dxfId="3936" priority="434" operator="equal">
      <formula>"PENDIENTE POR DESCRIPCIÓN"</formula>
    </cfRule>
    <cfRule type="cellIs" dxfId="3935" priority="435" operator="equal">
      <formula>"DESCRIPCIÓN INSUFICIENTE"</formula>
    </cfRule>
    <cfRule type="cellIs" dxfId="3934" priority="436" operator="equal">
      <formula>"NO ESTÁ ACORDE A ITEM 5.2.2 (T.R.)"</formula>
    </cfRule>
    <cfRule type="cellIs" dxfId="3933" priority="437" operator="equal">
      <formula>"ACORDE A ITEM 5.2.2 (T.R.)"</formula>
    </cfRule>
    <cfRule type="cellIs" dxfId="3932" priority="444" operator="equal">
      <formula>"PENDIENTE POR DESCRIPCIÓN"</formula>
    </cfRule>
    <cfRule type="cellIs" dxfId="3931" priority="446" operator="equal">
      <formula>"DESCRIPCIÓN INSUFICIENTE"</formula>
    </cfRule>
    <cfRule type="cellIs" dxfId="3930" priority="447" operator="equal">
      <formula>"NO ESTÁ ACORDE A ITEM 5.2.1 (T.R.)"</formula>
    </cfRule>
    <cfRule type="cellIs" dxfId="3929" priority="448" operator="equal">
      <formula>"ACORDE A ITEM 5.2.1 (T.R.)"</formula>
    </cfRule>
  </conditionalFormatting>
  <conditionalFormatting sqref="Q113">
    <cfRule type="containsBlanks" dxfId="3928" priority="439">
      <formula>LEN(TRIM(Q113))=0</formula>
    </cfRule>
    <cfRule type="cellIs" dxfId="3927" priority="445" operator="equal">
      <formula>"REQUERIMIENTOS SUBSANADOS"</formula>
    </cfRule>
    <cfRule type="containsText" dxfId="3926" priority="449" operator="containsText" text="NO SUBSANABLE">
      <formula>NOT(ISERROR(SEARCH("NO SUBSANABLE",Q113)))</formula>
    </cfRule>
    <cfRule type="containsText" dxfId="3925" priority="450" operator="containsText" text="PENDIENTES POR SUBSANAR">
      <formula>NOT(ISERROR(SEARCH("PENDIENTES POR SUBSANAR",Q113)))</formula>
    </cfRule>
    <cfRule type="containsText" dxfId="3924" priority="451" operator="containsText" text="SIN OBSERVACIÓN">
      <formula>NOT(ISERROR(SEARCH("SIN OBSERVACIÓN",Q113)))</formula>
    </cfRule>
  </conditionalFormatting>
  <conditionalFormatting sqref="R113">
    <cfRule type="containsBlanks" dxfId="3923" priority="438">
      <formula>LEN(TRIM(R113))=0</formula>
    </cfRule>
    <cfRule type="cellIs" dxfId="3922" priority="440" operator="equal">
      <formula>"NO CUMPLEN CON LO SOLICITADO"</formula>
    </cfRule>
    <cfRule type="cellIs" dxfId="3921" priority="441" operator="equal">
      <formula>"CUMPLEN CON LO SOLICITADO"</formula>
    </cfRule>
    <cfRule type="cellIs" dxfId="3920" priority="442" operator="equal">
      <formula>"PENDIENTES"</formula>
    </cfRule>
    <cfRule type="cellIs" dxfId="3919" priority="443" operator="equal">
      <formula>"NINGUNO"</formula>
    </cfRule>
  </conditionalFormatting>
  <conditionalFormatting sqref="P113">
    <cfRule type="expression" dxfId="3918" priority="429">
      <formula>Q113="NO SUBSANABLE"</formula>
    </cfRule>
    <cfRule type="expression" dxfId="3917" priority="430">
      <formula>Q113="REQUERIMIENTOS SUBSANADOS"</formula>
    </cfRule>
    <cfRule type="expression" dxfId="3916" priority="431">
      <formula>Q113="PENDIENTES POR SUBSANAR"</formula>
    </cfRule>
    <cfRule type="expression" dxfId="3915" priority="432">
      <formula>Q113="SIN OBSERVACIÓN"</formula>
    </cfRule>
    <cfRule type="containsBlanks" dxfId="3914" priority="433">
      <formula>LEN(TRIM(P113))=0</formula>
    </cfRule>
  </conditionalFormatting>
  <conditionalFormatting sqref="J113">
    <cfRule type="cellIs" dxfId="3913" priority="427" operator="equal">
      <formula>"NO CUMPLE"</formula>
    </cfRule>
    <cfRule type="cellIs" dxfId="3912" priority="428" operator="equal">
      <formula>"CUMPLE"</formula>
    </cfRule>
  </conditionalFormatting>
  <conditionalFormatting sqref="J114">
    <cfRule type="cellIs" dxfId="3911" priority="425" operator="equal">
      <formula>"NO CUMPLE"</formula>
    </cfRule>
    <cfRule type="cellIs" dxfId="3910" priority="426" operator="equal">
      <formula>"CUMPLE"</formula>
    </cfRule>
  </conditionalFormatting>
  <conditionalFormatting sqref="J115">
    <cfRule type="cellIs" dxfId="3909" priority="423" operator="equal">
      <formula>"NO CUMPLE"</formula>
    </cfRule>
    <cfRule type="cellIs" dxfId="3908" priority="424" operator="equal">
      <formula>"CUMPLE"</formula>
    </cfRule>
  </conditionalFormatting>
  <conditionalFormatting sqref="H13">
    <cfRule type="notContainsBlanks" dxfId="3907" priority="422">
      <formula>LEN(TRIM(H13))&gt;0</formula>
    </cfRule>
  </conditionalFormatting>
  <conditionalFormatting sqref="G13">
    <cfRule type="notContainsBlanks" dxfId="3906" priority="421">
      <formula>LEN(TRIM(G13))&gt;0</formula>
    </cfRule>
  </conditionalFormatting>
  <conditionalFormatting sqref="F13">
    <cfRule type="notContainsBlanks" dxfId="3905" priority="420">
      <formula>LEN(TRIM(F13))&gt;0</formula>
    </cfRule>
  </conditionalFormatting>
  <conditionalFormatting sqref="E13">
    <cfRule type="notContainsBlanks" dxfId="3904" priority="419">
      <formula>LEN(TRIM(E13))&gt;0</formula>
    </cfRule>
  </conditionalFormatting>
  <conditionalFormatting sqref="D13">
    <cfRule type="notContainsBlanks" dxfId="3903" priority="418">
      <formula>LEN(TRIM(D13))&gt;0</formula>
    </cfRule>
  </conditionalFormatting>
  <conditionalFormatting sqref="C13">
    <cfRule type="notContainsBlanks" dxfId="3902" priority="417">
      <formula>LEN(TRIM(C13))&gt;0</formula>
    </cfRule>
  </conditionalFormatting>
  <conditionalFormatting sqref="I13">
    <cfRule type="notContainsBlanks" dxfId="3901" priority="416">
      <formula>LEN(TRIM(I13))&gt;0</formula>
    </cfRule>
  </conditionalFormatting>
  <conditionalFormatting sqref="J13:J15">
    <cfRule type="cellIs" dxfId="3900" priority="414" operator="equal">
      <formula>"NO CUMPLE"</formula>
    </cfRule>
    <cfRule type="cellIs" dxfId="3899" priority="415" operator="equal">
      <formula>"CUMPLE"</formula>
    </cfRule>
  </conditionalFormatting>
  <conditionalFormatting sqref="N13">
    <cfRule type="expression" dxfId="3898" priority="411">
      <formula>N13=" "</formula>
    </cfRule>
    <cfRule type="expression" dxfId="3897" priority="412">
      <formula>N13="NO PRESENTÓ CERTIFICADO"</formula>
    </cfRule>
    <cfRule type="expression" dxfId="3896" priority="413">
      <formula>N13="PRESENTÓ CERTIFICADO"</formula>
    </cfRule>
  </conditionalFormatting>
  <conditionalFormatting sqref="P13">
    <cfRule type="expression" dxfId="3895" priority="398">
      <formula>Q13="NO SUBSANABLE"</formula>
    </cfRule>
    <cfRule type="expression" dxfId="3894" priority="400">
      <formula>Q13="REQUERIMIENTOS SUBSANADOS"</formula>
    </cfRule>
    <cfRule type="expression" dxfId="3893" priority="401">
      <formula>Q13="PENDIENTES POR SUBSANAR"</formula>
    </cfRule>
    <cfRule type="expression" dxfId="3892" priority="406">
      <formula>Q13="SIN OBSERVACIÓN"</formula>
    </cfRule>
    <cfRule type="containsBlanks" dxfId="3891" priority="407">
      <formula>LEN(TRIM(P13))=0</formula>
    </cfRule>
  </conditionalFormatting>
  <conditionalFormatting sqref="O13">
    <cfRule type="cellIs" dxfId="3890" priority="388" operator="equal">
      <formula>"PENDIENTE POR DESCRIPCIÓN"</formula>
    </cfRule>
    <cfRule type="cellIs" dxfId="3889" priority="389" operator="equal">
      <formula>"DESCRIPCIÓN INSUFICIENTE"</formula>
    </cfRule>
    <cfRule type="cellIs" dxfId="3888" priority="390" operator="equal">
      <formula>"NO ESTÁ ACORDE A ITEM 5.2.2 (T.R.)"</formula>
    </cfRule>
    <cfRule type="cellIs" dxfId="3887" priority="391" operator="equal">
      <formula>"ACORDE A ITEM 5.2.2 (T.R.)"</formula>
    </cfRule>
    <cfRule type="cellIs" dxfId="3886" priority="399" operator="equal">
      <formula>"PENDIENTE POR DESCRIPCIÓN"</formula>
    </cfRule>
    <cfRule type="cellIs" dxfId="3885" priority="403" operator="equal">
      <formula>"DESCRIPCIÓN INSUFICIENTE"</formula>
    </cfRule>
    <cfRule type="cellIs" dxfId="3884" priority="404" operator="equal">
      <formula>"NO ESTÁ ACORDE A ITEM 5.2.1 (T.R.)"</formula>
    </cfRule>
    <cfRule type="cellIs" dxfId="3883" priority="405" operator="equal">
      <formula>"ACORDE A ITEM 5.2.1 (T.R.)"</formula>
    </cfRule>
  </conditionalFormatting>
  <conditionalFormatting sqref="Q13">
    <cfRule type="containsBlanks" dxfId="3882" priority="393">
      <formula>LEN(TRIM(Q13))=0</formula>
    </cfRule>
    <cfRule type="cellIs" dxfId="3881" priority="402" operator="equal">
      <formula>"REQUERIMIENTOS SUBSANADOS"</formula>
    </cfRule>
    <cfRule type="containsText" dxfId="3880" priority="408" operator="containsText" text="NO SUBSANABLE">
      <formula>NOT(ISERROR(SEARCH("NO SUBSANABLE",Q13)))</formula>
    </cfRule>
    <cfRule type="containsText" dxfId="3879" priority="409" operator="containsText" text="PENDIENTES POR SUBSANAR">
      <formula>NOT(ISERROR(SEARCH("PENDIENTES POR SUBSANAR",Q13)))</formula>
    </cfRule>
    <cfRule type="containsText" dxfId="3878" priority="410" operator="containsText" text="SIN OBSERVACIÓN">
      <formula>NOT(ISERROR(SEARCH("SIN OBSERVACIÓN",Q13)))</formula>
    </cfRule>
  </conditionalFormatting>
  <conditionalFormatting sqref="R13">
    <cfRule type="containsBlanks" dxfId="3877" priority="392">
      <formula>LEN(TRIM(R13))=0</formula>
    </cfRule>
    <cfRule type="cellIs" dxfId="3876" priority="394" operator="equal">
      <formula>"NO CUMPLEN CON LO SOLICITADO"</formula>
    </cfRule>
    <cfRule type="cellIs" dxfId="3875" priority="395" operator="equal">
      <formula>"CUMPLEN CON LO SOLICITADO"</formula>
    </cfRule>
    <cfRule type="cellIs" dxfId="3874" priority="396" operator="equal">
      <formula>"PENDIENTES"</formula>
    </cfRule>
    <cfRule type="cellIs" dxfId="3873" priority="397" operator="equal">
      <formula>"NINGUNO"</formula>
    </cfRule>
  </conditionalFormatting>
  <conditionalFormatting sqref="U101:U115">
    <cfRule type="cellIs" dxfId="3872" priority="384" operator="equal">
      <formula>0</formula>
    </cfRule>
    <cfRule type="cellIs" dxfId="3871" priority="385" operator="equal">
      <formula>1</formula>
    </cfRule>
  </conditionalFormatting>
  <conditionalFormatting sqref="U79:U93">
    <cfRule type="cellIs" dxfId="3870" priority="382" operator="equal">
      <formula>0</formula>
    </cfRule>
    <cfRule type="cellIs" dxfId="3869" priority="383" operator="equal">
      <formula>1</formula>
    </cfRule>
  </conditionalFormatting>
  <conditionalFormatting sqref="U57:U71">
    <cfRule type="cellIs" dxfId="3868" priority="380" operator="equal">
      <formula>0</formula>
    </cfRule>
    <cfRule type="cellIs" dxfId="3867" priority="381" operator="equal">
      <formula>1</formula>
    </cfRule>
  </conditionalFormatting>
  <conditionalFormatting sqref="U35:U49">
    <cfRule type="cellIs" dxfId="3866" priority="378" operator="equal">
      <formula>0</formula>
    </cfRule>
    <cfRule type="cellIs" dxfId="3865" priority="379" operator="equal">
      <formula>1</formula>
    </cfRule>
  </conditionalFormatting>
  <conditionalFormatting sqref="U13:U15">
    <cfRule type="cellIs" dxfId="3864" priority="376" operator="equal">
      <formula>0</formula>
    </cfRule>
    <cfRule type="cellIs" dxfId="3863" priority="377" operator="equal">
      <formula>1</formula>
    </cfRule>
  </conditionalFormatting>
  <conditionalFormatting sqref="H35 H38">
    <cfRule type="notContainsBlanks" dxfId="3862" priority="375">
      <formula>LEN(TRIM(H35))&gt;0</formula>
    </cfRule>
  </conditionalFormatting>
  <conditionalFormatting sqref="G35">
    <cfRule type="notContainsBlanks" dxfId="3861" priority="374">
      <formula>LEN(TRIM(G35))&gt;0</formula>
    </cfRule>
  </conditionalFormatting>
  <conditionalFormatting sqref="F35">
    <cfRule type="notContainsBlanks" dxfId="3860" priority="373">
      <formula>LEN(TRIM(F35))&gt;0</formula>
    </cfRule>
  </conditionalFormatting>
  <conditionalFormatting sqref="E35">
    <cfRule type="notContainsBlanks" dxfId="3859" priority="372">
      <formula>LEN(TRIM(E35))&gt;0</formula>
    </cfRule>
  </conditionalFormatting>
  <conditionalFormatting sqref="D35">
    <cfRule type="notContainsBlanks" dxfId="3858" priority="371">
      <formula>LEN(TRIM(D35))&gt;0</formula>
    </cfRule>
  </conditionalFormatting>
  <conditionalFormatting sqref="C35">
    <cfRule type="notContainsBlanks" dxfId="3857" priority="370">
      <formula>LEN(TRIM(C35))&gt;0</formula>
    </cfRule>
  </conditionalFormatting>
  <conditionalFormatting sqref="I35">
    <cfRule type="notContainsBlanks" dxfId="3856" priority="369">
      <formula>LEN(TRIM(I35))&gt;0</formula>
    </cfRule>
  </conditionalFormatting>
  <conditionalFormatting sqref="G38">
    <cfRule type="notContainsBlanks" dxfId="3855" priority="368">
      <formula>LEN(TRIM(G38))&gt;0</formula>
    </cfRule>
  </conditionalFormatting>
  <conditionalFormatting sqref="F38">
    <cfRule type="notContainsBlanks" dxfId="3854" priority="367">
      <formula>LEN(TRIM(F38))&gt;0</formula>
    </cfRule>
  </conditionalFormatting>
  <conditionalFormatting sqref="E38">
    <cfRule type="notContainsBlanks" dxfId="3853" priority="366">
      <formula>LEN(TRIM(E38))&gt;0</formula>
    </cfRule>
  </conditionalFormatting>
  <conditionalFormatting sqref="D38">
    <cfRule type="notContainsBlanks" dxfId="3852" priority="365">
      <formula>LEN(TRIM(D38))&gt;0</formula>
    </cfRule>
  </conditionalFormatting>
  <conditionalFormatting sqref="C38">
    <cfRule type="notContainsBlanks" dxfId="3851" priority="364">
      <formula>LEN(TRIM(C38))&gt;0</formula>
    </cfRule>
  </conditionalFormatting>
  <conditionalFormatting sqref="I38">
    <cfRule type="notContainsBlanks" dxfId="3850" priority="363">
      <formula>LEN(TRIM(I38))&gt;0</formula>
    </cfRule>
  </conditionalFormatting>
  <conditionalFormatting sqref="J35:J40">
    <cfRule type="cellIs" dxfId="3849" priority="361" operator="equal">
      <formula>"NO CUMPLE"</formula>
    </cfRule>
    <cfRule type="cellIs" dxfId="3848" priority="362" operator="equal">
      <formula>"CUMPLE"</formula>
    </cfRule>
  </conditionalFormatting>
  <conditionalFormatting sqref="N35">
    <cfRule type="expression" dxfId="3847" priority="358">
      <formula>N35=" "</formula>
    </cfRule>
    <cfRule type="expression" dxfId="3846" priority="359">
      <formula>N35="NO PRESENTÓ CERTIFICADO"</formula>
    </cfRule>
    <cfRule type="expression" dxfId="3845" priority="360">
      <formula>N35="PRESENTÓ CERTIFICADO"</formula>
    </cfRule>
  </conditionalFormatting>
  <conditionalFormatting sqref="Q35">
    <cfRule type="containsBlanks" dxfId="3844" priority="345">
      <formula>LEN(TRIM(Q35))=0</formula>
    </cfRule>
    <cfRule type="cellIs" dxfId="3843" priority="351" operator="equal">
      <formula>"REQUERIMIENTOS SUBSANADOS"</formula>
    </cfRule>
    <cfRule type="containsText" dxfId="3842" priority="355" operator="containsText" text="NO SUBSANABLE">
      <formula>NOT(ISERROR(SEARCH("NO SUBSANABLE",Q35)))</formula>
    </cfRule>
    <cfRule type="containsText" dxfId="3841" priority="356" operator="containsText" text="PENDIENTES POR SUBSANAR">
      <formula>NOT(ISERROR(SEARCH("PENDIENTES POR SUBSANAR",Q35)))</formula>
    </cfRule>
    <cfRule type="containsText" dxfId="3840" priority="357" operator="containsText" text="SIN OBSERVACIÓN">
      <formula>NOT(ISERROR(SEARCH("SIN OBSERVACIÓN",Q35)))</formula>
    </cfRule>
  </conditionalFormatting>
  <conditionalFormatting sqref="R35">
    <cfRule type="containsBlanks" dxfId="3839" priority="344">
      <formula>LEN(TRIM(R35))=0</formula>
    </cfRule>
    <cfRule type="cellIs" dxfId="3838" priority="346" operator="equal">
      <formula>"NO CUMPLEN CON LO SOLICITADO"</formula>
    </cfRule>
    <cfRule type="cellIs" dxfId="3837" priority="347" operator="equal">
      <formula>"CUMPLEN CON LO SOLICITADO"</formula>
    </cfRule>
    <cfRule type="cellIs" dxfId="3836" priority="348" operator="equal">
      <formula>"PENDIENTES"</formula>
    </cfRule>
    <cfRule type="cellIs" dxfId="3835" priority="349" operator="equal">
      <formula>"NINGUNO"</formula>
    </cfRule>
  </conditionalFormatting>
  <conditionalFormatting sqref="P35">
    <cfRule type="expression" dxfId="3834" priority="335">
      <formula>Q35="NO SUBSANABLE"</formula>
    </cfRule>
    <cfRule type="expression" dxfId="3833" priority="336">
      <formula>Q35="REQUERIMIENTOS SUBSANADOS"</formula>
    </cfRule>
    <cfRule type="expression" dxfId="3832" priority="337">
      <formula>Q35="PENDIENTES POR SUBSANAR"</formula>
    </cfRule>
    <cfRule type="expression" dxfId="3831" priority="338">
      <formula>Q35="SIN OBSERVACIÓN"</formula>
    </cfRule>
    <cfRule type="containsBlanks" dxfId="3830" priority="339">
      <formula>LEN(TRIM(P35))=0</formula>
    </cfRule>
  </conditionalFormatting>
  <conditionalFormatting sqref="N38">
    <cfRule type="expression" dxfId="3829" priority="332">
      <formula>N38=" "</formula>
    </cfRule>
    <cfRule type="expression" dxfId="3828" priority="333">
      <formula>N38="NO PRESENTÓ CERTIFICADO"</formula>
    </cfRule>
    <cfRule type="expression" dxfId="3827" priority="334">
      <formula>N38="PRESENTÓ CERTIFICADO"</formula>
    </cfRule>
  </conditionalFormatting>
  <conditionalFormatting sqref="Q38">
    <cfRule type="containsBlanks" dxfId="3826" priority="319">
      <formula>LEN(TRIM(Q38))=0</formula>
    </cfRule>
    <cfRule type="cellIs" dxfId="3825" priority="325" operator="equal">
      <formula>"REQUERIMIENTOS SUBSANADOS"</formula>
    </cfRule>
    <cfRule type="containsText" dxfId="3824" priority="329" operator="containsText" text="NO SUBSANABLE">
      <formula>NOT(ISERROR(SEARCH("NO SUBSANABLE",Q38)))</formula>
    </cfRule>
    <cfRule type="containsText" dxfId="3823" priority="330" operator="containsText" text="PENDIENTES POR SUBSANAR">
      <formula>NOT(ISERROR(SEARCH("PENDIENTES POR SUBSANAR",Q38)))</formula>
    </cfRule>
    <cfRule type="containsText" dxfId="3822" priority="331" operator="containsText" text="SIN OBSERVACIÓN">
      <formula>NOT(ISERROR(SEARCH("SIN OBSERVACIÓN",Q38)))</formula>
    </cfRule>
  </conditionalFormatting>
  <conditionalFormatting sqref="R38">
    <cfRule type="containsBlanks" dxfId="3821" priority="318">
      <formula>LEN(TRIM(R38))=0</formula>
    </cfRule>
    <cfRule type="cellIs" dxfId="3820" priority="320" operator="equal">
      <formula>"NO CUMPLEN CON LO SOLICITADO"</formula>
    </cfRule>
    <cfRule type="cellIs" dxfId="3819" priority="321" operator="equal">
      <formula>"CUMPLEN CON LO SOLICITADO"</formula>
    </cfRule>
    <cfRule type="cellIs" dxfId="3818" priority="322" operator="equal">
      <formula>"PENDIENTES"</formula>
    </cfRule>
    <cfRule type="cellIs" dxfId="3817" priority="323" operator="equal">
      <formula>"NINGUNO"</formula>
    </cfRule>
  </conditionalFormatting>
  <conditionalFormatting sqref="P38">
    <cfRule type="expression" dxfId="3816" priority="309">
      <formula>Q38="NO SUBSANABLE"</formula>
    </cfRule>
    <cfRule type="expression" dxfId="3815" priority="310">
      <formula>Q38="REQUERIMIENTOS SUBSANADOS"</formula>
    </cfRule>
    <cfRule type="expression" dxfId="3814" priority="311">
      <formula>Q38="PENDIENTES POR SUBSANAR"</formula>
    </cfRule>
    <cfRule type="expression" dxfId="3813" priority="312">
      <formula>Q38="SIN OBSERVACIÓN"</formula>
    </cfRule>
    <cfRule type="containsBlanks" dxfId="3812" priority="313">
      <formula>LEN(TRIM(P38))=0</formula>
    </cfRule>
  </conditionalFormatting>
  <conditionalFormatting sqref="H57 H60 H63 H66 H69">
    <cfRule type="notContainsBlanks" dxfId="3811" priority="306">
      <formula>LEN(TRIM(H57))&gt;0</formula>
    </cfRule>
  </conditionalFormatting>
  <conditionalFormatting sqref="G57">
    <cfRule type="notContainsBlanks" dxfId="3810" priority="305">
      <formula>LEN(TRIM(G57))&gt;0</formula>
    </cfRule>
  </conditionalFormatting>
  <conditionalFormatting sqref="F57">
    <cfRule type="notContainsBlanks" dxfId="3809" priority="304">
      <formula>LEN(TRIM(F57))&gt;0</formula>
    </cfRule>
  </conditionalFormatting>
  <conditionalFormatting sqref="E57">
    <cfRule type="notContainsBlanks" dxfId="3808" priority="303">
      <formula>LEN(TRIM(E57))&gt;0</formula>
    </cfRule>
  </conditionalFormatting>
  <conditionalFormatting sqref="D57">
    <cfRule type="notContainsBlanks" dxfId="3807" priority="302">
      <formula>LEN(TRIM(D57))&gt;0</formula>
    </cfRule>
  </conditionalFormatting>
  <conditionalFormatting sqref="C57">
    <cfRule type="notContainsBlanks" dxfId="3806" priority="301">
      <formula>LEN(TRIM(C57))&gt;0</formula>
    </cfRule>
  </conditionalFormatting>
  <conditionalFormatting sqref="G63">
    <cfRule type="notContainsBlanks" dxfId="3805" priority="300">
      <formula>LEN(TRIM(G63))&gt;0</formula>
    </cfRule>
  </conditionalFormatting>
  <conditionalFormatting sqref="F63">
    <cfRule type="notContainsBlanks" dxfId="3804" priority="299">
      <formula>LEN(TRIM(F63))&gt;0</formula>
    </cfRule>
  </conditionalFormatting>
  <conditionalFormatting sqref="E63">
    <cfRule type="notContainsBlanks" dxfId="3803" priority="298">
      <formula>LEN(TRIM(E63))&gt;0</formula>
    </cfRule>
  </conditionalFormatting>
  <conditionalFormatting sqref="D63">
    <cfRule type="notContainsBlanks" dxfId="3802" priority="297">
      <formula>LEN(TRIM(D63))&gt;0</formula>
    </cfRule>
  </conditionalFormatting>
  <conditionalFormatting sqref="C63">
    <cfRule type="notContainsBlanks" dxfId="3801" priority="296">
      <formula>LEN(TRIM(C63))&gt;0</formula>
    </cfRule>
  </conditionalFormatting>
  <conditionalFormatting sqref="I63">
    <cfRule type="notContainsBlanks" dxfId="3800" priority="295">
      <formula>LEN(TRIM(I63))&gt;0</formula>
    </cfRule>
  </conditionalFormatting>
  <conditionalFormatting sqref="G69">
    <cfRule type="notContainsBlanks" dxfId="3799" priority="294">
      <formula>LEN(TRIM(G69))&gt;0</formula>
    </cfRule>
  </conditionalFormatting>
  <conditionalFormatting sqref="F69">
    <cfRule type="notContainsBlanks" dxfId="3798" priority="293">
      <formula>LEN(TRIM(F69))&gt;0</formula>
    </cfRule>
  </conditionalFormatting>
  <conditionalFormatting sqref="E69">
    <cfRule type="notContainsBlanks" dxfId="3797" priority="292">
      <formula>LEN(TRIM(E69))&gt;0</formula>
    </cfRule>
  </conditionalFormatting>
  <conditionalFormatting sqref="D69">
    <cfRule type="notContainsBlanks" dxfId="3796" priority="291">
      <formula>LEN(TRIM(D69))&gt;0</formula>
    </cfRule>
  </conditionalFormatting>
  <conditionalFormatting sqref="C69">
    <cfRule type="notContainsBlanks" dxfId="3795" priority="290">
      <formula>LEN(TRIM(C69))&gt;0</formula>
    </cfRule>
  </conditionalFormatting>
  <conditionalFormatting sqref="I69">
    <cfRule type="notContainsBlanks" dxfId="3794" priority="289">
      <formula>LEN(TRIM(I69))&gt;0</formula>
    </cfRule>
  </conditionalFormatting>
  <conditionalFormatting sqref="G60">
    <cfRule type="notContainsBlanks" dxfId="3793" priority="288">
      <formula>LEN(TRIM(G60))&gt;0</formula>
    </cfRule>
  </conditionalFormatting>
  <conditionalFormatting sqref="F60">
    <cfRule type="notContainsBlanks" dxfId="3792" priority="287">
      <formula>LEN(TRIM(F60))&gt;0</formula>
    </cfRule>
  </conditionalFormatting>
  <conditionalFormatting sqref="E60">
    <cfRule type="notContainsBlanks" dxfId="3791" priority="286">
      <formula>LEN(TRIM(E60))&gt;0</formula>
    </cfRule>
  </conditionalFormatting>
  <conditionalFormatting sqref="D60">
    <cfRule type="notContainsBlanks" dxfId="3790" priority="285">
      <formula>LEN(TRIM(D60))&gt;0</formula>
    </cfRule>
  </conditionalFormatting>
  <conditionalFormatting sqref="C60">
    <cfRule type="notContainsBlanks" dxfId="3789" priority="284">
      <formula>LEN(TRIM(C60))&gt;0</formula>
    </cfRule>
  </conditionalFormatting>
  <conditionalFormatting sqref="G66">
    <cfRule type="notContainsBlanks" dxfId="3788" priority="283">
      <formula>LEN(TRIM(G66))&gt;0</formula>
    </cfRule>
  </conditionalFormatting>
  <conditionalFormatting sqref="F66">
    <cfRule type="notContainsBlanks" dxfId="3787" priority="282">
      <formula>LEN(TRIM(F66))&gt;0</formula>
    </cfRule>
  </conditionalFormatting>
  <conditionalFormatting sqref="E66">
    <cfRule type="notContainsBlanks" dxfId="3786" priority="281">
      <formula>LEN(TRIM(E66))&gt;0</formula>
    </cfRule>
  </conditionalFormatting>
  <conditionalFormatting sqref="D66">
    <cfRule type="notContainsBlanks" dxfId="3785" priority="280">
      <formula>LEN(TRIM(D66))&gt;0</formula>
    </cfRule>
  </conditionalFormatting>
  <conditionalFormatting sqref="C66">
    <cfRule type="notContainsBlanks" dxfId="3784" priority="279">
      <formula>LEN(TRIM(C66))&gt;0</formula>
    </cfRule>
  </conditionalFormatting>
  <conditionalFormatting sqref="I60">
    <cfRule type="notContainsBlanks" dxfId="3783" priority="278">
      <formula>LEN(TRIM(I60))&gt;0</formula>
    </cfRule>
  </conditionalFormatting>
  <conditionalFormatting sqref="I66">
    <cfRule type="notContainsBlanks" dxfId="3782" priority="277">
      <formula>LEN(TRIM(I66))&gt;0</formula>
    </cfRule>
  </conditionalFormatting>
  <conditionalFormatting sqref="I57">
    <cfRule type="notContainsBlanks" dxfId="3781" priority="276">
      <formula>LEN(TRIM(I57))&gt;0</formula>
    </cfRule>
  </conditionalFormatting>
  <conditionalFormatting sqref="J57:J68">
    <cfRule type="cellIs" dxfId="3780" priority="274" operator="equal">
      <formula>"NO CUMPLE"</formula>
    </cfRule>
    <cfRule type="cellIs" dxfId="3779" priority="275" operator="equal">
      <formula>"CUMPLE"</formula>
    </cfRule>
  </conditionalFormatting>
  <conditionalFormatting sqref="J69">
    <cfRule type="cellIs" dxfId="3778" priority="272" operator="equal">
      <formula>"NO CUMPLE"</formula>
    </cfRule>
    <cfRule type="cellIs" dxfId="3777" priority="273" operator="equal">
      <formula>"CUMPLE"</formula>
    </cfRule>
  </conditionalFormatting>
  <conditionalFormatting sqref="J70:J71">
    <cfRule type="cellIs" dxfId="3776" priority="270" operator="equal">
      <formula>"NO CUMPLE"</formula>
    </cfRule>
    <cfRule type="cellIs" dxfId="3775" priority="271" operator="equal">
      <formula>"CUMPLE"</formula>
    </cfRule>
  </conditionalFormatting>
  <conditionalFormatting sqref="N66 N69">
    <cfRule type="expression" dxfId="3774" priority="267">
      <formula>N66=" "</formula>
    </cfRule>
    <cfRule type="expression" dxfId="3773" priority="268">
      <formula>N66="NO PRESENTÓ CERTIFICADO"</formula>
    </cfRule>
    <cfRule type="expression" dxfId="3772" priority="269">
      <formula>N66="PRESENTÓ CERTIFICADO"</formula>
    </cfRule>
  </conditionalFormatting>
  <conditionalFormatting sqref="Q66">
    <cfRule type="containsBlanks" dxfId="3771" priority="254">
      <formula>LEN(TRIM(Q66))=0</formula>
    </cfRule>
    <cfRule type="cellIs" dxfId="3770" priority="260" operator="equal">
      <formula>"REQUERIMIENTOS SUBSANADOS"</formula>
    </cfRule>
    <cfRule type="containsText" dxfId="3769" priority="264" operator="containsText" text="NO SUBSANABLE">
      <formula>NOT(ISERROR(SEARCH("NO SUBSANABLE",Q66)))</formula>
    </cfRule>
    <cfRule type="containsText" dxfId="3768" priority="265" operator="containsText" text="PENDIENTES POR SUBSANAR">
      <formula>NOT(ISERROR(SEARCH("PENDIENTES POR SUBSANAR",Q66)))</formula>
    </cfRule>
    <cfRule type="containsText" dxfId="3767" priority="266" operator="containsText" text="SIN OBSERVACIÓN">
      <formula>NOT(ISERROR(SEARCH("SIN OBSERVACIÓN",Q66)))</formula>
    </cfRule>
  </conditionalFormatting>
  <conditionalFormatting sqref="R66">
    <cfRule type="containsBlanks" dxfId="3766" priority="253">
      <formula>LEN(TRIM(R66))=0</formula>
    </cfRule>
    <cfRule type="cellIs" dxfId="3765" priority="255" operator="equal">
      <formula>"NO CUMPLEN CON LO SOLICITADO"</formula>
    </cfRule>
    <cfRule type="cellIs" dxfId="3764" priority="256" operator="equal">
      <formula>"CUMPLEN CON LO SOLICITADO"</formula>
    </cfRule>
    <cfRule type="cellIs" dxfId="3763" priority="257" operator="equal">
      <formula>"PENDIENTES"</formula>
    </cfRule>
    <cfRule type="cellIs" dxfId="3762" priority="258" operator="equal">
      <formula>"NINGUNO"</formula>
    </cfRule>
  </conditionalFormatting>
  <conditionalFormatting sqref="P66">
    <cfRule type="expression" dxfId="3761" priority="244">
      <formula>Q66="NO SUBSANABLE"</formula>
    </cfRule>
    <cfRule type="expression" dxfId="3760" priority="245">
      <formula>Q66="REQUERIMIENTOS SUBSANADOS"</formula>
    </cfRule>
    <cfRule type="expression" dxfId="3759" priority="246">
      <formula>Q66="PENDIENTES POR SUBSANAR"</formula>
    </cfRule>
    <cfRule type="expression" dxfId="3758" priority="247">
      <formula>Q66="SIN OBSERVACIÓN"</formula>
    </cfRule>
    <cfRule type="containsBlanks" dxfId="3757" priority="248">
      <formula>LEN(TRIM(P66))=0</formula>
    </cfRule>
  </conditionalFormatting>
  <conditionalFormatting sqref="N57">
    <cfRule type="expression" dxfId="3756" priority="241">
      <formula>N57=" "</formula>
    </cfRule>
    <cfRule type="expression" dxfId="3755" priority="242">
      <formula>N57="NO PRESENTÓ CERTIFICADO"</formula>
    </cfRule>
    <cfRule type="expression" dxfId="3754" priority="243">
      <formula>N57="PRESENTÓ CERTIFICADO"</formula>
    </cfRule>
  </conditionalFormatting>
  <conditionalFormatting sqref="Q57">
    <cfRule type="containsBlanks" dxfId="3753" priority="228">
      <formula>LEN(TRIM(Q57))=0</formula>
    </cfRule>
    <cfRule type="cellIs" dxfId="3752" priority="234" operator="equal">
      <formula>"REQUERIMIENTOS SUBSANADOS"</formula>
    </cfRule>
    <cfRule type="containsText" dxfId="3751" priority="238" operator="containsText" text="NO SUBSANABLE">
      <formula>NOT(ISERROR(SEARCH("NO SUBSANABLE",Q57)))</formula>
    </cfRule>
    <cfRule type="containsText" dxfId="3750" priority="239" operator="containsText" text="PENDIENTES POR SUBSANAR">
      <formula>NOT(ISERROR(SEARCH("PENDIENTES POR SUBSANAR",Q57)))</formula>
    </cfRule>
    <cfRule type="containsText" dxfId="3749" priority="240" operator="containsText" text="SIN OBSERVACIÓN">
      <formula>NOT(ISERROR(SEARCH("SIN OBSERVACIÓN",Q57)))</formula>
    </cfRule>
  </conditionalFormatting>
  <conditionalFormatting sqref="R57">
    <cfRule type="containsBlanks" dxfId="3748" priority="227">
      <formula>LEN(TRIM(R57))=0</formula>
    </cfRule>
    <cfRule type="cellIs" dxfId="3747" priority="229" operator="equal">
      <formula>"NO CUMPLEN CON LO SOLICITADO"</formula>
    </cfRule>
    <cfRule type="cellIs" dxfId="3746" priority="230" operator="equal">
      <formula>"CUMPLEN CON LO SOLICITADO"</formula>
    </cfRule>
    <cfRule type="cellIs" dxfId="3745" priority="231" operator="equal">
      <formula>"PENDIENTES"</formula>
    </cfRule>
    <cfRule type="cellIs" dxfId="3744" priority="232" operator="equal">
      <formula>"NINGUNO"</formula>
    </cfRule>
  </conditionalFormatting>
  <conditionalFormatting sqref="P57">
    <cfRule type="expression" dxfId="3743" priority="218">
      <formula>Q57="NO SUBSANABLE"</formula>
    </cfRule>
    <cfRule type="expression" dxfId="3742" priority="219">
      <formula>Q57="REQUERIMIENTOS SUBSANADOS"</formula>
    </cfRule>
    <cfRule type="expression" dxfId="3741" priority="220">
      <formula>Q57="PENDIENTES POR SUBSANAR"</formula>
    </cfRule>
    <cfRule type="expression" dxfId="3740" priority="221">
      <formula>Q57="SIN OBSERVACIÓN"</formula>
    </cfRule>
    <cfRule type="containsBlanks" dxfId="3739" priority="222">
      <formula>LEN(TRIM(P57))=0</formula>
    </cfRule>
  </conditionalFormatting>
  <conditionalFormatting sqref="N60">
    <cfRule type="expression" dxfId="3738" priority="215">
      <formula>N60=" "</formula>
    </cfRule>
    <cfRule type="expression" dxfId="3737" priority="216">
      <formula>N60="NO PRESENTÓ CERTIFICADO"</formula>
    </cfRule>
    <cfRule type="expression" dxfId="3736" priority="217">
      <formula>N60="PRESENTÓ CERTIFICADO"</formula>
    </cfRule>
  </conditionalFormatting>
  <conditionalFormatting sqref="Q60">
    <cfRule type="containsBlanks" dxfId="3735" priority="202">
      <formula>LEN(TRIM(Q60))=0</formula>
    </cfRule>
    <cfRule type="cellIs" dxfId="3734" priority="208" operator="equal">
      <formula>"REQUERIMIENTOS SUBSANADOS"</formula>
    </cfRule>
    <cfRule type="containsText" dxfId="3733" priority="212" operator="containsText" text="NO SUBSANABLE">
      <formula>NOT(ISERROR(SEARCH("NO SUBSANABLE",Q60)))</formula>
    </cfRule>
    <cfRule type="containsText" dxfId="3732" priority="213" operator="containsText" text="PENDIENTES POR SUBSANAR">
      <formula>NOT(ISERROR(SEARCH("PENDIENTES POR SUBSANAR",Q60)))</formula>
    </cfRule>
    <cfRule type="containsText" dxfId="3731" priority="214" operator="containsText" text="SIN OBSERVACIÓN">
      <formula>NOT(ISERROR(SEARCH("SIN OBSERVACIÓN",Q60)))</formula>
    </cfRule>
  </conditionalFormatting>
  <conditionalFormatting sqref="R60">
    <cfRule type="containsBlanks" dxfId="3730" priority="201">
      <formula>LEN(TRIM(R60))=0</formula>
    </cfRule>
    <cfRule type="cellIs" dxfId="3729" priority="203" operator="equal">
      <formula>"NO CUMPLEN CON LO SOLICITADO"</formula>
    </cfRule>
    <cfRule type="cellIs" dxfId="3728" priority="204" operator="equal">
      <formula>"CUMPLEN CON LO SOLICITADO"</formula>
    </cfRule>
    <cfRule type="cellIs" dxfId="3727" priority="205" operator="equal">
      <formula>"PENDIENTES"</formula>
    </cfRule>
    <cfRule type="cellIs" dxfId="3726" priority="206" operator="equal">
      <formula>"NINGUNO"</formula>
    </cfRule>
  </conditionalFormatting>
  <conditionalFormatting sqref="P60">
    <cfRule type="expression" dxfId="3725" priority="192">
      <formula>Q60="NO SUBSANABLE"</formula>
    </cfRule>
    <cfRule type="expression" dxfId="3724" priority="193">
      <formula>Q60="REQUERIMIENTOS SUBSANADOS"</formula>
    </cfRule>
    <cfRule type="expression" dxfId="3723" priority="194">
      <formula>Q60="PENDIENTES POR SUBSANAR"</formula>
    </cfRule>
    <cfRule type="expression" dxfId="3722" priority="195">
      <formula>Q60="SIN OBSERVACIÓN"</formula>
    </cfRule>
    <cfRule type="containsBlanks" dxfId="3721" priority="196">
      <formula>LEN(TRIM(P60))=0</formula>
    </cfRule>
  </conditionalFormatting>
  <conditionalFormatting sqref="N63">
    <cfRule type="expression" dxfId="3720" priority="189">
      <formula>N63=" "</formula>
    </cfRule>
    <cfRule type="expression" dxfId="3719" priority="190">
      <formula>N63="NO PRESENTÓ CERTIFICADO"</formula>
    </cfRule>
    <cfRule type="expression" dxfId="3718" priority="191">
      <formula>N63="PRESENTÓ CERTIFICADO"</formula>
    </cfRule>
  </conditionalFormatting>
  <conditionalFormatting sqref="Q63">
    <cfRule type="containsBlanks" dxfId="3717" priority="176">
      <formula>LEN(TRIM(Q63))=0</formula>
    </cfRule>
    <cfRule type="cellIs" dxfId="3716" priority="182" operator="equal">
      <formula>"REQUERIMIENTOS SUBSANADOS"</formula>
    </cfRule>
    <cfRule type="containsText" dxfId="3715" priority="186" operator="containsText" text="NO SUBSANABLE">
      <formula>NOT(ISERROR(SEARCH("NO SUBSANABLE",Q63)))</formula>
    </cfRule>
    <cfRule type="containsText" dxfId="3714" priority="187" operator="containsText" text="PENDIENTES POR SUBSANAR">
      <formula>NOT(ISERROR(SEARCH("PENDIENTES POR SUBSANAR",Q63)))</formula>
    </cfRule>
    <cfRule type="containsText" dxfId="3713" priority="188" operator="containsText" text="SIN OBSERVACIÓN">
      <formula>NOT(ISERROR(SEARCH("SIN OBSERVACIÓN",Q63)))</formula>
    </cfRule>
  </conditionalFormatting>
  <conditionalFormatting sqref="R63">
    <cfRule type="containsBlanks" dxfId="3712" priority="175">
      <formula>LEN(TRIM(R63))=0</formula>
    </cfRule>
    <cfRule type="cellIs" dxfId="3711" priority="177" operator="equal">
      <formula>"NO CUMPLEN CON LO SOLICITADO"</formula>
    </cfRule>
    <cfRule type="cellIs" dxfId="3710" priority="178" operator="equal">
      <formula>"CUMPLEN CON LO SOLICITADO"</formula>
    </cfRule>
    <cfRule type="cellIs" dxfId="3709" priority="179" operator="equal">
      <formula>"PENDIENTES"</formula>
    </cfRule>
    <cfRule type="cellIs" dxfId="3708" priority="180" operator="equal">
      <formula>"NINGUNO"</formula>
    </cfRule>
  </conditionalFormatting>
  <conditionalFormatting sqref="P63">
    <cfRule type="expression" dxfId="3707" priority="166">
      <formula>Q63="NO SUBSANABLE"</formula>
    </cfRule>
    <cfRule type="expression" dxfId="3706" priority="167">
      <formula>Q63="REQUERIMIENTOS SUBSANADOS"</formula>
    </cfRule>
    <cfRule type="expression" dxfId="3705" priority="168">
      <formula>Q63="PENDIENTES POR SUBSANAR"</formula>
    </cfRule>
    <cfRule type="expression" dxfId="3704" priority="169">
      <formula>Q63="SIN OBSERVACIÓN"</formula>
    </cfRule>
    <cfRule type="containsBlanks" dxfId="3703" priority="170">
      <formula>LEN(TRIM(P63))=0</formula>
    </cfRule>
  </conditionalFormatting>
  <conditionalFormatting sqref="Q69">
    <cfRule type="containsBlanks" dxfId="3702" priority="135">
      <formula>LEN(TRIM(Q69))=0</formula>
    </cfRule>
    <cfRule type="cellIs" dxfId="3701" priority="141" operator="equal">
      <formula>"REQUERIMIENTOS SUBSANADOS"</formula>
    </cfRule>
    <cfRule type="containsText" dxfId="3700" priority="145" operator="containsText" text="NO SUBSANABLE">
      <formula>NOT(ISERROR(SEARCH("NO SUBSANABLE",Q69)))</formula>
    </cfRule>
    <cfRule type="containsText" dxfId="3699" priority="146" operator="containsText" text="PENDIENTES POR SUBSANAR">
      <formula>NOT(ISERROR(SEARCH("PENDIENTES POR SUBSANAR",Q69)))</formula>
    </cfRule>
    <cfRule type="containsText" dxfId="3698" priority="147" operator="containsText" text="SIN OBSERVACIÓN">
      <formula>NOT(ISERROR(SEARCH("SIN OBSERVACIÓN",Q69)))</formula>
    </cfRule>
  </conditionalFormatting>
  <conditionalFormatting sqref="R69">
    <cfRule type="containsBlanks" dxfId="3697" priority="134">
      <formula>LEN(TRIM(R69))=0</formula>
    </cfRule>
    <cfRule type="cellIs" dxfId="3696" priority="136" operator="equal">
      <formula>"NO CUMPLEN CON LO SOLICITADO"</formula>
    </cfRule>
    <cfRule type="cellIs" dxfId="3695" priority="137" operator="equal">
      <formula>"CUMPLEN CON LO SOLICITADO"</formula>
    </cfRule>
    <cfRule type="cellIs" dxfId="3694" priority="138" operator="equal">
      <formula>"PENDIENTES"</formula>
    </cfRule>
    <cfRule type="cellIs" dxfId="3693" priority="139" operator="equal">
      <formula>"NINGUNO"</formula>
    </cfRule>
  </conditionalFormatting>
  <conditionalFormatting sqref="P69">
    <cfRule type="expression" dxfId="3692" priority="125">
      <formula>Q69="NO SUBSANABLE"</formula>
    </cfRule>
    <cfRule type="expression" dxfId="3691" priority="126">
      <formula>Q69="REQUERIMIENTOS SUBSANADOS"</formula>
    </cfRule>
    <cfRule type="expression" dxfId="3690" priority="127">
      <formula>Q69="PENDIENTES POR SUBSANAR"</formula>
    </cfRule>
    <cfRule type="expression" dxfId="3689" priority="128">
      <formula>Q69="SIN OBSERVACIÓN"</formula>
    </cfRule>
    <cfRule type="containsBlanks" dxfId="3688" priority="129">
      <formula>LEN(TRIM(P69))=0</formula>
    </cfRule>
  </conditionalFormatting>
  <conditionalFormatting sqref="J79:J87">
    <cfRule type="cellIs" dxfId="3687" priority="123" operator="equal">
      <formula>"NO CUMPLE"</formula>
    </cfRule>
    <cfRule type="cellIs" dxfId="3686" priority="124" operator="equal">
      <formula>"CUMPLE"</formula>
    </cfRule>
  </conditionalFormatting>
  <conditionalFormatting sqref="N79 N82">
    <cfRule type="expression" dxfId="3685" priority="120">
      <formula>N79=" "</formula>
    </cfRule>
    <cfRule type="expression" dxfId="3684" priority="121">
      <formula>N79="NO PRESENTÓ CERTIFICADO"</formula>
    </cfRule>
    <cfRule type="expression" dxfId="3683" priority="122">
      <formula>N79="PRESENTÓ CERTIFICADO"</formula>
    </cfRule>
  </conditionalFormatting>
  <conditionalFormatting sqref="Q79 Q82">
    <cfRule type="containsBlanks" dxfId="3682" priority="107">
      <formula>LEN(TRIM(Q79))=0</formula>
    </cfRule>
    <cfRule type="cellIs" dxfId="3681" priority="113" operator="equal">
      <formula>"REQUERIMIENTOS SUBSANADOS"</formula>
    </cfRule>
    <cfRule type="containsText" dxfId="3680" priority="117" operator="containsText" text="NO SUBSANABLE">
      <formula>NOT(ISERROR(SEARCH("NO SUBSANABLE",Q79)))</formula>
    </cfRule>
    <cfRule type="containsText" dxfId="3679" priority="118" operator="containsText" text="PENDIENTES POR SUBSANAR">
      <formula>NOT(ISERROR(SEARCH("PENDIENTES POR SUBSANAR",Q79)))</formula>
    </cfRule>
    <cfRule type="containsText" dxfId="3678" priority="119" operator="containsText" text="SIN OBSERVACIÓN">
      <formula>NOT(ISERROR(SEARCH("SIN OBSERVACIÓN",Q79)))</formula>
    </cfRule>
  </conditionalFormatting>
  <conditionalFormatting sqref="R79 R82">
    <cfRule type="containsBlanks" dxfId="3677" priority="106">
      <formula>LEN(TRIM(R79))=0</formula>
    </cfRule>
    <cfRule type="cellIs" dxfId="3676" priority="108" operator="equal">
      <formula>"NO CUMPLEN CON LO SOLICITADO"</formula>
    </cfRule>
    <cfRule type="cellIs" dxfId="3675" priority="109" operator="equal">
      <formula>"CUMPLEN CON LO SOLICITADO"</formula>
    </cfRule>
    <cfRule type="cellIs" dxfId="3674" priority="110" operator="equal">
      <formula>"PENDIENTES"</formula>
    </cfRule>
    <cfRule type="cellIs" dxfId="3673" priority="111" operator="equal">
      <formula>"NINGUNO"</formula>
    </cfRule>
  </conditionalFormatting>
  <conditionalFormatting sqref="P79">
    <cfRule type="expression" dxfId="3672" priority="97">
      <formula>Q79="NO SUBSANABLE"</formula>
    </cfRule>
    <cfRule type="expression" dxfId="3671" priority="98">
      <formula>Q79="REQUERIMIENTOS SUBSANADOS"</formula>
    </cfRule>
    <cfRule type="expression" dxfId="3670" priority="99">
      <formula>Q79="PENDIENTES POR SUBSANAR"</formula>
    </cfRule>
    <cfRule type="expression" dxfId="3669" priority="100">
      <formula>Q79="SIN OBSERVACIÓN"</formula>
    </cfRule>
    <cfRule type="containsBlanks" dxfId="3668" priority="101">
      <formula>LEN(TRIM(P79))=0</formula>
    </cfRule>
  </conditionalFormatting>
  <conditionalFormatting sqref="N85">
    <cfRule type="expression" dxfId="3667" priority="94">
      <formula>N85=" "</formula>
    </cfRule>
    <cfRule type="expression" dxfId="3666" priority="95">
      <formula>N85="NO PRESENTÓ CERTIFICADO"</formula>
    </cfRule>
    <cfRule type="expression" dxfId="3665" priority="96">
      <formula>N85="PRESENTÓ CERTIFICADO"</formula>
    </cfRule>
  </conditionalFormatting>
  <conditionalFormatting sqref="Q85">
    <cfRule type="containsBlanks" dxfId="3664" priority="77">
      <formula>LEN(TRIM(Q85))=0</formula>
    </cfRule>
    <cfRule type="cellIs" dxfId="3663" priority="82" operator="equal">
      <formula>"REQUERIMIENTOS SUBSANADOS"</formula>
    </cfRule>
    <cfRule type="containsText" dxfId="3662" priority="83" operator="containsText" text="NO SUBSANABLE">
      <formula>NOT(ISERROR(SEARCH("NO SUBSANABLE",Q85)))</formula>
    </cfRule>
    <cfRule type="containsText" dxfId="3661" priority="84" operator="containsText" text="PENDIENTES POR SUBSANAR">
      <formula>NOT(ISERROR(SEARCH("PENDIENTES POR SUBSANAR",Q85)))</formula>
    </cfRule>
    <cfRule type="containsText" dxfId="3660" priority="85" operator="containsText" text="SIN OBSERVACIÓN">
      <formula>NOT(ISERROR(SEARCH("SIN OBSERVACIÓN",Q85)))</formula>
    </cfRule>
  </conditionalFormatting>
  <conditionalFormatting sqref="R85">
    <cfRule type="containsBlanks" dxfId="3659" priority="76">
      <formula>LEN(TRIM(R85))=0</formula>
    </cfRule>
    <cfRule type="cellIs" dxfId="3658" priority="78" operator="equal">
      <formula>"NO CUMPLEN CON LO SOLICITADO"</formula>
    </cfRule>
    <cfRule type="cellIs" dxfId="3657" priority="79" operator="equal">
      <formula>"CUMPLEN CON LO SOLICITADO"</formula>
    </cfRule>
    <cfRule type="cellIs" dxfId="3656" priority="80" operator="equal">
      <formula>"PENDIENTES"</formula>
    </cfRule>
    <cfRule type="cellIs" dxfId="3655" priority="81" operator="equal">
      <formula>"NINGUNO"</formula>
    </cfRule>
  </conditionalFormatting>
  <conditionalFormatting sqref="P85">
    <cfRule type="expression" dxfId="3654" priority="71">
      <formula>Q85="NO SUBSANABLE"</formula>
    </cfRule>
    <cfRule type="expression" dxfId="3653" priority="72">
      <formula>Q85="REQUERIMIENTOS SUBSANADOS"</formula>
    </cfRule>
    <cfRule type="expression" dxfId="3652" priority="73">
      <formula>Q85="PENDIENTES POR SUBSANAR"</formula>
    </cfRule>
    <cfRule type="expression" dxfId="3651" priority="74">
      <formula>Q85="SIN OBSERVACIÓN"</formula>
    </cfRule>
    <cfRule type="containsBlanks" dxfId="3650" priority="75">
      <formula>LEN(TRIM(P85))=0</formula>
    </cfRule>
  </conditionalFormatting>
  <conditionalFormatting sqref="P82">
    <cfRule type="expression" dxfId="3649" priority="66">
      <formula>Q82="NO SUBSANABLE"</formula>
    </cfRule>
    <cfRule type="expression" dxfId="3648" priority="67">
      <formula>Q82="REQUERIMIENTOS SUBSANADOS"</formula>
    </cfRule>
    <cfRule type="expression" dxfId="3647" priority="68">
      <formula>Q82="PENDIENTES POR SUBSANAR"</formula>
    </cfRule>
    <cfRule type="expression" dxfId="3646" priority="69">
      <formula>Q82="SIN OBSERVACIÓN"</formula>
    </cfRule>
    <cfRule type="containsBlanks" dxfId="3645" priority="70">
      <formula>LEN(TRIM(P82))=0</formula>
    </cfRule>
  </conditionalFormatting>
  <conditionalFormatting sqref="Q123">
    <cfRule type="containsBlanks" dxfId="3644" priority="57">
      <formula>LEN(TRIM(Q123))=0</formula>
    </cfRule>
    <cfRule type="cellIs" dxfId="3643" priority="62" operator="equal">
      <formula>"REQUERIMIENTOS SUBSANADOS"</formula>
    </cfRule>
    <cfRule type="containsText" dxfId="3642" priority="63" operator="containsText" text="NO SUBSANABLE">
      <formula>NOT(ISERROR(SEARCH("NO SUBSANABLE",Q123)))</formula>
    </cfRule>
    <cfRule type="containsText" dxfId="3641" priority="64" operator="containsText" text="PENDIENTES POR SUBSANAR">
      <formula>NOT(ISERROR(SEARCH("PENDIENTES POR SUBSANAR",Q123)))</formula>
    </cfRule>
    <cfRule type="containsText" dxfId="3640" priority="65" operator="containsText" text="SIN OBSERVACIÓN">
      <formula>NOT(ISERROR(SEARCH("SIN OBSERVACIÓN",Q123)))</formula>
    </cfRule>
  </conditionalFormatting>
  <conditionalFormatting sqref="R123">
    <cfRule type="containsBlanks" dxfId="3639" priority="56">
      <formula>LEN(TRIM(R123))=0</formula>
    </cfRule>
    <cfRule type="cellIs" dxfId="3638" priority="58" operator="equal">
      <formula>"NO CUMPLEN CON LO SOLICITADO"</formula>
    </cfRule>
    <cfRule type="cellIs" dxfId="3637" priority="59" operator="equal">
      <formula>"CUMPLEN CON LO SOLICITADO"</formula>
    </cfRule>
    <cfRule type="cellIs" dxfId="3636" priority="60" operator="equal">
      <formula>"PENDIENTES"</formula>
    </cfRule>
    <cfRule type="cellIs" dxfId="3635" priority="61" operator="equal">
      <formula>"NINGUNO"</formula>
    </cfRule>
  </conditionalFormatting>
  <conditionalFormatting sqref="P123">
    <cfRule type="expression" dxfId="3634" priority="51">
      <formula>Q123="NO SUBSANABLE"</formula>
    </cfRule>
    <cfRule type="expression" dxfId="3633" priority="52">
      <formula>Q123="REQUERIMIENTOS SUBSANADOS"</formula>
    </cfRule>
    <cfRule type="expression" dxfId="3632" priority="53">
      <formula>Q123="PENDIENTES POR SUBSANAR"</formula>
    </cfRule>
    <cfRule type="expression" dxfId="3631" priority="54">
      <formula>Q123="SIN OBSERVACIÓN"</formula>
    </cfRule>
    <cfRule type="containsBlanks" dxfId="3630" priority="55">
      <formula>LEN(TRIM(P123))=0</formula>
    </cfRule>
  </conditionalFormatting>
  <conditionalFormatting sqref="O16 O19 O22 O25">
    <cfRule type="cellIs" dxfId="3629" priority="43" operator="equal">
      <formula>"PENDIENTE POR DESCRIPCIÓN"</formula>
    </cfRule>
    <cfRule type="cellIs" dxfId="3628" priority="44" operator="equal">
      <formula>"DESCRIPCIÓN INSUFICIENTE"</formula>
    </cfRule>
    <cfRule type="cellIs" dxfId="3627" priority="45" operator="equal">
      <formula>"NO ESTÁ ACORDE A ITEM 5.2.2 (T.R.)"</formula>
    </cfRule>
    <cfRule type="cellIs" dxfId="3626" priority="46" operator="equal">
      <formula>"ACORDE A ITEM 5.2.2 (T.R.)"</formula>
    </cfRule>
    <cfRule type="cellIs" dxfId="3625" priority="47" operator="equal">
      <formula>"PENDIENTE POR DESCRIPCIÓN"</formula>
    </cfRule>
    <cfRule type="cellIs" dxfId="3624" priority="48" operator="equal">
      <formula>"DESCRIPCIÓN INSUFICIENTE"</formula>
    </cfRule>
    <cfRule type="cellIs" dxfId="3623" priority="49" operator="equal">
      <formula>"NO ESTÁ ACORDE A ITEM 5.2.1 (T.R.)"</formula>
    </cfRule>
    <cfRule type="cellIs" dxfId="3622" priority="50" operator="equal">
      <formula>"ACORDE A ITEM 5.2.1 (T.R.)"</formula>
    </cfRule>
  </conditionalFormatting>
  <conditionalFormatting sqref="O35 O38 O41 O44 O47">
    <cfRule type="cellIs" dxfId="3621" priority="35" operator="equal">
      <formula>"PENDIENTE POR DESCRIPCIÓN"</formula>
    </cfRule>
    <cfRule type="cellIs" dxfId="3620" priority="36" operator="equal">
      <formula>"DESCRIPCIÓN INSUFICIENTE"</formula>
    </cfRule>
    <cfRule type="cellIs" dxfId="3619" priority="37" operator="equal">
      <formula>"NO ESTÁ ACORDE A ITEM 5.2.2 (T.R.)"</formula>
    </cfRule>
    <cfRule type="cellIs" dxfId="3618" priority="38" operator="equal">
      <formula>"ACORDE A ITEM 5.2.2 (T.R.)"</formula>
    </cfRule>
    <cfRule type="cellIs" dxfId="3617" priority="39" operator="equal">
      <formula>"PENDIENTE POR DESCRIPCIÓN"</formula>
    </cfRule>
    <cfRule type="cellIs" dxfId="3616" priority="40" operator="equal">
      <formula>"DESCRIPCIÓN INSUFICIENTE"</formula>
    </cfRule>
    <cfRule type="cellIs" dxfId="3615" priority="41" operator="equal">
      <formula>"NO ESTÁ ACORDE A ITEM 5.2.1 (T.R.)"</formula>
    </cfRule>
    <cfRule type="cellIs" dxfId="3614" priority="42" operator="equal">
      <formula>"ACORDE A ITEM 5.2.1 (T.R.)"</formula>
    </cfRule>
  </conditionalFormatting>
  <conditionalFormatting sqref="O57 O60 O63 O66 O69">
    <cfRule type="cellIs" dxfId="3613" priority="27" operator="equal">
      <formula>"PENDIENTE POR DESCRIPCIÓN"</formula>
    </cfRule>
    <cfRule type="cellIs" dxfId="3612" priority="28" operator="equal">
      <formula>"DESCRIPCIÓN INSUFICIENTE"</formula>
    </cfRule>
    <cfRule type="cellIs" dxfId="3611" priority="29" operator="equal">
      <formula>"NO ESTÁ ACORDE A ITEM 5.2.2 (T.R.)"</formula>
    </cfRule>
    <cfRule type="cellIs" dxfId="3610" priority="30" operator="equal">
      <formula>"ACORDE A ITEM 5.2.2 (T.R.)"</formula>
    </cfRule>
    <cfRule type="cellIs" dxfId="3609" priority="31" operator="equal">
      <formula>"PENDIENTE POR DESCRIPCIÓN"</formula>
    </cfRule>
    <cfRule type="cellIs" dxfId="3608" priority="32" operator="equal">
      <formula>"DESCRIPCIÓN INSUFICIENTE"</formula>
    </cfRule>
    <cfRule type="cellIs" dxfId="3607" priority="33" operator="equal">
      <formula>"NO ESTÁ ACORDE A ITEM 5.2.1 (T.R.)"</formula>
    </cfRule>
    <cfRule type="cellIs" dxfId="3606" priority="34" operator="equal">
      <formula>"ACORDE A ITEM 5.2.1 (T.R.)"</formula>
    </cfRule>
  </conditionalFormatting>
  <conditionalFormatting sqref="O79 O82 O85 O88 O91">
    <cfRule type="cellIs" dxfId="3605" priority="11" operator="equal">
      <formula>"PENDIENTE POR DESCRIPCIÓN"</formula>
    </cfRule>
    <cfRule type="cellIs" dxfId="3604" priority="12" operator="equal">
      <formula>"DESCRIPCIÓN INSUFICIENTE"</formula>
    </cfRule>
    <cfRule type="cellIs" dxfId="3603" priority="13" operator="equal">
      <formula>"NO ESTÁ ACORDE A ITEM 5.2.2 (T.R.)"</formula>
    </cfRule>
    <cfRule type="cellIs" dxfId="3602" priority="14" operator="equal">
      <formula>"ACORDE A ITEM 5.2.2 (T.R.)"</formula>
    </cfRule>
    <cfRule type="cellIs" dxfId="3601" priority="15" operator="equal">
      <formula>"PENDIENTE POR DESCRIPCIÓN"</formula>
    </cfRule>
    <cfRule type="cellIs" dxfId="3600" priority="16" operator="equal">
      <formula>"DESCRIPCIÓN INSUFICIENTE"</formula>
    </cfRule>
    <cfRule type="cellIs" dxfId="3599" priority="17" operator="equal">
      <formula>"NO ESTÁ ACORDE A ITEM 5.2.1 (T.R.)"</formula>
    </cfRule>
    <cfRule type="cellIs" dxfId="3598" priority="18" operator="equal">
      <formula>"ACORDE A ITEM 5.2.1 (T.R.)"</formula>
    </cfRule>
  </conditionalFormatting>
  <conditionalFormatting sqref="S16 S19 S22 S25">
    <cfRule type="cellIs" dxfId="3597" priority="9" operator="greaterThan">
      <formula>0</formula>
    </cfRule>
    <cfRule type="top10" dxfId="3596" priority="10" rank="10"/>
  </conditionalFormatting>
  <conditionalFormatting sqref="S35">
    <cfRule type="cellIs" dxfId="3595" priority="7" operator="greaterThan">
      <formula>0</formula>
    </cfRule>
    <cfRule type="top10" dxfId="3594" priority="8" rank="10"/>
  </conditionalFormatting>
  <conditionalFormatting sqref="S38 S41 S44 S47">
    <cfRule type="cellIs" dxfId="3593" priority="5" operator="greaterThan">
      <formula>0</formula>
    </cfRule>
    <cfRule type="top10" dxfId="3592" priority="6" rank="10"/>
  </conditionalFormatting>
  <conditionalFormatting sqref="S57 S60 S63 S66 S69">
    <cfRule type="cellIs" dxfId="3591" priority="3" operator="greaterThan">
      <formula>0</formula>
    </cfRule>
    <cfRule type="top10" dxfId="3590" priority="4" rank="10"/>
  </conditionalFormatting>
  <conditionalFormatting sqref="S79 S82 S85 S88 S91">
    <cfRule type="cellIs" dxfId="3589" priority="1" operator="greaterThan">
      <formula>0</formula>
    </cfRule>
    <cfRule type="top10" dxfId="3588" priority="2" rank="10"/>
  </conditionalFormatting>
  <dataValidations count="8">
    <dataValidation type="list" allowBlank="1" showInputMessage="1" showErrorMessage="1" sqref="B10 B32 B54 B76 B98 B120 B142 B164 B186 B208 B230 B252 B274 B296" xr:uid="{00000000-0002-0000-0300-000000000000}">
      <formula1>"1,2,3,4,5,6,7,8,9,10,11,12,13,14,15,16,17"</formula1>
    </dataValidation>
    <dataValidation type="list" allowBlank="1" showInputMessage="1" showErrorMessage="1" sqref="O113 O264 O261 O245 O236 O302 O201 O242 O289 O286 O277 O311 O308 O299 O305 O198 O280 O255 O283 O267 O233 O132 O101 O104 O107 O211 O192 O195 O258 O110 O135 O173 O145 O151 O157 O170 O179 O176 O167 O189 O148 O123 O126 O129 O154 O223 O220 O239 O214 O217" xr:uid="{00000000-0002-0000-0300-000001000000}">
      <formula1>"ACORDE A ITEM 5.2.2 (T.R.),NO ESTÁ ACORDE A ITEM 5.2.2 (T.R.),DESCRIPCIÓN INSUFICIENTE,PENDIENTE POR DESCRIPCIÓN"</formula1>
    </dataValidation>
    <dataValidation type="list" allowBlank="1" showInputMessage="1" showErrorMessage="1" sqref="L22:L23 L60:L61 J167:J181 L63:L64 L47:L48 L189:L190 L151:L152 L113:L114 J35:J49 L38:L39 L85:L86 L66:L67 L123:L124 L170:L171 L25:L26 L104:L105 L88:L89 L154:L155 L13:L14 L16:L17 L19:L20 L41:L42 L44:L45 L35:L36 J101:J115 J123:J137 L57:L58 L179:L180 J233:J247 L69:L70 L79:L80 J13:J27 L82:L83 L107:L108 L110:L111 L91:L92 L101:L102 J57:J71 L126:L127 L129:L130 L132:L133 L135:L136 L145:L146 J145:J159 L148:L149 L173:L174 L176:L177 L157:L158 L167:L168 L192:L193 L201:L202 L195:L196 L198:L199 J189:J203 L211:L212 L214:L215 L223:L224 L217:L218 L220:L221 J211:J225 L233:L234 L236:L237 L245:L246 L239:L240 L242:L243 J255:J269 L255:L256 L258:L259 L267:L268 L261:L262 L264:L265 J277:J291 L277:L278 L280:L281 L289:L290 L283:L284 L286:L287 J299:J313 L299:L300 L302:L303 L311:L312 L305:L306 L308:L309 J79:J93" xr:uid="{00000000-0002-0000-0300-000002000000}">
      <formula1>",CUMPLE,NO CUMPLE"</formula1>
    </dataValidation>
    <dataValidation type="list" allowBlank="1" showInputMessage="1" showErrorMessage="1" sqref="H107 H16 H19 H22 H25 H104 H13 H41 H44 H47 H299 H258 H261 H35 H38 H79 H82 H85 H88 H91 H101 H126 H129 H110 H113 H123 H170 H173 H132 H135 H145 H148 H151 H154 H157 H167 H264 H267 H176 H179 H189 H192 H195 H198 H201 H211 H214 H217 H220 H223 H233 H236 H239 H242 H245 H255 H302 H305 H308 H311 H277 H280 H283 H286 H289 H57 H60 H63 H66 H69" xr:uid="{00000000-0002-0000-0300-000003000000}">
      <formula1>"I,C,UT"</formula1>
    </dataValidation>
    <dataValidation type="list" allowBlank="1" showInputMessage="1" showErrorMessage="1" sqref="N113 N19 N22 N16 N305 N25 N13 N41 N44 N47 N311 N299 N302 N35 N201 N38 N66 N69 N88 N91 N132 N101 N104 N107 N148 N123 N110 N126 N129 N135 N173 N145 N151 N157 N170 N179 N176 N167 N189 N211 N192 N195 N198 N63 N154 N223 N239 N214 N217 N220 N245 N267 N233 N236 N242 N264 N255 N283 N258 N261 N289 N277 N308 N280 N286 N57 N60 N82 N85 N79" xr:uid="{00000000-0002-0000-0300-000004000000}">
      <formula1>"PRESENTÓ CERTIFICADO,NO PRESENTÓ CERTIFICADO"</formula1>
    </dataValidation>
    <dataValidation type="list" allowBlank="1" showInputMessage="1" showErrorMessage="1" sqref="Q113 Q19 Q22 Q25 Q311 Q16 Q13 Q41 Q44 Q299 Q305 Q308 Q35 Q47 Q211 Q66 Q63 Q88 Q38 Q132 Q101 Q104 Q107 Q91 Q195 Q198 Q201 Q69 Q110 Q173 Q145 Q151 Q157 Q135 Q179 Q176 Q167 Q189 Q170 Q192 Q148 Q85 Q126 Q129 Q154 Q239 Q217 Q220 Q223 Q214 Q267 Q236 Q242 Q245 Q233 Q255 Q258 Q261 Q264 Q280 Q277 Q283 Q286 Q289 Q302 Q57 Q60 Q82 Q79 Q123" xr:uid="{00000000-0002-0000-0300-000005000000}">
      <formula1>"SIN OBSERVACIÓN, PENDIENTES POR SUBSANAR, REQUERIMIENTOS SUBSANADOS, NO SUBSANABLE"</formula1>
    </dataValidation>
    <dataValidation type="list" allowBlank="1" showInputMessage="1" showErrorMessage="1" sqref="R113 R19 R22 R25 R308 R16 R13 R41 R44 R47 R311 R302 R305 R35 R201 R38 R66 R63 R88 R91 R132 R101 R104 R107 R192 R195 R198 R69 R110 R135 R173 R145 R151 R157 R170 R179 R176 R167 R189 R211 R148 R85 R126 R129 R154 R223 R214 R217 R220 R239 R245 R233 R236 R242 R267 R264 R280 R258 R261 R255 R289 R277 R283 R286 R299 R57 R60 R82 R79 R123" xr:uid="{00000000-0002-0000-0300-000006000000}">
      <formula1>"NINGUNO, PENDIENTES, CUMPLEN CON LO SOLICITADO, NO CUMPLEN CON LO SOLICITADO"</formula1>
    </dataValidation>
    <dataValidation type="list" allowBlank="1" showInputMessage="1" showErrorMessage="1" sqref="O13:O27 O35:O49 O57:O71 O79:O93" xr:uid="{00000000-0002-0000-0300-000007000000}">
      <formula1>"ACORDE A ITEM 6.2.2.1 (T.R.),NO ESTÁ ACORDE A ITEM 6.2.2.1 (T.R.),DESCRIPCIÓN INSUFICIENTE,PENDIENTE POR DESCRIPCIÓN"</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5"/>
  <sheetViews>
    <sheetView topLeftCell="A78" zoomScale="70" zoomScaleNormal="70" workbookViewId="0">
      <selection activeCell="W1" sqref="W1:AI1048576"/>
    </sheetView>
  </sheetViews>
  <sheetFormatPr baseColWidth="10" defaultColWidth="11.5" defaultRowHeight="16"/>
  <cols>
    <col min="1" max="1" width="6" style="12" customWidth="1"/>
    <col min="2" max="2" width="6.83203125" style="12" bestFit="1" customWidth="1"/>
    <col min="3" max="3" width="27.83203125" style="13" customWidth="1"/>
    <col min="4" max="4" width="17" style="13" customWidth="1"/>
    <col min="5" max="5" width="23.1640625" style="24" customWidth="1"/>
    <col min="6" max="6" width="29.5" style="25" customWidth="1"/>
    <col min="7" max="7" width="17.5" style="25" customWidth="1"/>
    <col min="8" max="9" width="16.6640625" style="13" customWidth="1"/>
    <col min="10" max="10" width="18.5" style="13" hidden="1" customWidth="1"/>
    <col min="11" max="11" width="11.33203125" style="13" hidden="1" customWidth="1"/>
    <col min="12" max="12" width="18.5" style="13" hidden="1" customWidth="1"/>
    <col min="13" max="13" width="12" style="13" hidden="1" customWidth="1"/>
    <col min="14" max="14" width="24.6640625" style="13" customWidth="1"/>
    <col min="15" max="15" width="25.5" style="13" customWidth="1"/>
    <col min="16" max="16" width="47.6640625" style="13" customWidth="1"/>
    <col min="17" max="17" width="32.33203125" style="13" customWidth="1"/>
    <col min="18" max="18" width="24.5" style="13" customWidth="1"/>
    <col min="19" max="19" width="22.1640625" style="13" hidden="1" customWidth="1"/>
    <col min="20" max="20" width="65.1640625" style="13" customWidth="1"/>
    <col min="21" max="21" width="19" style="13" hidden="1" customWidth="1"/>
    <col min="22" max="22" width="11.5" style="13"/>
    <col min="23" max="23" width="11.5" style="29" hidden="1" customWidth="1"/>
    <col min="24" max="24" width="39.5" style="29" hidden="1" customWidth="1"/>
    <col min="25" max="25" width="22.83203125" style="29" hidden="1" customWidth="1"/>
    <col min="26" max="26" width="32.5" style="29" hidden="1" customWidth="1"/>
    <col min="27" max="29" width="11.5" style="13" hidden="1" customWidth="1"/>
    <col min="30" max="30" width="35.1640625" style="13" hidden="1" customWidth="1"/>
    <col min="31" max="31" width="23.5" style="13" hidden="1" customWidth="1"/>
    <col min="32" max="35" width="11.5" style="13" hidden="1" customWidth="1"/>
    <col min="36" max="36" width="11.5" style="13" customWidth="1"/>
    <col min="37" max="16384" width="11.5" style="13"/>
  </cols>
  <sheetData>
    <row r="1" spans="1:35" ht="40" customHeight="1">
      <c r="B1" s="632" t="s">
        <v>190</v>
      </c>
      <c r="C1" s="633"/>
      <c r="D1" s="633"/>
      <c r="E1" s="633"/>
      <c r="F1" s="633"/>
      <c r="G1" s="633"/>
      <c r="H1" s="633"/>
      <c r="I1" s="633"/>
      <c r="J1" s="633"/>
      <c r="K1" s="633"/>
      <c r="L1" s="633"/>
      <c r="M1" s="633"/>
      <c r="N1" s="633"/>
      <c r="O1" s="633"/>
      <c r="P1" s="633"/>
      <c r="Q1" s="633"/>
      <c r="R1" s="633"/>
      <c r="S1" s="634"/>
      <c r="W1" s="13"/>
      <c r="X1" s="13"/>
      <c r="Y1" s="13"/>
      <c r="Z1" s="13"/>
    </row>
    <row r="2" spans="1:35" s="16" customFormat="1" ht="12.75" customHeight="1">
      <c r="A2" s="14"/>
      <c r="B2" s="14"/>
      <c r="C2" s="15"/>
      <c r="D2" s="15"/>
      <c r="E2" s="15"/>
      <c r="F2" s="15"/>
      <c r="G2" s="15"/>
      <c r="H2" s="15"/>
      <c r="I2" s="13"/>
      <c r="J2" s="13"/>
      <c r="K2" s="13"/>
      <c r="L2" s="13"/>
      <c r="M2" s="13"/>
    </row>
    <row r="3" spans="1:35" s="16" customFormat="1" ht="279" customHeight="1">
      <c r="B3" s="635" t="s">
        <v>192</v>
      </c>
      <c r="C3" s="636"/>
      <c r="D3" s="636"/>
      <c r="E3" s="636"/>
      <c r="F3" s="636"/>
      <c r="G3" s="636"/>
      <c r="H3" s="636"/>
      <c r="I3" s="636"/>
      <c r="J3" s="636"/>
      <c r="K3" s="636"/>
      <c r="L3" s="636"/>
      <c r="M3" s="636"/>
      <c r="N3" s="636"/>
      <c r="O3" s="636"/>
      <c r="P3" s="636"/>
      <c r="Q3" s="636"/>
      <c r="R3" s="636"/>
      <c r="S3" s="637"/>
    </row>
    <row r="4" spans="1:35" s="16" customFormat="1" ht="12.75" customHeight="1">
      <c r="F4" s="624"/>
      <c r="G4" s="624"/>
      <c r="H4" s="624"/>
      <c r="I4" s="624"/>
      <c r="J4" s="624"/>
      <c r="K4" s="624"/>
      <c r="L4" s="624"/>
      <c r="M4" s="624"/>
      <c r="N4" s="624"/>
      <c r="O4" s="13"/>
      <c r="P4" s="13"/>
    </row>
    <row r="5" spans="1:35" s="16" customFormat="1" ht="30.75" customHeight="1">
      <c r="F5" s="625" t="s">
        <v>133</v>
      </c>
      <c r="G5" s="626"/>
      <c r="H5" s="17" t="s">
        <v>21</v>
      </c>
      <c r="L5" s="638" t="s">
        <v>22</v>
      </c>
      <c r="M5" s="638"/>
      <c r="N5" s="639" t="s">
        <v>23</v>
      </c>
      <c r="O5" s="639"/>
      <c r="P5" s="287" t="s">
        <v>24</v>
      </c>
    </row>
    <row r="6" spans="1:35" s="16" customFormat="1" ht="18">
      <c r="F6" s="640">
        <v>908526</v>
      </c>
      <c r="G6" s="641"/>
      <c r="H6" s="182">
        <v>1.5</v>
      </c>
      <c r="L6" s="638"/>
      <c r="M6" s="638"/>
      <c r="N6" s="642">
        <v>672323975</v>
      </c>
      <c r="O6" s="642"/>
      <c r="P6" s="18">
        <f>+ROUND(N6/$F$6,0)</f>
        <v>740</v>
      </c>
    </row>
    <row r="7" spans="1:35" s="16" customFormat="1" ht="12.75" customHeight="1">
      <c r="A7" s="19"/>
      <c r="B7" s="19"/>
      <c r="C7" s="20"/>
      <c r="D7" s="21"/>
      <c r="E7" s="22"/>
      <c r="F7" s="281"/>
      <c r="G7" s="13"/>
      <c r="H7" s="13"/>
      <c r="I7" s="23"/>
      <c r="J7" s="13"/>
      <c r="K7" s="13"/>
      <c r="L7" s="13"/>
      <c r="M7" s="13"/>
    </row>
    <row r="8" spans="1:35">
      <c r="W8" s="13"/>
      <c r="X8" s="13"/>
      <c r="Y8" s="13"/>
      <c r="Z8" s="13"/>
    </row>
    <row r="9" spans="1:35">
      <c r="W9" s="13"/>
      <c r="X9" s="13"/>
      <c r="Y9" s="13"/>
      <c r="Z9" s="13"/>
    </row>
    <row r="10" spans="1:35" ht="74.25" customHeight="1">
      <c r="B10" s="26">
        <v>1</v>
      </c>
      <c r="C10" s="660" t="s">
        <v>193</v>
      </c>
      <c r="D10" s="661"/>
      <c r="E10" s="662"/>
      <c r="F10" s="663" t="str">
        <f>IFERROR(VLOOKUP(B10,LISTA_OFERENTES,2,FALSE)," ")</f>
        <v>KER INGENIERIA S.A.S.</v>
      </c>
      <c r="G10" s="664"/>
      <c r="H10" s="664"/>
      <c r="I10" s="664"/>
      <c r="J10" s="664"/>
      <c r="K10" s="664"/>
      <c r="L10" s="664"/>
      <c r="M10" s="664"/>
      <c r="N10" s="664"/>
      <c r="O10" s="665"/>
      <c r="P10" s="666" t="s">
        <v>26</v>
      </c>
      <c r="Q10" s="667"/>
      <c r="R10" s="668"/>
      <c r="S10" s="27">
        <f>5-(INT(COUNTBLANK(C13:C27))-10)</f>
        <v>0</v>
      </c>
      <c r="T10" s="28"/>
    </row>
    <row r="11" spans="1:35" s="30" customFormat="1" ht="33.75" customHeight="1">
      <c r="B11" s="669" t="s">
        <v>27</v>
      </c>
      <c r="C11" s="643" t="s">
        <v>28</v>
      </c>
      <c r="D11" s="643" t="s">
        <v>29</v>
      </c>
      <c r="E11" s="643" t="s">
        <v>30</v>
      </c>
      <c r="F11" s="643" t="s">
        <v>31</v>
      </c>
      <c r="G11" s="643" t="s">
        <v>32</v>
      </c>
      <c r="H11" s="643" t="s">
        <v>33</v>
      </c>
      <c r="I11" s="643" t="s">
        <v>34</v>
      </c>
      <c r="J11" s="657" t="s">
        <v>35</v>
      </c>
      <c r="K11" s="658"/>
      <c r="L11" s="658"/>
      <c r="M11" s="659"/>
      <c r="N11" s="643" t="s">
        <v>36</v>
      </c>
      <c r="O11" s="643" t="s">
        <v>37</v>
      </c>
      <c r="P11" s="657" t="s">
        <v>38</v>
      </c>
      <c r="Q11" s="659"/>
      <c r="R11" s="643" t="s">
        <v>39</v>
      </c>
      <c r="S11" s="643" t="s">
        <v>40</v>
      </c>
      <c r="T11" s="643" t="s">
        <v>194</v>
      </c>
      <c r="U11" s="643" t="s">
        <v>134</v>
      </c>
      <c r="V11" s="31"/>
      <c r="W11" s="645" t="s">
        <v>41</v>
      </c>
      <c r="X11" s="646"/>
      <c r="Y11" s="647"/>
      <c r="Z11" s="32" t="s">
        <v>42</v>
      </c>
    </row>
    <row r="12" spans="1:35" s="30" customFormat="1" ht="63" customHeight="1">
      <c r="B12" s="670"/>
      <c r="C12" s="644"/>
      <c r="D12" s="644"/>
      <c r="E12" s="644"/>
      <c r="F12" s="644"/>
      <c r="G12" s="644"/>
      <c r="H12" s="644"/>
      <c r="I12" s="644"/>
      <c r="J12" s="648" t="s">
        <v>43</v>
      </c>
      <c r="K12" s="649"/>
      <c r="L12" s="649"/>
      <c r="M12" s="650"/>
      <c r="N12" s="644"/>
      <c r="O12" s="644"/>
      <c r="P12" s="33" t="s">
        <v>10</v>
      </c>
      <c r="Q12" s="33" t="s">
        <v>44</v>
      </c>
      <c r="R12" s="644"/>
      <c r="S12" s="644"/>
      <c r="T12" s="644"/>
      <c r="U12" s="644"/>
      <c r="V12" s="31"/>
      <c r="W12" s="34">
        <v>1</v>
      </c>
      <c r="X12" s="35" t="str">
        <f>IFERROR(VLOOKUP(W12,LISTA_OFERENTES,2,FALSE)," ")</f>
        <v>KER INGENIERIA S.A.S.</v>
      </c>
      <c r="Y12" s="35" t="str">
        <f ca="1">VLOOKUP(X12,BANDERA,2,FALSE)</f>
        <v>NO CUMPLE</v>
      </c>
      <c r="Z12" s="36" t="str">
        <f ca="1">IF(Y12="CUMPLE","H","NH")</f>
        <v>NH</v>
      </c>
      <c r="AD12" s="35" t="str">
        <f>X12</f>
        <v>KER INGENIERIA S.A.S.</v>
      </c>
      <c r="AE12" s="37" t="str">
        <f ca="1">INDIRECT("T"&amp;AH12)</f>
        <v>NO CUMPLE</v>
      </c>
      <c r="AG12" s="36" t="s">
        <v>45</v>
      </c>
      <c r="AH12" s="38">
        <v>28</v>
      </c>
      <c r="AI12" s="39"/>
    </row>
    <row r="13" spans="1:35" s="41" customFormat="1" ht="25" hidden="1" customHeight="1">
      <c r="A13" s="40"/>
      <c r="B13" s="651">
        <v>1</v>
      </c>
      <c r="C13" s="654"/>
      <c r="D13" s="654"/>
      <c r="E13" s="654"/>
      <c r="F13" s="654"/>
      <c r="G13" s="681"/>
      <c r="H13" s="684"/>
      <c r="I13" s="687"/>
      <c r="J13" s="183"/>
      <c r="K13" s="38"/>
      <c r="L13" s="183"/>
      <c r="M13" s="38"/>
      <c r="N13" s="690"/>
      <c r="O13" s="690"/>
      <c r="P13" s="693"/>
      <c r="Q13" s="544"/>
      <c r="R13" s="544"/>
      <c r="S13" s="671">
        <f>IF(COUNTIF(J13:K15,"CUMPLE")&gt;=1,(G13*I13),0)* (IF(N13="PRESENTÓ CERTIFICADO",1,0))* (IF(O13="ACORDE A ITEM 6.2.2.1 (T.R.)",1,0) )* ( IF(OR(Q13="SIN OBSERVACIÓN", Q13="REQUERIMIENTOS SUBSANADOS"),1,0)) *(IF(OR(R13="NINGUNO", R13="CUMPLEN CON LO SOLICITADO"),1,0))</f>
        <v>0</v>
      </c>
      <c r="T13" s="674"/>
      <c r="U13" s="677">
        <f t="shared" ref="U13" si="0">IF(COUNTIF(J13:K15,"CUMPLE")&gt;=1,1,0)</f>
        <v>0</v>
      </c>
      <c r="W13" s="34">
        <v>2</v>
      </c>
      <c r="X13" s="35" t="str">
        <f t="shared" ref="X13:X28" si="1">IFERROR(VLOOKUP(W13,LISTA_OFERENTES,2,FALSE)," ")</f>
        <v>UNIÓN TEMPORAL SUPERVISOR 2021</v>
      </c>
      <c r="Y13" s="35" t="str">
        <f t="shared" ref="Y13:Y27" ca="1" si="2">VLOOKUP(X13,BANDERA,2,FALSE)</f>
        <v>NO CUMPLE</v>
      </c>
      <c r="Z13" s="36" t="str">
        <f t="shared" ref="Z13:Z25" ca="1" si="3">IF(Y13="CUMPLE","H","NH")</f>
        <v>NH</v>
      </c>
      <c r="AD13" s="35" t="str">
        <f t="shared" ref="AD13:AD28" si="4">X13</f>
        <v>UNIÓN TEMPORAL SUPERVISOR 2021</v>
      </c>
      <c r="AE13" s="37" t="str">
        <f ca="1">INDIRECT("T"&amp;AH13)</f>
        <v>NO CUMPLE</v>
      </c>
      <c r="AF13" s="42"/>
      <c r="AG13" s="36" t="s">
        <v>45</v>
      </c>
      <c r="AH13" s="38">
        <f>AH12+AI$13</f>
        <v>50</v>
      </c>
      <c r="AI13" s="678">
        <v>22</v>
      </c>
    </row>
    <row r="14" spans="1:35" s="41" customFormat="1" ht="25" hidden="1" customHeight="1">
      <c r="A14" s="40"/>
      <c r="B14" s="652"/>
      <c r="C14" s="655"/>
      <c r="D14" s="655"/>
      <c r="E14" s="655"/>
      <c r="F14" s="655"/>
      <c r="G14" s="682"/>
      <c r="H14" s="685"/>
      <c r="I14" s="688"/>
      <c r="J14" s="183"/>
      <c r="K14" s="38"/>
      <c r="L14" s="696"/>
      <c r="M14" s="678"/>
      <c r="N14" s="691"/>
      <c r="O14" s="691"/>
      <c r="P14" s="694"/>
      <c r="Q14" s="567"/>
      <c r="R14" s="567"/>
      <c r="S14" s="672"/>
      <c r="T14" s="675"/>
      <c r="U14" s="677"/>
      <c r="W14" s="34">
        <v>3</v>
      </c>
      <c r="X14" s="35" t="str">
        <f t="shared" si="1"/>
        <v>PreVeo S.A.S.</v>
      </c>
      <c r="Y14" s="35" t="str">
        <f t="shared" ca="1" si="2"/>
        <v xml:space="preserve">CUMPLE </v>
      </c>
      <c r="Z14" s="36" t="str">
        <f t="shared" ca="1" si="3"/>
        <v>NH</v>
      </c>
      <c r="AD14" s="35" t="str">
        <f t="shared" si="4"/>
        <v>PreVeo S.A.S.</v>
      </c>
      <c r="AE14" s="37" t="str">
        <f t="shared" ref="AE14:AE28" ca="1" si="5">INDIRECT("T"&amp;AH14)</f>
        <v xml:space="preserve">CUMPLE </v>
      </c>
      <c r="AF14" s="42"/>
      <c r="AG14" s="36" t="s">
        <v>45</v>
      </c>
      <c r="AH14" s="38">
        <f>AH13+AI$13</f>
        <v>72</v>
      </c>
      <c r="AI14" s="679"/>
    </row>
    <row r="15" spans="1:35" s="41" customFormat="1" ht="25" hidden="1" customHeight="1">
      <c r="A15" s="40"/>
      <c r="B15" s="653"/>
      <c r="C15" s="656"/>
      <c r="D15" s="656"/>
      <c r="E15" s="656"/>
      <c r="F15" s="656"/>
      <c r="G15" s="683"/>
      <c r="H15" s="686"/>
      <c r="I15" s="689"/>
      <c r="J15" s="183"/>
      <c r="K15" s="38"/>
      <c r="L15" s="697"/>
      <c r="M15" s="680"/>
      <c r="N15" s="692"/>
      <c r="O15" s="692"/>
      <c r="P15" s="695"/>
      <c r="Q15" s="545"/>
      <c r="R15" s="545"/>
      <c r="S15" s="673"/>
      <c r="T15" s="675"/>
      <c r="U15" s="677"/>
      <c r="W15" s="34">
        <v>4</v>
      </c>
      <c r="X15" s="35" t="str">
        <f t="shared" si="1"/>
        <v>INTERVE S.A.S.</v>
      </c>
      <c r="Y15" s="35" t="str">
        <f t="shared" ca="1" si="2"/>
        <v xml:space="preserve">CUMPLE </v>
      </c>
      <c r="Z15" s="36" t="str">
        <f t="shared" ca="1" si="3"/>
        <v>NH</v>
      </c>
      <c r="AD15" s="35" t="str">
        <f t="shared" si="4"/>
        <v>INTERVE S.A.S.</v>
      </c>
      <c r="AE15" s="37" t="str">
        <f t="shared" ca="1" si="5"/>
        <v xml:space="preserve">CUMPLE </v>
      </c>
      <c r="AF15" s="42"/>
      <c r="AG15" s="36" t="s">
        <v>45</v>
      </c>
      <c r="AH15" s="38">
        <f>AH14+AI$13</f>
        <v>94</v>
      </c>
      <c r="AI15" s="679"/>
    </row>
    <row r="16" spans="1:35" s="41" customFormat="1" ht="25" hidden="1" customHeight="1">
      <c r="A16" s="40"/>
      <c r="B16" s="651">
        <v>2</v>
      </c>
      <c r="C16" s="712"/>
      <c r="D16" s="712"/>
      <c r="E16" s="712"/>
      <c r="F16" s="712"/>
      <c r="G16" s="715"/>
      <c r="H16" s="684"/>
      <c r="I16" s="709"/>
      <c r="J16" s="183"/>
      <c r="K16" s="38"/>
      <c r="L16" s="183"/>
      <c r="M16" s="38"/>
      <c r="N16" s="690"/>
      <c r="O16" s="690"/>
      <c r="P16" s="693"/>
      <c r="Q16" s="544"/>
      <c r="R16" s="544"/>
      <c r="S16" s="671">
        <f t="shared" ref="S16" si="6">IF(COUNTIF(J16:K18,"CUMPLE")&gt;=1,(G16*I16),0)* (IF(N16="PRESENTÓ CERTIFICADO",1,0))* (IF(O16="ACORDE A ITEM 6.2.2.1 (T.R.)",1,0) )* ( IF(OR(Q16="SIN OBSERVACIÓN", Q16="REQUERIMIENTOS SUBSANADOS"),1,0)) *(IF(OR(R16="NINGUNO", R16="CUMPLEN CON LO SOLICITADO"),1,0))</f>
        <v>0</v>
      </c>
      <c r="T16" s="675"/>
      <c r="U16" s="677">
        <f>IF(COUNTIF(L16:M18,"CUMPLE")&gt;=1,1,0)</f>
        <v>0</v>
      </c>
      <c r="W16" s="34">
        <v>5</v>
      </c>
      <c r="X16" s="35">
        <f t="shared" si="1"/>
        <v>0</v>
      </c>
      <c r="Y16" s="35" t="str">
        <f t="shared" ca="1" si="2"/>
        <v>NO CUMPLE</v>
      </c>
      <c r="Z16" s="36" t="str">
        <f t="shared" ca="1" si="3"/>
        <v>NH</v>
      </c>
      <c r="AD16" s="35">
        <f t="shared" si="4"/>
        <v>0</v>
      </c>
      <c r="AE16" s="37" t="str">
        <f t="shared" ca="1" si="5"/>
        <v>NO CUMPLE</v>
      </c>
      <c r="AF16" s="42"/>
      <c r="AG16" s="36" t="s">
        <v>45</v>
      </c>
      <c r="AH16" s="38">
        <f>AH15+AI$13</f>
        <v>116</v>
      </c>
      <c r="AI16" s="679"/>
    </row>
    <row r="17" spans="1:35" s="41" customFormat="1" ht="25" hidden="1" customHeight="1">
      <c r="A17" s="40"/>
      <c r="B17" s="652"/>
      <c r="C17" s="713"/>
      <c r="D17" s="713"/>
      <c r="E17" s="713"/>
      <c r="F17" s="713"/>
      <c r="G17" s="716"/>
      <c r="H17" s="685"/>
      <c r="I17" s="710"/>
      <c r="J17" s="183"/>
      <c r="K17" s="38"/>
      <c r="L17" s="696"/>
      <c r="M17" s="678"/>
      <c r="N17" s="691"/>
      <c r="O17" s="691"/>
      <c r="P17" s="694"/>
      <c r="Q17" s="567"/>
      <c r="R17" s="567"/>
      <c r="S17" s="672"/>
      <c r="T17" s="675"/>
      <c r="U17" s="677"/>
      <c r="W17" s="34">
        <v>6</v>
      </c>
      <c r="X17" s="35">
        <f t="shared" si="1"/>
        <v>0</v>
      </c>
      <c r="Y17" s="35" t="str">
        <f t="shared" ca="1" si="2"/>
        <v>NO CUMPLE</v>
      </c>
      <c r="Z17" s="36" t="str">
        <f t="shared" ca="1" si="3"/>
        <v>NH</v>
      </c>
      <c r="AD17" s="35">
        <f t="shared" si="4"/>
        <v>0</v>
      </c>
      <c r="AE17" s="37" t="str">
        <f t="shared" ca="1" si="5"/>
        <v>NO CUMPLE</v>
      </c>
      <c r="AF17" s="42"/>
      <c r="AG17" s="36" t="s">
        <v>45</v>
      </c>
      <c r="AH17" s="38">
        <f>AH16+AI$13</f>
        <v>138</v>
      </c>
      <c r="AI17" s="679"/>
    </row>
    <row r="18" spans="1:35" s="41" customFormat="1" ht="25" hidden="1" customHeight="1">
      <c r="A18" s="40"/>
      <c r="B18" s="653"/>
      <c r="C18" s="714"/>
      <c r="D18" s="714"/>
      <c r="E18" s="714"/>
      <c r="F18" s="714"/>
      <c r="G18" s="717"/>
      <c r="H18" s="686"/>
      <c r="I18" s="711"/>
      <c r="J18" s="183"/>
      <c r="K18" s="38"/>
      <c r="L18" s="697"/>
      <c r="M18" s="680"/>
      <c r="N18" s="692"/>
      <c r="O18" s="692"/>
      <c r="P18" s="695"/>
      <c r="Q18" s="545"/>
      <c r="R18" s="545"/>
      <c r="S18" s="673"/>
      <c r="T18" s="675"/>
      <c r="U18" s="677"/>
      <c r="W18" s="34">
        <v>7</v>
      </c>
      <c r="X18" s="35">
        <f t="shared" si="1"/>
        <v>0</v>
      </c>
      <c r="Y18" s="35" t="str">
        <f t="shared" ca="1" si="2"/>
        <v>NO CUMPLE</v>
      </c>
      <c r="Z18" s="36" t="str">
        <f t="shared" ca="1" si="3"/>
        <v>NH</v>
      </c>
      <c r="AD18" s="35">
        <f t="shared" si="4"/>
        <v>0</v>
      </c>
      <c r="AE18" s="37" t="str">
        <f t="shared" ca="1" si="5"/>
        <v>NO CUMPLE</v>
      </c>
      <c r="AF18" s="43"/>
      <c r="AG18" s="36" t="s">
        <v>45</v>
      </c>
      <c r="AH18" s="38">
        <f t="shared" ref="AH18:AH28" si="7">AH17+AI$13</f>
        <v>160</v>
      </c>
      <c r="AI18" s="679"/>
    </row>
    <row r="19" spans="1:35" s="41" customFormat="1" ht="25" hidden="1" customHeight="1">
      <c r="A19" s="40"/>
      <c r="B19" s="651">
        <v>3</v>
      </c>
      <c r="C19" s="654"/>
      <c r="D19" s="654"/>
      <c r="E19" s="654"/>
      <c r="F19" s="654"/>
      <c r="G19" s="681"/>
      <c r="H19" s="684"/>
      <c r="I19" s="687"/>
      <c r="J19" s="183"/>
      <c r="K19" s="38"/>
      <c r="L19" s="183"/>
      <c r="M19" s="38"/>
      <c r="N19" s="690"/>
      <c r="O19" s="690"/>
      <c r="P19" s="693"/>
      <c r="Q19" s="544"/>
      <c r="R19" s="544"/>
      <c r="S19" s="671">
        <f t="shared" ref="S19" si="8">IF(COUNTIF(J19:K21,"CUMPLE")&gt;=1,(G19*I19),0)* (IF(N19="PRESENTÓ CERTIFICADO",1,0))* (IF(O19="ACORDE A ITEM 6.2.2.1 (T.R.)",1,0) )* ( IF(OR(Q19="SIN OBSERVACIÓN", Q19="REQUERIMIENTOS SUBSANADOS"),1,0)) *(IF(OR(R19="NINGUNO", R19="CUMPLEN CON LO SOLICITADO"),1,0))</f>
        <v>0</v>
      </c>
      <c r="T19" s="675"/>
      <c r="U19" s="677">
        <f>IF(COUNTIF(L19:M21,"CUMPLE")&gt;=1,1,0)</f>
        <v>0</v>
      </c>
      <c r="W19" s="34">
        <v>8</v>
      </c>
      <c r="X19" s="35">
        <f t="shared" si="1"/>
        <v>0</v>
      </c>
      <c r="Y19" s="35" t="str">
        <f t="shared" ca="1" si="2"/>
        <v>NO CUMPLE</v>
      </c>
      <c r="Z19" s="36" t="str">
        <f t="shared" ca="1" si="3"/>
        <v>NH</v>
      </c>
      <c r="AD19" s="35">
        <f t="shared" si="4"/>
        <v>0</v>
      </c>
      <c r="AE19" s="37" t="str">
        <f t="shared" ca="1" si="5"/>
        <v>NO CUMPLE</v>
      </c>
      <c r="AF19" s="43"/>
      <c r="AG19" s="36" t="s">
        <v>45</v>
      </c>
      <c r="AH19" s="38">
        <f t="shared" si="7"/>
        <v>182</v>
      </c>
      <c r="AI19" s="679"/>
    </row>
    <row r="20" spans="1:35" s="41" customFormat="1" ht="25" hidden="1" customHeight="1">
      <c r="A20" s="40"/>
      <c r="B20" s="652"/>
      <c r="C20" s="655"/>
      <c r="D20" s="655"/>
      <c r="E20" s="655"/>
      <c r="F20" s="655"/>
      <c r="G20" s="682"/>
      <c r="H20" s="685"/>
      <c r="I20" s="688"/>
      <c r="J20" s="183"/>
      <c r="K20" s="38"/>
      <c r="L20" s="696"/>
      <c r="M20" s="678"/>
      <c r="N20" s="691"/>
      <c r="O20" s="691"/>
      <c r="P20" s="694"/>
      <c r="Q20" s="567"/>
      <c r="R20" s="567"/>
      <c r="S20" s="672"/>
      <c r="T20" s="675"/>
      <c r="U20" s="677"/>
      <c r="W20" s="34">
        <v>9</v>
      </c>
      <c r="X20" s="35">
        <f t="shared" si="1"/>
        <v>0</v>
      </c>
      <c r="Y20" s="35" t="str">
        <f t="shared" ca="1" si="2"/>
        <v>NO CUMPLE</v>
      </c>
      <c r="Z20" s="36" t="str">
        <f t="shared" ca="1" si="3"/>
        <v>NH</v>
      </c>
      <c r="AD20" s="35">
        <f t="shared" si="4"/>
        <v>0</v>
      </c>
      <c r="AE20" s="37" t="str">
        <f t="shared" ca="1" si="5"/>
        <v>CUMPLE</v>
      </c>
      <c r="AF20" s="43"/>
      <c r="AG20" s="36" t="s">
        <v>45</v>
      </c>
      <c r="AH20" s="38">
        <f t="shared" si="7"/>
        <v>204</v>
      </c>
      <c r="AI20" s="679"/>
    </row>
    <row r="21" spans="1:35" s="41" customFormat="1" ht="25" hidden="1" customHeight="1">
      <c r="A21" s="40"/>
      <c r="B21" s="653"/>
      <c r="C21" s="656"/>
      <c r="D21" s="656"/>
      <c r="E21" s="656"/>
      <c r="F21" s="656"/>
      <c r="G21" s="683"/>
      <c r="H21" s="686"/>
      <c r="I21" s="689"/>
      <c r="J21" s="183"/>
      <c r="K21" s="38"/>
      <c r="L21" s="697"/>
      <c r="M21" s="680"/>
      <c r="N21" s="692"/>
      <c r="O21" s="692"/>
      <c r="P21" s="695"/>
      <c r="Q21" s="545"/>
      <c r="R21" s="545"/>
      <c r="S21" s="673"/>
      <c r="T21" s="675"/>
      <c r="U21" s="677"/>
      <c r="W21" s="34">
        <v>10</v>
      </c>
      <c r="X21" s="35">
        <f t="shared" si="1"/>
        <v>0</v>
      </c>
      <c r="Y21" s="35" t="str">
        <f t="shared" ca="1" si="2"/>
        <v>NO CUMPLE</v>
      </c>
      <c r="Z21" s="36" t="str">
        <f t="shared" ca="1" si="3"/>
        <v>NH</v>
      </c>
      <c r="AD21" s="35">
        <f t="shared" si="4"/>
        <v>0</v>
      </c>
      <c r="AE21" s="37" t="str">
        <f t="shared" ca="1" si="5"/>
        <v>NO CUMPLE</v>
      </c>
      <c r="AF21" s="43"/>
      <c r="AG21" s="36" t="s">
        <v>45</v>
      </c>
      <c r="AH21" s="38">
        <f t="shared" si="7"/>
        <v>226</v>
      </c>
      <c r="AI21" s="679"/>
    </row>
    <row r="22" spans="1:35" s="41" customFormat="1" ht="25" hidden="1" customHeight="1">
      <c r="A22" s="40"/>
      <c r="B22" s="651">
        <v>4</v>
      </c>
      <c r="C22" s="712"/>
      <c r="D22" s="712"/>
      <c r="E22" s="712"/>
      <c r="F22" s="712"/>
      <c r="G22" s="715"/>
      <c r="H22" s="684"/>
      <c r="I22" s="709"/>
      <c r="J22" s="183"/>
      <c r="K22" s="38">
        <f>+$K$13</f>
        <v>0</v>
      </c>
      <c r="L22" s="183"/>
      <c r="M22" s="38"/>
      <c r="N22" s="690"/>
      <c r="O22" s="690"/>
      <c r="P22" s="693"/>
      <c r="Q22" s="544"/>
      <c r="R22" s="544"/>
      <c r="S22" s="671">
        <f t="shared" ref="S22" si="9">IF(COUNTIF(J22:K24,"CUMPLE")&gt;=1,(G22*I22),0)* (IF(N22="PRESENTÓ CERTIFICADO",1,0))* (IF(O22="ACORDE A ITEM 6.2.2.1 (T.R.)",1,0) )* ( IF(OR(Q22="SIN OBSERVACIÓN", Q22="REQUERIMIENTOS SUBSANADOS"),1,0)) *(IF(OR(R22="NINGUNO", R22="CUMPLEN CON LO SOLICITADO"),1,0))</f>
        <v>0</v>
      </c>
      <c r="T22" s="675"/>
      <c r="U22" s="677">
        <f>IF(COUNTIF(L22:M24,"CUMPLE")&gt;=1,1,0)</f>
        <v>0</v>
      </c>
      <c r="W22" s="34">
        <v>11</v>
      </c>
      <c r="X22" s="35">
        <f t="shared" si="1"/>
        <v>0</v>
      </c>
      <c r="Y22" s="35" t="str">
        <f t="shared" ca="1" si="2"/>
        <v>NO CUMPLE</v>
      </c>
      <c r="Z22" s="36" t="str">
        <f t="shared" ca="1" si="3"/>
        <v>NH</v>
      </c>
      <c r="AD22" s="35">
        <f t="shared" si="4"/>
        <v>0</v>
      </c>
      <c r="AE22" s="37" t="str">
        <f t="shared" ca="1" si="5"/>
        <v>NO CUMPLE</v>
      </c>
      <c r="AF22" s="43"/>
      <c r="AG22" s="36" t="s">
        <v>45</v>
      </c>
      <c r="AH22" s="38">
        <f t="shared" si="7"/>
        <v>248</v>
      </c>
      <c r="AI22" s="679"/>
    </row>
    <row r="23" spans="1:35" s="41" customFormat="1" ht="25" hidden="1" customHeight="1">
      <c r="A23" s="40"/>
      <c r="B23" s="652"/>
      <c r="C23" s="713"/>
      <c r="D23" s="713"/>
      <c r="E23" s="713"/>
      <c r="F23" s="713"/>
      <c r="G23" s="716"/>
      <c r="H23" s="685"/>
      <c r="I23" s="710"/>
      <c r="J23" s="183"/>
      <c r="K23" s="38">
        <f>+$K$14</f>
        <v>0</v>
      </c>
      <c r="L23" s="696"/>
      <c r="M23" s="678"/>
      <c r="N23" s="691"/>
      <c r="O23" s="691"/>
      <c r="P23" s="694"/>
      <c r="Q23" s="567"/>
      <c r="R23" s="567"/>
      <c r="S23" s="672"/>
      <c r="T23" s="675"/>
      <c r="U23" s="677"/>
      <c r="W23" s="34">
        <v>12</v>
      </c>
      <c r="X23" s="35">
        <f t="shared" si="1"/>
        <v>0</v>
      </c>
      <c r="Y23" s="35" t="str">
        <f t="shared" ca="1" si="2"/>
        <v>NO CUMPLE</v>
      </c>
      <c r="Z23" s="36" t="str">
        <f t="shared" ca="1" si="3"/>
        <v>NH</v>
      </c>
      <c r="AD23" s="35">
        <f t="shared" si="4"/>
        <v>0</v>
      </c>
      <c r="AE23" s="37" t="str">
        <f t="shared" ca="1" si="5"/>
        <v>NO CUMPLE</v>
      </c>
      <c r="AF23" s="43"/>
      <c r="AG23" s="36" t="s">
        <v>45</v>
      </c>
      <c r="AH23" s="38">
        <f t="shared" si="7"/>
        <v>270</v>
      </c>
      <c r="AI23" s="679"/>
    </row>
    <row r="24" spans="1:35" s="41" customFormat="1" ht="25" hidden="1" customHeight="1">
      <c r="A24" s="40"/>
      <c r="B24" s="653"/>
      <c r="C24" s="714"/>
      <c r="D24" s="714"/>
      <c r="E24" s="714"/>
      <c r="F24" s="714"/>
      <c r="G24" s="717"/>
      <c r="H24" s="686"/>
      <c r="I24" s="711"/>
      <c r="J24" s="183"/>
      <c r="K24" s="38">
        <f>+$K$15</f>
        <v>0</v>
      </c>
      <c r="L24" s="697"/>
      <c r="M24" s="680"/>
      <c r="N24" s="692"/>
      <c r="O24" s="692"/>
      <c r="P24" s="695"/>
      <c r="Q24" s="545"/>
      <c r="R24" s="545"/>
      <c r="S24" s="673"/>
      <c r="T24" s="675"/>
      <c r="U24" s="677"/>
      <c r="W24" s="34">
        <v>13</v>
      </c>
      <c r="X24" s="35">
        <f t="shared" si="1"/>
        <v>0</v>
      </c>
      <c r="Y24" s="35" t="str">
        <f t="shared" ca="1" si="2"/>
        <v>NO CUMPLE</v>
      </c>
      <c r="Z24" s="36" t="str">
        <f t="shared" ca="1" si="3"/>
        <v>NH</v>
      </c>
      <c r="AD24" s="35">
        <f t="shared" si="4"/>
        <v>0</v>
      </c>
      <c r="AE24" s="37" t="str">
        <f t="shared" ca="1" si="5"/>
        <v>NO CUMPLE</v>
      </c>
      <c r="AF24" s="43"/>
      <c r="AG24" s="36" t="s">
        <v>45</v>
      </c>
      <c r="AH24" s="38">
        <f t="shared" si="7"/>
        <v>292</v>
      </c>
      <c r="AI24" s="679"/>
    </row>
    <row r="25" spans="1:35" s="41" customFormat="1" ht="25" hidden="1" customHeight="1">
      <c r="A25" s="40"/>
      <c r="B25" s="651">
        <v>5</v>
      </c>
      <c r="C25" s="654"/>
      <c r="D25" s="654"/>
      <c r="E25" s="654"/>
      <c r="F25" s="654"/>
      <c r="G25" s="681"/>
      <c r="H25" s="684"/>
      <c r="I25" s="687"/>
      <c r="J25" s="183"/>
      <c r="K25" s="38">
        <f>+$K$13</f>
        <v>0</v>
      </c>
      <c r="L25" s="183"/>
      <c r="M25" s="38"/>
      <c r="N25" s="690"/>
      <c r="O25" s="690"/>
      <c r="P25" s="693"/>
      <c r="Q25" s="544"/>
      <c r="R25" s="544"/>
      <c r="S25" s="671">
        <f t="shared" ref="S25" si="10">IF(COUNTIF(J25:K27,"CUMPLE")&gt;=1,(G25*I25),0)* (IF(N25="PRESENTÓ CERTIFICADO",1,0))* (IF(O25="ACORDE A ITEM 6.2.2.1 (T.R.)",1,0) )* ( IF(OR(Q25="SIN OBSERVACIÓN", Q25="REQUERIMIENTOS SUBSANADOS"),1,0)) *(IF(OR(R25="NINGUNO", R25="CUMPLEN CON LO SOLICITADO"),1,0))</f>
        <v>0</v>
      </c>
      <c r="T25" s="675"/>
      <c r="U25" s="677">
        <f>IF(COUNTIF(L25:M27,"CUMPLE")&gt;=1,1,0)</f>
        <v>0</v>
      </c>
      <c r="W25" s="34">
        <v>14</v>
      </c>
      <c r="X25" s="35">
        <f t="shared" si="1"/>
        <v>0</v>
      </c>
      <c r="Y25" s="35" t="str">
        <f t="shared" ca="1" si="2"/>
        <v>NO CUMPLE</v>
      </c>
      <c r="Z25" s="36" t="str">
        <f t="shared" ca="1" si="3"/>
        <v>NH</v>
      </c>
      <c r="AD25" s="35">
        <f t="shared" si="4"/>
        <v>0</v>
      </c>
      <c r="AE25" s="37" t="str">
        <f t="shared" ca="1" si="5"/>
        <v>NO CUMPLE</v>
      </c>
      <c r="AF25" s="43"/>
      <c r="AG25" s="36" t="s">
        <v>45</v>
      </c>
      <c r="AH25" s="38">
        <f t="shared" si="7"/>
        <v>314</v>
      </c>
      <c r="AI25" s="679"/>
    </row>
    <row r="26" spans="1:35" s="41" customFormat="1" ht="25" hidden="1" customHeight="1">
      <c r="A26" s="40"/>
      <c r="B26" s="652"/>
      <c r="C26" s="655"/>
      <c r="D26" s="655"/>
      <c r="E26" s="655"/>
      <c r="F26" s="655"/>
      <c r="G26" s="682"/>
      <c r="H26" s="685"/>
      <c r="I26" s="688"/>
      <c r="J26" s="183"/>
      <c r="K26" s="38">
        <f>+$K$14</f>
        <v>0</v>
      </c>
      <c r="L26" s="696"/>
      <c r="M26" s="678"/>
      <c r="N26" s="691"/>
      <c r="O26" s="691"/>
      <c r="P26" s="694"/>
      <c r="Q26" s="567"/>
      <c r="R26" s="567"/>
      <c r="S26" s="672"/>
      <c r="T26" s="675"/>
      <c r="U26" s="677"/>
      <c r="W26" s="34">
        <v>15</v>
      </c>
      <c r="X26" s="35">
        <f t="shared" si="1"/>
        <v>0</v>
      </c>
      <c r="Y26" s="35" t="str">
        <f t="shared" ca="1" si="2"/>
        <v>NO CUMPLE</v>
      </c>
      <c r="Z26" s="36" t="str">
        <f ca="1">IF(Y26="CUMPLE","H","NH")</f>
        <v>NH</v>
      </c>
      <c r="AD26" s="35">
        <f t="shared" si="4"/>
        <v>0</v>
      </c>
      <c r="AE26" s="37">
        <f t="shared" ca="1" si="5"/>
        <v>0</v>
      </c>
      <c r="AF26" s="43"/>
      <c r="AG26" s="36" t="s">
        <v>45</v>
      </c>
      <c r="AH26" s="38">
        <f t="shared" si="7"/>
        <v>336</v>
      </c>
      <c r="AI26" s="679"/>
    </row>
    <row r="27" spans="1:35" s="41" customFormat="1" ht="25" hidden="1" customHeight="1">
      <c r="A27" s="40"/>
      <c r="B27" s="653"/>
      <c r="C27" s="656"/>
      <c r="D27" s="656"/>
      <c r="E27" s="656"/>
      <c r="F27" s="656"/>
      <c r="G27" s="683"/>
      <c r="H27" s="686"/>
      <c r="I27" s="689"/>
      <c r="J27" s="183"/>
      <c r="K27" s="38">
        <f>+$K$15</f>
        <v>0</v>
      </c>
      <c r="L27" s="697"/>
      <c r="M27" s="680"/>
      <c r="N27" s="692"/>
      <c r="O27" s="692"/>
      <c r="P27" s="695"/>
      <c r="Q27" s="545"/>
      <c r="R27" s="545"/>
      <c r="S27" s="673"/>
      <c r="T27" s="676"/>
      <c r="U27" s="677"/>
      <c r="W27" s="34">
        <v>16</v>
      </c>
      <c r="X27" s="35">
        <f t="shared" si="1"/>
        <v>0</v>
      </c>
      <c r="Y27" s="35" t="str">
        <f t="shared" ca="1" si="2"/>
        <v>NO CUMPLE</v>
      </c>
      <c r="Z27" s="36" t="str">
        <f ca="1">IF(Y27="CUMPLE","H","NH")</f>
        <v>NH</v>
      </c>
      <c r="AD27" s="35">
        <f t="shared" si="4"/>
        <v>0</v>
      </c>
      <c r="AE27" s="37">
        <f t="shared" ca="1" si="5"/>
        <v>0</v>
      </c>
      <c r="AG27" s="36" t="s">
        <v>45</v>
      </c>
      <c r="AH27" s="38">
        <f t="shared" si="7"/>
        <v>358</v>
      </c>
      <c r="AI27" s="679"/>
    </row>
    <row r="28" spans="1:35" s="28" customFormat="1" ht="25" customHeight="1">
      <c r="B28" s="698" t="str">
        <f>IF(S29=" "," ",IF(S29&gt;=$H$6,"CUMPLE CON LA EXPERIENCIA REQUERIDA","NO CUMPLE CON LA EXPERIENCIA REQUERIDA"))</f>
        <v>NO CUMPLE CON LA EXPERIENCIA REQUERIDA</v>
      </c>
      <c r="C28" s="699"/>
      <c r="D28" s="699"/>
      <c r="E28" s="699"/>
      <c r="F28" s="699"/>
      <c r="G28" s="699"/>
      <c r="H28" s="699"/>
      <c r="I28" s="699"/>
      <c r="J28" s="699"/>
      <c r="K28" s="699"/>
      <c r="L28" s="699"/>
      <c r="M28" s="699"/>
      <c r="N28" s="699"/>
      <c r="O28" s="700"/>
      <c r="P28" s="704" t="s">
        <v>46</v>
      </c>
      <c r="Q28" s="705"/>
      <c r="R28" s="706"/>
      <c r="S28" s="44">
        <f>IF(T13="SI",SUM(S13:S27),0)</f>
        <v>0</v>
      </c>
      <c r="T28" s="707" t="str">
        <f>IF(S29=" "," ",IF(S29&gt;=$H$6,"CUMPLE","NO CUMPLE"))</f>
        <v>NO CUMPLE</v>
      </c>
      <c r="W28" s="34">
        <v>17</v>
      </c>
      <c r="X28" s="35">
        <f t="shared" si="1"/>
        <v>0</v>
      </c>
      <c r="Y28" s="35" t="str">
        <f t="shared" ref="Y28" ca="1" si="11">VLOOKUP(X28,BANDERA,2,FALSE)</f>
        <v>NO CUMPLE</v>
      </c>
      <c r="Z28" s="36" t="str">
        <f t="shared" ref="Z28" ca="1" si="12">IF(Y28="CUMPLE","H","NH")</f>
        <v>NH</v>
      </c>
      <c r="AA28" s="41"/>
      <c r="AB28" s="41"/>
      <c r="AC28" s="41"/>
      <c r="AD28" s="35">
        <f t="shared" si="4"/>
        <v>0</v>
      </c>
      <c r="AE28" s="37">
        <f t="shared" ca="1" si="5"/>
        <v>0</v>
      </c>
      <c r="AF28" s="41"/>
      <c r="AG28" s="36" t="s">
        <v>45</v>
      </c>
      <c r="AH28" s="38">
        <f t="shared" si="7"/>
        <v>380</v>
      </c>
      <c r="AI28" s="680"/>
    </row>
    <row r="29" spans="1:35" s="41" customFormat="1" ht="25" customHeight="1">
      <c r="B29" s="701"/>
      <c r="C29" s="702"/>
      <c r="D29" s="702"/>
      <c r="E29" s="702"/>
      <c r="F29" s="702"/>
      <c r="G29" s="702"/>
      <c r="H29" s="702"/>
      <c r="I29" s="702"/>
      <c r="J29" s="702"/>
      <c r="K29" s="702"/>
      <c r="L29" s="702"/>
      <c r="M29" s="702"/>
      <c r="N29" s="702"/>
      <c r="O29" s="703"/>
      <c r="P29" s="704" t="s">
        <v>47</v>
      </c>
      <c r="Q29" s="705"/>
      <c r="R29" s="706"/>
      <c r="S29" s="44">
        <f>IFERROR((S28/$P$6)," ")</f>
        <v>0</v>
      </c>
      <c r="T29" s="708"/>
      <c r="W29" s="29"/>
      <c r="X29" s="29"/>
      <c r="Y29" s="29"/>
      <c r="Z29" s="29"/>
      <c r="AD29" s="13"/>
      <c r="AE29" s="13"/>
      <c r="AF29" s="13"/>
      <c r="AG29" s="13"/>
      <c r="AH29" s="13"/>
      <c r="AI29" s="13"/>
    </row>
    <row r="30" spans="1:35" s="41" customFormat="1" ht="30" customHeight="1">
      <c r="W30" s="29"/>
      <c r="X30" s="29"/>
      <c r="Y30" s="29"/>
      <c r="Z30" s="29"/>
      <c r="AD30" s="13"/>
      <c r="AE30" s="13"/>
      <c r="AF30" s="13"/>
      <c r="AG30" s="13"/>
      <c r="AH30" s="13"/>
      <c r="AI30" s="13"/>
    </row>
    <row r="31" spans="1:35" ht="30" customHeight="1">
      <c r="AA31" s="41"/>
      <c r="AB31" s="41"/>
      <c r="AC31" s="41"/>
    </row>
    <row r="32" spans="1:35" ht="56.25" customHeight="1">
      <c r="B32" s="26">
        <v>2</v>
      </c>
      <c r="C32" s="660" t="str">
        <f>+C10</f>
        <v>EXPERIENCIA ESPECÍFICA</v>
      </c>
      <c r="D32" s="661"/>
      <c r="E32" s="662"/>
      <c r="F32" s="663" t="str">
        <f>IFERROR(VLOOKUP(B32,LISTA_OFERENTES,2,FALSE)," ")</f>
        <v>UNIÓN TEMPORAL SUPERVISOR 2021</v>
      </c>
      <c r="G32" s="664"/>
      <c r="H32" s="664"/>
      <c r="I32" s="664"/>
      <c r="J32" s="664"/>
      <c r="K32" s="664"/>
      <c r="L32" s="664"/>
      <c r="M32" s="664"/>
      <c r="N32" s="664"/>
      <c r="O32" s="665"/>
      <c r="P32" s="666" t="s">
        <v>26</v>
      </c>
      <c r="Q32" s="667"/>
      <c r="R32" s="668"/>
      <c r="S32" s="27">
        <f>5-(INT(COUNTBLANK(C35:C49))-10)</f>
        <v>0</v>
      </c>
      <c r="T32" s="28"/>
      <c r="AA32" s="41"/>
      <c r="AB32" s="41"/>
      <c r="AC32" s="41"/>
    </row>
    <row r="33" spans="1:35" s="42" customFormat="1" ht="38.25" customHeight="1">
      <c r="B33" s="669" t="s">
        <v>27</v>
      </c>
      <c r="C33" s="643" t="s">
        <v>28</v>
      </c>
      <c r="D33" s="643" t="s">
        <v>29</v>
      </c>
      <c r="E33" s="643" t="s">
        <v>30</v>
      </c>
      <c r="F33" s="643" t="s">
        <v>31</v>
      </c>
      <c r="G33" s="643" t="s">
        <v>32</v>
      </c>
      <c r="H33" s="643" t="s">
        <v>33</v>
      </c>
      <c r="I33" s="643" t="s">
        <v>34</v>
      </c>
      <c r="J33" s="657" t="s">
        <v>35</v>
      </c>
      <c r="K33" s="658"/>
      <c r="L33" s="658"/>
      <c r="M33" s="659"/>
      <c r="N33" s="643" t="s">
        <v>36</v>
      </c>
      <c r="O33" s="643" t="s">
        <v>37</v>
      </c>
      <c r="P33" s="657" t="s">
        <v>38</v>
      </c>
      <c r="Q33" s="659"/>
      <c r="R33" s="643" t="s">
        <v>39</v>
      </c>
      <c r="S33" s="643" t="s">
        <v>40</v>
      </c>
      <c r="T33" s="643" t="str">
        <f>+$T$11</f>
        <v>Cumple con el requerimiento del numeral 6.2.2.2.1</v>
      </c>
      <c r="U33" s="643" t="str">
        <f>+$U$11</f>
        <v xml:space="preserve">VERIFICACIÓN CONDICIÓN DE EXPERIENCIA  </v>
      </c>
      <c r="V33" s="45"/>
      <c r="W33" s="29"/>
      <c r="X33" s="29"/>
      <c r="Y33" s="29"/>
      <c r="Z33" s="29"/>
      <c r="AA33" s="41"/>
      <c r="AB33" s="41"/>
      <c r="AC33" s="41"/>
      <c r="AD33" s="13"/>
      <c r="AE33" s="13"/>
      <c r="AF33" s="13"/>
      <c r="AG33" s="13"/>
      <c r="AH33" s="13"/>
      <c r="AI33" s="13"/>
    </row>
    <row r="34" spans="1:35" s="42" customFormat="1" ht="59.25" customHeight="1">
      <c r="B34" s="670"/>
      <c r="C34" s="644"/>
      <c r="D34" s="644"/>
      <c r="E34" s="644"/>
      <c r="F34" s="644"/>
      <c r="G34" s="644"/>
      <c r="H34" s="644"/>
      <c r="I34" s="644"/>
      <c r="J34" s="648" t="s">
        <v>43</v>
      </c>
      <c r="K34" s="649"/>
      <c r="L34" s="649"/>
      <c r="M34" s="650"/>
      <c r="N34" s="644"/>
      <c r="O34" s="644"/>
      <c r="P34" s="33" t="s">
        <v>10</v>
      </c>
      <c r="Q34" s="33" t="s">
        <v>44</v>
      </c>
      <c r="R34" s="644"/>
      <c r="S34" s="644"/>
      <c r="T34" s="644"/>
      <c r="U34" s="644"/>
      <c r="V34" s="45"/>
      <c r="W34" s="29"/>
      <c r="X34" s="29"/>
      <c r="Y34" s="29"/>
      <c r="Z34" s="29"/>
      <c r="AA34" s="41"/>
      <c r="AB34" s="41"/>
      <c r="AC34" s="41"/>
      <c r="AD34" s="13"/>
      <c r="AE34" s="13"/>
      <c r="AF34" s="13"/>
      <c r="AG34" s="13"/>
      <c r="AH34" s="13"/>
      <c r="AI34" s="13"/>
    </row>
    <row r="35" spans="1:35" s="41" customFormat="1" ht="30.75" hidden="1" customHeight="1">
      <c r="A35" s="40"/>
      <c r="B35" s="651">
        <v>1</v>
      </c>
      <c r="C35" s="654"/>
      <c r="D35" s="654"/>
      <c r="E35" s="654"/>
      <c r="F35" s="654"/>
      <c r="G35" s="681"/>
      <c r="H35" s="684"/>
      <c r="I35" s="687"/>
      <c r="J35" s="183"/>
      <c r="K35" s="38">
        <f>+$K$13</f>
        <v>0</v>
      </c>
      <c r="L35" s="183"/>
      <c r="M35" s="38">
        <f t="shared" ref="M35" si="13">+$M$13</f>
        <v>0</v>
      </c>
      <c r="N35" s="690"/>
      <c r="O35" s="690"/>
      <c r="P35" s="693"/>
      <c r="Q35" s="544"/>
      <c r="R35" s="544"/>
      <c r="S35" s="671">
        <f>IF(COUNTIF(J35:K37,"CUMPLE")&gt;=1,(G35*I35),0)* (IF(N35="PRESENTÓ CERTIFICADO",1,0))* (IF(O35="ACORDE A ITEM 6.2.2.1 (T.R.)",1,0) )* ( IF(OR(Q35="SIN OBSERVACIÓN", Q35="REQUERIMIENTOS SUBSANADOS"),1,0)) *(IF(OR(R35="NINGUNO", R35="CUMPLEN CON LO SOLICITADO"),1,0))</f>
        <v>0</v>
      </c>
      <c r="T35" s="674"/>
      <c r="U35" s="677">
        <f t="shared" ref="U35:U47" si="14">IF(COUNTIF(J35:K37,"CUMPLE")&gt;=1,1,0)</f>
        <v>0</v>
      </c>
      <c r="W35" s="29"/>
      <c r="X35" s="29"/>
      <c r="Y35" s="29"/>
      <c r="Z35" s="29"/>
      <c r="AD35" s="13"/>
      <c r="AE35" s="13"/>
      <c r="AF35" s="13"/>
      <c r="AG35" s="13"/>
      <c r="AH35" s="13"/>
      <c r="AI35" s="13"/>
    </row>
    <row r="36" spans="1:35" s="41" customFormat="1" ht="30.75" hidden="1" customHeight="1">
      <c r="A36" s="40"/>
      <c r="B36" s="652"/>
      <c r="C36" s="655"/>
      <c r="D36" s="655"/>
      <c r="E36" s="655"/>
      <c r="F36" s="655"/>
      <c r="G36" s="682"/>
      <c r="H36" s="685"/>
      <c r="I36" s="688"/>
      <c r="J36" s="183"/>
      <c r="K36" s="38">
        <f>+$K$14</f>
        <v>0</v>
      </c>
      <c r="L36" s="696"/>
      <c r="M36" s="678">
        <f t="shared" ref="M36" si="15">+$M$14</f>
        <v>0</v>
      </c>
      <c r="N36" s="691"/>
      <c r="O36" s="691"/>
      <c r="P36" s="694"/>
      <c r="Q36" s="567"/>
      <c r="R36" s="567"/>
      <c r="S36" s="672"/>
      <c r="T36" s="675"/>
      <c r="U36" s="677"/>
      <c r="W36" s="29"/>
      <c r="X36" s="29"/>
      <c r="Y36" s="29"/>
      <c r="Z36" s="29"/>
      <c r="AD36" s="13"/>
      <c r="AE36" s="13"/>
      <c r="AF36" s="13"/>
      <c r="AG36" s="13"/>
      <c r="AH36" s="13"/>
      <c r="AI36" s="13"/>
    </row>
    <row r="37" spans="1:35" s="41" customFormat="1" ht="30.75" hidden="1" customHeight="1">
      <c r="A37" s="40"/>
      <c r="B37" s="653"/>
      <c r="C37" s="656"/>
      <c r="D37" s="656"/>
      <c r="E37" s="656"/>
      <c r="F37" s="656"/>
      <c r="G37" s="683"/>
      <c r="H37" s="686"/>
      <c r="I37" s="689"/>
      <c r="J37" s="183"/>
      <c r="K37" s="38">
        <f>+$K$15</f>
        <v>0</v>
      </c>
      <c r="L37" s="697"/>
      <c r="M37" s="680"/>
      <c r="N37" s="692"/>
      <c r="O37" s="692"/>
      <c r="P37" s="695"/>
      <c r="Q37" s="545"/>
      <c r="R37" s="545"/>
      <c r="S37" s="673"/>
      <c r="T37" s="675"/>
      <c r="U37" s="677"/>
      <c r="W37" s="29"/>
      <c r="X37" s="29"/>
      <c r="Y37" s="29"/>
      <c r="Z37" s="29"/>
      <c r="AD37" s="13"/>
      <c r="AE37" s="13"/>
      <c r="AF37" s="13"/>
      <c r="AG37" s="13"/>
      <c r="AH37" s="13"/>
      <c r="AI37" s="13"/>
    </row>
    <row r="38" spans="1:35" s="41" customFormat="1" ht="25.5" hidden="1" customHeight="1">
      <c r="A38" s="40"/>
      <c r="B38" s="651">
        <v>2</v>
      </c>
      <c r="C38" s="712"/>
      <c r="D38" s="712"/>
      <c r="E38" s="718"/>
      <c r="F38" s="712"/>
      <c r="G38" s="715"/>
      <c r="H38" s="684"/>
      <c r="I38" s="709"/>
      <c r="J38" s="183"/>
      <c r="K38" s="38">
        <f>+$K$13</f>
        <v>0</v>
      </c>
      <c r="L38" s="183"/>
      <c r="M38" s="38">
        <f t="shared" ref="M38" si="16">+$M$13</f>
        <v>0</v>
      </c>
      <c r="N38" s="690"/>
      <c r="O38" s="690"/>
      <c r="P38" s="693"/>
      <c r="Q38" s="544"/>
      <c r="R38" s="544"/>
      <c r="S38" s="671">
        <f t="shared" ref="S38" si="17">IF(COUNTIF(J38:K40,"CUMPLE")&gt;=1,(G38*I38),0)* (IF(N38="PRESENTÓ CERTIFICADO",1,0))* (IF(O38="ACORDE A ITEM 6.2.2.1 (T.R.)",1,0) )* ( IF(OR(Q38="SIN OBSERVACIÓN", Q38="REQUERIMIENTOS SUBSANADOS"),1,0)) *(IF(OR(R38="NINGUNO", R38="CUMPLEN CON LO SOLICITADO"),1,0))</f>
        <v>0</v>
      </c>
      <c r="T38" s="675"/>
      <c r="U38" s="677">
        <f t="shared" si="14"/>
        <v>0</v>
      </c>
      <c r="W38" s="29"/>
      <c r="X38" s="29"/>
      <c r="Y38" s="29"/>
      <c r="Z38" s="29"/>
      <c r="AD38" s="13"/>
      <c r="AE38" s="13"/>
      <c r="AF38" s="13"/>
      <c r="AG38" s="13"/>
      <c r="AH38" s="13"/>
      <c r="AI38" s="13"/>
    </row>
    <row r="39" spans="1:35" s="41" customFormat="1" ht="25.5" hidden="1" customHeight="1">
      <c r="A39" s="40"/>
      <c r="B39" s="652"/>
      <c r="C39" s="713"/>
      <c r="D39" s="713"/>
      <c r="E39" s="719"/>
      <c r="F39" s="713"/>
      <c r="G39" s="716"/>
      <c r="H39" s="685"/>
      <c r="I39" s="710"/>
      <c r="J39" s="183"/>
      <c r="K39" s="38">
        <f>+$K$14</f>
        <v>0</v>
      </c>
      <c r="L39" s="696"/>
      <c r="M39" s="678">
        <f t="shared" ref="M39" si="18">+$M$14</f>
        <v>0</v>
      </c>
      <c r="N39" s="691"/>
      <c r="O39" s="691"/>
      <c r="P39" s="694"/>
      <c r="Q39" s="567"/>
      <c r="R39" s="567"/>
      <c r="S39" s="672"/>
      <c r="T39" s="675"/>
      <c r="U39" s="677"/>
      <c r="W39" s="29"/>
      <c r="X39" s="29"/>
      <c r="Y39" s="29"/>
      <c r="Z39" s="29"/>
      <c r="AD39" s="13"/>
      <c r="AE39" s="13"/>
      <c r="AF39" s="13"/>
      <c r="AG39" s="13"/>
      <c r="AH39" s="13"/>
      <c r="AI39" s="13"/>
    </row>
    <row r="40" spans="1:35" s="41" customFormat="1" ht="25.5" hidden="1" customHeight="1">
      <c r="A40" s="40"/>
      <c r="B40" s="653"/>
      <c r="C40" s="714"/>
      <c r="D40" s="714"/>
      <c r="E40" s="720"/>
      <c r="F40" s="714"/>
      <c r="G40" s="717"/>
      <c r="H40" s="686"/>
      <c r="I40" s="711"/>
      <c r="J40" s="183"/>
      <c r="K40" s="38">
        <f>+$K$15</f>
        <v>0</v>
      </c>
      <c r="L40" s="697"/>
      <c r="M40" s="680"/>
      <c r="N40" s="692"/>
      <c r="O40" s="692"/>
      <c r="P40" s="695"/>
      <c r="Q40" s="545"/>
      <c r="R40" s="545"/>
      <c r="S40" s="673"/>
      <c r="T40" s="675"/>
      <c r="U40" s="677"/>
      <c r="W40" s="29"/>
      <c r="X40" s="29"/>
      <c r="Y40" s="29"/>
      <c r="Z40" s="29"/>
      <c r="AD40" s="13"/>
      <c r="AE40" s="13"/>
      <c r="AF40" s="13"/>
      <c r="AG40" s="13"/>
      <c r="AH40" s="13"/>
      <c r="AI40" s="13"/>
    </row>
    <row r="41" spans="1:35" s="41" customFormat="1" ht="25" hidden="1" customHeight="1">
      <c r="A41" s="40"/>
      <c r="B41" s="651">
        <v>3</v>
      </c>
      <c r="C41" s="654"/>
      <c r="D41" s="654"/>
      <c r="E41" s="654"/>
      <c r="F41" s="654"/>
      <c r="G41" s="681"/>
      <c r="H41" s="684"/>
      <c r="I41" s="687"/>
      <c r="J41" s="183"/>
      <c r="K41" s="38">
        <f>+$K$13</f>
        <v>0</v>
      </c>
      <c r="L41" s="183"/>
      <c r="M41" s="38">
        <f t="shared" ref="M41" si="19">+$M$13</f>
        <v>0</v>
      </c>
      <c r="N41" s="690"/>
      <c r="O41" s="690"/>
      <c r="P41" s="693"/>
      <c r="Q41" s="544"/>
      <c r="R41" s="544"/>
      <c r="S41" s="671">
        <f t="shared" ref="S41" si="20">IF(COUNTIF(J41:K43,"CUMPLE")&gt;=1,(G41*I41),0)* (IF(N41="PRESENTÓ CERTIFICADO",1,0))* (IF(O41="ACORDE A ITEM 6.2.2.1 (T.R.)",1,0) )* ( IF(OR(Q41="SIN OBSERVACIÓN", Q41="REQUERIMIENTOS SUBSANADOS"),1,0)) *(IF(OR(R41="NINGUNO", R41="CUMPLEN CON LO SOLICITADO"),1,0))</f>
        <v>0</v>
      </c>
      <c r="T41" s="675"/>
      <c r="U41" s="677">
        <f t="shared" si="14"/>
        <v>0</v>
      </c>
      <c r="W41" s="29"/>
      <c r="X41" s="29"/>
      <c r="Y41" s="29"/>
      <c r="Z41" s="29"/>
      <c r="AA41" s="28"/>
      <c r="AB41" s="28"/>
      <c r="AC41" s="28"/>
      <c r="AD41" s="13"/>
      <c r="AE41" s="13"/>
      <c r="AF41" s="13"/>
      <c r="AG41" s="13"/>
      <c r="AH41" s="13"/>
      <c r="AI41" s="13"/>
    </row>
    <row r="42" spans="1:35" s="41" customFormat="1" ht="25" hidden="1" customHeight="1">
      <c r="A42" s="40"/>
      <c r="B42" s="652"/>
      <c r="C42" s="655"/>
      <c r="D42" s="655"/>
      <c r="E42" s="655"/>
      <c r="F42" s="655"/>
      <c r="G42" s="682"/>
      <c r="H42" s="685"/>
      <c r="I42" s="688"/>
      <c r="J42" s="183"/>
      <c r="K42" s="38">
        <f>+$K$14</f>
        <v>0</v>
      </c>
      <c r="L42" s="696"/>
      <c r="M42" s="678">
        <f t="shared" ref="M42" si="21">+$M$14</f>
        <v>0</v>
      </c>
      <c r="N42" s="691"/>
      <c r="O42" s="691"/>
      <c r="P42" s="694"/>
      <c r="Q42" s="567"/>
      <c r="R42" s="567"/>
      <c r="S42" s="672"/>
      <c r="T42" s="675"/>
      <c r="U42" s="677"/>
      <c r="W42" s="29"/>
      <c r="X42" s="29"/>
      <c r="Y42" s="29"/>
      <c r="Z42" s="29"/>
      <c r="AH42" s="13"/>
      <c r="AI42" s="13"/>
    </row>
    <row r="43" spans="1:35" s="41" customFormat="1" ht="25" hidden="1" customHeight="1">
      <c r="A43" s="40"/>
      <c r="B43" s="653"/>
      <c r="C43" s="656"/>
      <c r="D43" s="656"/>
      <c r="E43" s="656"/>
      <c r="F43" s="656"/>
      <c r="G43" s="683"/>
      <c r="H43" s="686"/>
      <c r="I43" s="689"/>
      <c r="J43" s="183"/>
      <c r="K43" s="38">
        <f>+$K$15</f>
        <v>0</v>
      </c>
      <c r="L43" s="697"/>
      <c r="M43" s="680"/>
      <c r="N43" s="692"/>
      <c r="O43" s="692"/>
      <c r="P43" s="695"/>
      <c r="Q43" s="545"/>
      <c r="R43" s="545"/>
      <c r="S43" s="673"/>
      <c r="T43" s="675"/>
      <c r="U43" s="677"/>
      <c r="W43" s="29"/>
      <c r="X43" s="29"/>
      <c r="Y43" s="29"/>
      <c r="Z43" s="29"/>
    </row>
    <row r="44" spans="1:35" s="41" customFormat="1" ht="25" hidden="1" customHeight="1">
      <c r="A44" s="40"/>
      <c r="B44" s="651">
        <v>4</v>
      </c>
      <c r="C44" s="712"/>
      <c r="D44" s="712"/>
      <c r="E44" s="712"/>
      <c r="F44" s="712"/>
      <c r="G44" s="715"/>
      <c r="H44" s="684"/>
      <c r="I44" s="709"/>
      <c r="J44" s="183"/>
      <c r="K44" s="38">
        <f>+$K$13</f>
        <v>0</v>
      </c>
      <c r="L44" s="183"/>
      <c r="M44" s="38">
        <f t="shared" ref="M44" si="22">+$M$13</f>
        <v>0</v>
      </c>
      <c r="N44" s="690"/>
      <c r="O44" s="690"/>
      <c r="P44" s="693"/>
      <c r="Q44" s="544"/>
      <c r="R44" s="544"/>
      <c r="S44" s="671">
        <f t="shared" ref="S44" si="23">IF(COUNTIF(J44:K46,"CUMPLE")&gt;=1,(G44*I44),0)* (IF(N44="PRESENTÓ CERTIFICADO",1,0))* (IF(O44="ACORDE A ITEM 6.2.2.1 (T.R.)",1,0) )* ( IF(OR(Q44="SIN OBSERVACIÓN", Q44="REQUERIMIENTOS SUBSANADOS"),1,0)) *(IF(OR(R44="NINGUNO", R44="CUMPLEN CON LO SOLICITADO"),1,0))</f>
        <v>0</v>
      </c>
      <c r="T44" s="675"/>
      <c r="U44" s="677">
        <f t="shared" si="14"/>
        <v>0</v>
      </c>
      <c r="W44" s="29"/>
      <c r="X44" s="29"/>
      <c r="Y44" s="29"/>
      <c r="Z44" s="29"/>
      <c r="AA44" s="13"/>
      <c r="AB44" s="13"/>
      <c r="AC44" s="13"/>
      <c r="AD44" s="13"/>
      <c r="AE44" s="13"/>
      <c r="AF44" s="13"/>
      <c r="AG44" s="13"/>
    </row>
    <row r="45" spans="1:35" s="41" customFormat="1" ht="25" hidden="1" customHeight="1">
      <c r="A45" s="40"/>
      <c r="B45" s="652"/>
      <c r="C45" s="713"/>
      <c r="D45" s="713"/>
      <c r="E45" s="713"/>
      <c r="F45" s="713"/>
      <c r="G45" s="716"/>
      <c r="H45" s="685"/>
      <c r="I45" s="710"/>
      <c r="J45" s="183"/>
      <c r="K45" s="38">
        <f>+$K$14</f>
        <v>0</v>
      </c>
      <c r="L45" s="696"/>
      <c r="M45" s="678">
        <f t="shared" ref="M45" si="24">+$M$14</f>
        <v>0</v>
      </c>
      <c r="N45" s="691"/>
      <c r="O45" s="691"/>
      <c r="P45" s="694"/>
      <c r="Q45" s="567"/>
      <c r="R45" s="567"/>
      <c r="S45" s="672"/>
      <c r="T45" s="675"/>
      <c r="U45" s="677"/>
      <c r="W45" s="29"/>
      <c r="X45" s="29"/>
      <c r="Y45" s="29"/>
      <c r="Z45" s="29"/>
      <c r="AA45" s="13"/>
      <c r="AB45" s="13"/>
      <c r="AC45" s="13"/>
      <c r="AD45" s="13"/>
      <c r="AE45" s="13"/>
      <c r="AF45" s="13"/>
      <c r="AG45" s="13"/>
    </row>
    <row r="46" spans="1:35" s="41" customFormat="1" ht="25" hidden="1" customHeight="1">
      <c r="A46" s="40"/>
      <c r="B46" s="653"/>
      <c r="C46" s="714"/>
      <c r="D46" s="714"/>
      <c r="E46" s="714"/>
      <c r="F46" s="714"/>
      <c r="G46" s="717"/>
      <c r="H46" s="686"/>
      <c r="I46" s="711"/>
      <c r="J46" s="183"/>
      <c r="K46" s="38">
        <f>+$K$15</f>
        <v>0</v>
      </c>
      <c r="L46" s="697"/>
      <c r="M46" s="680"/>
      <c r="N46" s="692"/>
      <c r="O46" s="692"/>
      <c r="P46" s="695"/>
      <c r="Q46" s="545"/>
      <c r="R46" s="545"/>
      <c r="S46" s="673"/>
      <c r="T46" s="675"/>
      <c r="U46" s="677"/>
      <c r="W46" s="29"/>
      <c r="X46" s="29"/>
      <c r="Y46" s="29"/>
      <c r="Z46" s="29"/>
      <c r="AA46" s="29"/>
      <c r="AB46" s="29"/>
      <c r="AC46" s="29"/>
      <c r="AD46" s="42"/>
      <c r="AE46" s="42"/>
      <c r="AF46" s="42"/>
      <c r="AG46" s="42"/>
    </row>
    <row r="47" spans="1:35" s="41" customFormat="1" ht="25" hidden="1" customHeight="1">
      <c r="A47" s="40"/>
      <c r="B47" s="651">
        <v>5</v>
      </c>
      <c r="C47" s="654"/>
      <c r="D47" s="654"/>
      <c r="E47" s="654"/>
      <c r="F47" s="654"/>
      <c r="G47" s="681"/>
      <c r="H47" s="684"/>
      <c r="I47" s="687"/>
      <c r="J47" s="183"/>
      <c r="K47" s="38">
        <f>+$K$13</f>
        <v>0</v>
      </c>
      <c r="L47" s="183"/>
      <c r="M47" s="38">
        <f t="shared" ref="M47" si="25">+$M$13</f>
        <v>0</v>
      </c>
      <c r="N47" s="690"/>
      <c r="O47" s="690"/>
      <c r="P47" s="693"/>
      <c r="Q47" s="544"/>
      <c r="R47" s="544"/>
      <c r="S47" s="671">
        <f t="shared" ref="S47" si="26">IF(COUNTIF(J47:K49,"CUMPLE")&gt;=1,(G47*I47),0)* (IF(N47="PRESENTÓ CERTIFICADO",1,0))* (IF(O47="ACORDE A ITEM 6.2.2.1 (T.R.)",1,0) )* ( IF(OR(Q47="SIN OBSERVACIÓN", Q47="REQUERIMIENTOS SUBSANADOS"),1,0)) *(IF(OR(R47="NINGUNO", R47="CUMPLEN CON LO SOLICITADO"),1,0))</f>
        <v>0</v>
      </c>
      <c r="T47" s="675"/>
      <c r="U47" s="677">
        <f t="shared" si="14"/>
        <v>0</v>
      </c>
      <c r="W47" s="29"/>
      <c r="X47" s="29"/>
      <c r="Y47" s="29"/>
      <c r="Z47" s="29"/>
      <c r="AA47" s="29"/>
      <c r="AB47" s="29"/>
      <c r="AC47" s="29"/>
      <c r="AD47" s="42"/>
      <c r="AE47" s="42"/>
      <c r="AF47" s="42"/>
      <c r="AG47" s="42"/>
    </row>
    <row r="48" spans="1:35" s="41" customFormat="1" ht="25" hidden="1" customHeight="1">
      <c r="A48" s="40"/>
      <c r="B48" s="652"/>
      <c r="C48" s="655"/>
      <c r="D48" s="655"/>
      <c r="E48" s="655"/>
      <c r="F48" s="655"/>
      <c r="G48" s="682"/>
      <c r="H48" s="685"/>
      <c r="I48" s="688"/>
      <c r="J48" s="183"/>
      <c r="K48" s="38">
        <f>+$K$14</f>
        <v>0</v>
      </c>
      <c r="L48" s="696"/>
      <c r="M48" s="678">
        <f t="shared" ref="M48" si="27">+$M$14</f>
        <v>0</v>
      </c>
      <c r="N48" s="691"/>
      <c r="O48" s="691"/>
      <c r="P48" s="694"/>
      <c r="Q48" s="567"/>
      <c r="R48" s="567"/>
      <c r="S48" s="672"/>
      <c r="T48" s="675"/>
      <c r="U48" s="677"/>
      <c r="W48" s="29"/>
      <c r="X48" s="29"/>
      <c r="Y48" s="29"/>
      <c r="Z48" s="29"/>
      <c r="AA48" s="29"/>
      <c r="AB48" s="29"/>
      <c r="AC48" s="29"/>
    </row>
    <row r="49" spans="1:35" s="41" customFormat="1" ht="25" hidden="1" customHeight="1">
      <c r="A49" s="40"/>
      <c r="B49" s="653"/>
      <c r="C49" s="656"/>
      <c r="D49" s="656"/>
      <c r="E49" s="656"/>
      <c r="F49" s="656"/>
      <c r="G49" s="683"/>
      <c r="H49" s="686"/>
      <c r="I49" s="689"/>
      <c r="J49" s="183"/>
      <c r="K49" s="38">
        <f>+$K$15</f>
        <v>0</v>
      </c>
      <c r="L49" s="697"/>
      <c r="M49" s="680"/>
      <c r="N49" s="692"/>
      <c r="O49" s="692"/>
      <c r="P49" s="695"/>
      <c r="Q49" s="545"/>
      <c r="R49" s="545"/>
      <c r="S49" s="673"/>
      <c r="T49" s="676"/>
      <c r="U49" s="677"/>
      <c r="W49" s="29"/>
      <c r="X49" s="29"/>
      <c r="Y49" s="29"/>
      <c r="Z49" s="29"/>
      <c r="AA49" s="29"/>
      <c r="AB49" s="29"/>
      <c r="AC49" s="29"/>
    </row>
    <row r="50" spans="1:35" s="28" customFormat="1" ht="25" customHeight="1">
      <c r="B50" s="698" t="str">
        <f>IF(S51=" "," ",IF(S51&gt;=$H$6,"CUMPLE CON LA EXPERIENCIA REQUERIDA","NO CUMPLE CON LA EXPERIENCIA REQUERIDA"))</f>
        <v>NO CUMPLE CON LA EXPERIENCIA REQUERIDA</v>
      </c>
      <c r="C50" s="699"/>
      <c r="D50" s="699"/>
      <c r="E50" s="699"/>
      <c r="F50" s="699"/>
      <c r="G50" s="699"/>
      <c r="H50" s="699"/>
      <c r="I50" s="699"/>
      <c r="J50" s="699"/>
      <c r="K50" s="699"/>
      <c r="L50" s="699"/>
      <c r="M50" s="699"/>
      <c r="N50" s="699"/>
      <c r="O50" s="700"/>
      <c r="P50" s="704" t="s">
        <v>46</v>
      </c>
      <c r="Q50" s="705"/>
      <c r="R50" s="706"/>
      <c r="S50" s="44">
        <f>IF(T35="SI",SUM(S35:S49),0)</f>
        <v>0</v>
      </c>
      <c r="T50" s="707" t="str">
        <f>IF(S51=" "," ",IF(S51&gt;=$H$6,"CUMPLE","NO CUMPLE"))</f>
        <v>NO CUMPLE</v>
      </c>
      <c r="W50" s="29"/>
      <c r="X50" s="29"/>
      <c r="Y50" s="29"/>
      <c r="Z50" s="29"/>
      <c r="AA50" s="29"/>
      <c r="AB50" s="29"/>
      <c r="AC50" s="29"/>
      <c r="AD50" s="41"/>
      <c r="AE50" s="41"/>
      <c r="AF50" s="41"/>
      <c r="AG50" s="41"/>
      <c r="AH50" s="41"/>
    </row>
    <row r="51" spans="1:35" s="41" customFormat="1" ht="25" customHeight="1">
      <c r="B51" s="701"/>
      <c r="C51" s="702"/>
      <c r="D51" s="702"/>
      <c r="E51" s="702"/>
      <c r="F51" s="702"/>
      <c r="G51" s="702"/>
      <c r="H51" s="702"/>
      <c r="I51" s="702"/>
      <c r="J51" s="702"/>
      <c r="K51" s="702"/>
      <c r="L51" s="702"/>
      <c r="M51" s="702"/>
      <c r="N51" s="702"/>
      <c r="O51" s="703"/>
      <c r="P51" s="704" t="s">
        <v>47</v>
      </c>
      <c r="Q51" s="705"/>
      <c r="R51" s="706"/>
      <c r="S51" s="44">
        <f>IFERROR((S50/$P$6)," ")</f>
        <v>0</v>
      </c>
      <c r="T51" s="708"/>
      <c r="W51" s="29"/>
      <c r="X51" s="29"/>
      <c r="Y51" s="29"/>
      <c r="Z51" s="29"/>
      <c r="AA51" s="29"/>
      <c r="AB51" s="29"/>
      <c r="AC51" s="29"/>
    </row>
    <row r="52" spans="1:35" ht="30" customHeight="1">
      <c r="AA52" s="29"/>
      <c r="AB52" s="29"/>
      <c r="AC52" s="29"/>
      <c r="AD52" s="41"/>
      <c r="AE52" s="41"/>
      <c r="AF52" s="41"/>
      <c r="AG52" s="41"/>
      <c r="AH52" s="28"/>
    </row>
    <row r="53" spans="1:35" ht="30" customHeight="1">
      <c r="AA53" s="29"/>
      <c r="AB53" s="29"/>
      <c r="AC53" s="29"/>
      <c r="AD53" s="41"/>
      <c r="AE53" s="41"/>
      <c r="AF53" s="41"/>
      <c r="AG53" s="41"/>
      <c r="AH53" s="41"/>
    </row>
    <row r="54" spans="1:35" ht="61.5" customHeight="1">
      <c r="B54" s="26">
        <v>3</v>
      </c>
      <c r="C54" s="660" t="str">
        <f>+C32</f>
        <v>EXPERIENCIA ESPECÍFICA</v>
      </c>
      <c r="D54" s="661"/>
      <c r="E54" s="662"/>
      <c r="F54" s="663" t="str">
        <f>IFERROR(VLOOKUP(B54,LISTA_OFERENTES,2,FALSE)," ")</f>
        <v>PreVeo S.A.S.</v>
      </c>
      <c r="G54" s="664"/>
      <c r="H54" s="664"/>
      <c r="I54" s="664"/>
      <c r="J54" s="664"/>
      <c r="K54" s="664"/>
      <c r="L54" s="664"/>
      <c r="M54" s="664"/>
      <c r="N54" s="664"/>
      <c r="O54" s="665"/>
      <c r="P54" s="666" t="s">
        <v>26</v>
      </c>
      <c r="Q54" s="667"/>
      <c r="R54" s="668"/>
      <c r="S54" s="27">
        <f>5-(INT(COUNTBLANK(C57:C71))-10)</f>
        <v>3</v>
      </c>
      <c r="T54" s="28"/>
      <c r="AA54" s="29"/>
      <c r="AB54" s="29"/>
      <c r="AC54" s="29"/>
      <c r="AD54" s="41"/>
      <c r="AE54" s="41"/>
      <c r="AF54" s="41"/>
      <c r="AG54" s="41"/>
    </row>
    <row r="55" spans="1:35" s="42" customFormat="1" ht="30" customHeight="1">
      <c r="B55" s="669" t="s">
        <v>27</v>
      </c>
      <c r="C55" s="643" t="s">
        <v>28</v>
      </c>
      <c r="D55" s="643" t="s">
        <v>29</v>
      </c>
      <c r="E55" s="643" t="s">
        <v>30</v>
      </c>
      <c r="F55" s="643" t="s">
        <v>31</v>
      </c>
      <c r="G55" s="643" t="s">
        <v>32</v>
      </c>
      <c r="H55" s="643" t="s">
        <v>33</v>
      </c>
      <c r="I55" s="643" t="s">
        <v>34</v>
      </c>
      <c r="J55" s="657" t="s">
        <v>35</v>
      </c>
      <c r="K55" s="658"/>
      <c r="L55" s="658"/>
      <c r="M55" s="659"/>
      <c r="N55" s="643" t="s">
        <v>36</v>
      </c>
      <c r="O55" s="643" t="s">
        <v>37</v>
      </c>
      <c r="P55" s="657" t="s">
        <v>38</v>
      </c>
      <c r="Q55" s="659"/>
      <c r="R55" s="643" t="s">
        <v>39</v>
      </c>
      <c r="S55" s="643" t="s">
        <v>40</v>
      </c>
      <c r="T55" s="643" t="str">
        <f>+$T$11</f>
        <v>Cumple con el requerimiento del numeral 6.2.2.2.1</v>
      </c>
      <c r="U55" s="643" t="str">
        <f>+$U$11</f>
        <v xml:space="preserve">VERIFICACIÓN CONDICIÓN DE EXPERIENCIA  </v>
      </c>
      <c r="V55" s="45"/>
      <c r="W55" s="29"/>
      <c r="X55" s="29"/>
      <c r="Y55" s="29"/>
      <c r="Z55" s="29"/>
      <c r="AA55" s="29"/>
      <c r="AB55" s="29"/>
      <c r="AC55" s="29"/>
      <c r="AD55" s="41"/>
      <c r="AE55" s="41"/>
      <c r="AF55" s="41"/>
      <c r="AG55" s="41"/>
      <c r="AH55" s="13"/>
    </row>
    <row r="56" spans="1:35" s="42" customFormat="1" ht="59.25" customHeight="1">
      <c r="B56" s="670"/>
      <c r="C56" s="644"/>
      <c r="D56" s="644"/>
      <c r="E56" s="644"/>
      <c r="F56" s="644"/>
      <c r="G56" s="644"/>
      <c r="H56" s="644"/>
      <c r="I56" s="644"/>
      <c r="J56" s="648" t="s">
        <v>43</v>
      </c>
      <c r="K56" s="649"/>
      <c r="L56" s="649"/>
      <c r="M56" s="650"/>
      <c r="N56" s="644"/>
      <c r="O56" s="644"/>
      <c r="P56" s="33" t="s">
        <v>10</v>
      </c>
      <c r="Q56" s="33" t="s">
        <v>44</v>
      </c>
      <c r="R56" s="644"/>
      <c r="S56" s="644"/>
      <c r="T56" s="644"/>
      <c r="U56" s="644"/>
      <c r="V56" s="45"/>
      <c r="W56" s="29"/>
      <c r="X56" s="29"/>
      <c r="Y56" s="29"/>
      <c r="Z56" s="29"/>
      <c r="AA56" s="29"/>
      <c r="AB56" s="29"/>
      <c r="AC56" s="29"/>
      <c r="AD56" s="41"/>
      <c r="AE56" s="41"/>
      <c r="AF56" s="41"/>
      <c r="AG56" s="41"/>
      <c r="AH56" s="13"/>
    </row>
    <row r="57" spans="1:35" s="41" customFormat="1" ht="25" customHeight="1">
      <c r="A57" s="40"/>
      <c r="B57" s="651">
        <v>1</v>
      </c>
      <c r="C57" s="654">
        <v>42</v>
      </c>
      <c r="D57" s="654">
        <v>22</v>
      </c>
      <c r="E57" s="654"/>
      <c r="F57" s="654" t="s">
        <v>277</v>
      </c>
      <c r="G57" s="681">
        <v>92.51</v>
      </c>
      <c r="H57" s="684" t="s">
        <v>274</v>
      </c>
      <c r="I57" s="687">
        <v>1</v>
      </c>
      <c r="J57" s="183"/>
      <c r="K57" s="38">
        <f>+$K$13</f>
        <v>0</v>
      </c>
      <c r="L57" s="183"/>
      <c r="M57" s="38">
        <f>+$M$13</f>
        <v>0</v>
      </c>
      <c r="N57" s="690" t="s">
        <v>151</v>
      </c>
      <c r="O57" s="690" t="s">
        <v>294</v>
      </c>
      <c r="P57" s="693" t="s">
        <v>301</v>
      </c>
      <c r="Q57" s="544" t="s">
        <v>153</v>
      </c>
      <c r="R57" s="544" t="s">
        <v>295</v>
      </c>
      <c r="S57" s="671">
        <f t="shared" ref="S57" si="28">IF(COUNTIF(J57:K59,"CUMPLE")&gt;=1,(G57*I57),0)* (IF(N57="PRESENTÓ CERTIFICADO",1,0))* (IF(O57="ACORDE A ITEM 6.2.2.1 (T.R.)",1,0) )* ( IF(OR(Q57="SIN OBSERVACIÓN", Q57="REQUERIMIENTOS SUBSANADOS"),1,0)) *(IF(OR(R57="NINGUNO", R57="CUMPLEN CON LO SOLICITADO"),1,0))</f>
        <v>0</v>
      </c>
      <c r="T57" s="674" t="s">
        <v>155</v>
      </c>
      <c r="U57" s="677">
        <f>IF(COUNTIF(J57:K59,"CUMPLE")&gt;=1,1,0)</f>
        <v>0</v>
      </c>
      <c r="W57" s="29"/>
      <c r="X57" s="29"/>
      <c r="Y57" s="29"/>
      <c r="Z57" s="29"/>
      <c r="AD57" s="13"/>
      <c r="AE57" s="13"/>
      <c r="AF57" s="13"/>
      <c r="AG57" s="13"/>
      <c r="AH57" s="13"/>
      <c r="AI57" s="13"/>
    </row>
    <row r="58" spans="1:35" s="41" customFormat="1" ht="25" customHeight="1">
      <c r="A58" s="40"/>
      <c r="B58" s="652"/>
      <c r="C58" s="655"/>
      <c r="D58" s="655"/>
      <c r="E58" s="655"/>
      <c r="F58" s="655"/>
      <c r="G58" s="682"/>
      <c r="H58" s="685"/>
      <c r="I58" s="688"/>
      <c r="J58" s="183"/>
      <c r="K58" s="38">
        <f>+$K$14</f>
        <v>0</v>
      </c>
      <c r="L58" s="696"/>
      <c r="M58" s="678">
        <f>+$M$14</f>
        <v>0</v>
      </c>
      <c r="N58" s="691"/>
      <c r="O58" s="691"/>
      <c r="P58" s="694"/>
      <c r="Q58" s="567"/>
      <c r="R58" s="567"/>
      <c r="S58" s="672"/>
      <c r="T58" s="675"/>
      <c r="U58" s="677"/>
      <c r="W58" s="29"/>
      <c r="X58" s="29"/>
      <c r="Y58" s="29"/>
      <c r="Z58" s="29"/>
      <c r="AD58" s="13"/>
      <c r="AE58" s="13"/>
      <c r="AF58" s="13"/>
      <c r="AG58" s="13"/>
      <c r="AH58" s="13"/>
      <c r="AI58" s="13"/>
    </row>
    <row r="59" spans="1:35" s="41" customFormat="1" ht="25" customHeight="1">
      <c r="A59" s="40"/>
      <c r="B59" s="653"/>
      <c r="C59" s="656"/>
      <c r="D59" s="656"/>
      <c r="E59" s="656"/>
      <c r="F59" s="656"/>
      <c r="G59" s="683"/>
      <c r="H59" s="686"/>
      <c r="I59" s="689"/>
      <c r="J59" s="183"/>
      <c r="K59" s="38">
        <f>+$K$15</f>
        <v>0</v>
      </c>
      <c r="L59" s="697"/>
      <c r="M59" s="680"/>
      <c r="N59" s="692"/>
      <c r="O59" s="692"/>
      <c r="P59" s="695"/>
      <c r="Q59" s="545"/>
      <c r="R59" s="545"/>
      <c r="S59" s="673"/>
      <c r="T59" s="675"/>
      <c r="U59" s="677"/>
      <c r="W59" s="29"/>
      <c r="X59" s="29"/>
      <c r="Y59" s="29"/>
      <c r="Z59" s="29"/>
      <c r="AD59" s="13"/>
      <c r="AE59" s="13"/>
      <c r="AF59" s="13"/>
      <c r="AG59" s="13"/>
      <c r="AH59" s="13"/>
      <c r="AI59" s="13"/>
    </row>
    <row r="60" spans="1:35" s="41" customFormat="1" ht="25" customHeight="1">
      <c r="A60" s="40"/>
      <c r="B60" s="651">
        <v>2</v>
      </c>
      <c r="C60" s="712">
        <v>57</v>
      </c>
      <c r="D60" s="712">
        <v>23</v>
      </c>
      <c r="E60" s="712" t="s">
        <v>275</v>
      </c>
      <c r="F60" s="712" t="s">
        <v>278</v>
      </c>
      <c r="G60" s="715">
        <v>791.89</v>
      </c>
      <c r="H60" s="684" t="s">
        <v>274</v>
      </c>
      <c r="I60" s="709">
        <v>1</v>
      </c>
      <c r="J60" s="183"/>
      <c r="K60" s="38">
        <f>+$K$13</f>
        <v>0</v>
      </c>
      <c r="L60" s="183"/>
      <c r="M60" s="38">
        <f>+$M$13</f>
        <v>0</v>
      </c>
      <c r="N60" s="690" t="s">
        <v>151</v>
      </c>
      <c r="O60" s="690" t="s">
        <v>294</v>
      </c>
      <c r="P60" s="693" t="s">
        <v>301</v>
      </c>
      <c r="Q60" s="544" t="s">
        <v>153</v>
      </c>
      <c r="R60" s="544" t="s">
        <v>295</v>
      </c>
      <c r="S60" s="671">
        <f t="shared" ref="S60" si="29">IF(COUNTIF(J60:K62,"CUMPLE")&gt;=1,(G60*I60),0)* (IF(N60="PRESENTÓ CERTIFICADO",1,0))* (IF(O60="ACORDE A ITEM 6.2.2.1 (T.R.)",1,0) )* ( IF(OR(Q60="SIN OBSERVACIÓN", Q60="REQUERIMIENTOS SUBSANADOS"),1,0)) *(IF(OR(R60="NINGUNO", R60="CUMPLEN CON LO SOLICITADO"),1,0))</f>
        <v>0</v>
      </c>
      <c r="T60" s="675"/>
      <c r="U60" s="677">
        <f t="shared" ref="U60:U69" si="30">IF(COUNTIF(J60:K62,"CUMPLE")&gt;=1,1,0)</f>
        <v>0</v>
      </c>
      <c r="W60" s="29"/>
      <c r="X60" s="29"/>
      <c r="Y60" s="29"/>
      <c r="Z60" s="29"/>
      <c r="AD60" s="13"/>
      <c r="AE60" s="13"/>
      <c r="AF60" s="13"/>
      <c r="AG60" s="13"/>
      <c r="AH60" s="13"/>
      <c r="AI60" s="13"/>
    </row>
    <row r="61" spans="1:35" s="41" customFormat="1" ht="25" customHeight="1">
      <c r="A61" s="40"/>
      <c r="B61" s="652"/>
      <c r="C61" s="713"/>
      <c r="D61" s="713"/>
      <c r="E61" s="713"/>
      <c r="F61" s="713"/>
      <c r="G61" s="716"/>
      <c r="H61" s="685"/>
      <c r="I61" s="710"/>
      <c r="J61" s="183"/>
      <c r="K61" s="38">
        <f>+$K$14</f>
        <v>0</v>
      </c>
      <c r="L61" s="696"/>
      <c r="M61" s="678">
        <f>+$M$14</f>
        <v>0</v>
      </c>
      <c r="N61" s="691"/>
      <c r="O61" s="691"/>
      <c r="P61" s="694"/>
      <c r="Q61" s="567"/>
      <c r="R61" s="567"/>
      <c r="S61" s="672"/>
      <c r="T61" s="675"/>
      <c r="U61" s="677"/>
      <c r="W61" s="29"/>
      <c r="X61" s="29"/>
      <c r="Y61" s="29"/>
      <c r="Z61" s="29"/>
      <c r="AD61" s="13"/>
      <c r="AE61" s="13"/>
      <c r="AF61" s="13"/>
      <c r="AG61" s="13"/>
      <c r="AH61" s="13"/>
      <c r="AI61" s="13"/>
    </row>
    <row r="62" spans="1:35" s="41" customFormat="1" ht="25" customHeight="1">
      <c r="A62" s="40"/>
      <c r="B62" s="653"/>
      <c r="C62" s="714"/>
      <c r="D62" s="714"/>
      <c r="E62" s="714"/>
      <c r="F62" s="714"/>
      <c r="G62" s="717"/>
      <c r="H62" s="686"/>
      <c r="I62" s="711"/>
      <c r="J62" s="183"/>
      <c r="K62" s="38">
        <f>+$K$15</f>
        <v>0</v>
      </c>
      <c r="L62" s="697"/>
      <c r="M62" s="680"/>
      <c r="N62" s="692"/>
      <c r="O62" s="692"/>
      <c r="P62" s="695"/>
      <c r="Q62" s="545"/>
      <c r="R62" s="545"/>
      <c r="S62" s="673"/>
      <c r="T62" s="675"/>
      <c r="U62" s="677"/>
      <c r="W62" s="29"/>
      <c r="X62" s="29"/>
      <c r="Y62" s="29"/>
      <c r="Z62" s="29"/>
      <c r="AD62" s="13"/>
      <c r="AE62" s="13"/>
      <c r="AF62" s="13"/>
      <c r="AG62" s="13"/>
      <c r="AH62" s="13"/>
      <c r="AI62" s="13"/>
    </row>
    <row r="63" spans="1:35" s="41" customFormat="1" ht="25" customHeight="1">
      <c r="A63" s="40"/>
      <c r="B63" s="651">
        <v>3</v>
      </c>
      <c r="C63" s="654">
        <v>67</v>
      </c>
      <c r="D63" s="654">
        <v>24</v>
      </c>
      <c r="E63" s="654" t="s">
        <v>276</v>
      </c>
      <c r="F63" s="654" t="s">
        <v>279</v>
      </c>
      <c r="G63" s="681">
        <v>89.99</v>
      </c>
      <c r="H63" s="684" t="s">
        <v>274</v>
      </c>
      <c r="I63" s="687">
        <v>1</v>
      </c>
      <c r="J63" s="183"/>
      <c r="K63" s="38">
        <f>+$K$13</f>
        <v>0</v>
      </c>
      <c r="L63" s="183"/>
      <c r="M63" s="38">
        <f>+$M$13</f>
        <v>0</v>
      </c>
      <c r="N63" s="690" t="s">
        <v>151</v>
      </c>
      <c r="O63" s="690" t="s">
        <v>294</v>
      </c>
      <c r="P63" s="693" t="s">
        <v>301</v>
      </c>
      <c r="Q63" s="544" t="s">
        <v>153</v>
      </c>
      <c r="R63" s="544" t="s">
        <v>295</v>
      </c>
      <c r="S63" s="671">
        <f t="shared" ref="S63" si="31">IF(COUNTIF(J63:K65,"CUMPLE")&gt;=1,(G63*I63),0)* (IF(N63="PRESENTÓ CERTIFICADO",1,0))* (IF(O63="ACORDE A ITEM 6.2.2.1 (T.R.)",1,0) )* ( IF(OR(Q63="SIN OBSERVACIÓN", Q63="REQUERIMIENTOS SUBSANADOS"),1,0)) *(IF(OR(R63="NINGUNO", R63="CUMPLEN CON LO SOLICITADO"),1,0))</f>
        <v>0</v>
      </c>
      <c r="T63" s="675"/>
      <c r="U63" s="677">
        <f t="shared" si="30"/>
        <v>0</v>
      </c>
      <c r="W63" s="29"/>
      <c r="X63" s="29"/>
      <c r="Y63" s="29"/>
      <c r="Z63" s="29"/>
      <c r="AA63" s="28"/>
      <c r="AB63" s="28"/>
      <c r="AC63" s="28"/>
      <c r="AD63" s="13"/>
      <c r="AE63" s="13"/>
      <c r="AF63" s="13"/>
      <c r="AG63" s="13"/>
      <c r="AH63" s="13"/>
      <c r="AI63" s="13"/>
    </row>
    <row r="64" spans="1:35" s="41" customFormat="1" ht="25" customHeight="1">
      <c r="A64" s="40"/>
      <c r="B64" s="652"/>
      <c r="C64" s="655"/>
      <c r="D64" s="655"/>
      <c r="E64" s="655"/>
      <c r="F64" s="655"/>
      <c r="G64" s="682"/>
      <c r="H64" s="685"/>
      <c r="I64" s="688"/>
      <c r="J64" s="183"/>
      <c r="K64" s="38">
        <f>+$K$14</f>
        <v>0</v>
      </c>
      <c r="L64" s="696"/>
      <c r="M64" s="678">
        <f>+$M$14</f>
        <v>0</v>
      </c>
      <c r="N64" s="691"/>
      <c r="O64" s="691"/>
      <c r="P64" s="694"/>
      <c r="Q64" s="567"/>
      <c r="R64" s="567"/>
      <c r="S64" s="672"/>
      <c r="T64" s="675"/>
      <c r="U64" s="677"/>
      <c r="W64" s="29"/>
      <c r="X64" s="29"/>
      <c r="Y64" s="29"/>
      <c r="Z64" s="29"/>
      <c r="AH64" s="13"/>
      <c r="AI64" s="13"/>
    </row>
    <row r="65" spans="1:35" s="41" customFormat="1" ht="30" customHeight="1">
      <c r="A65" s="40"/>
      <c r="B65" s="653"/>
      <c r="C65" s="656"/>
      <c r="D65" s="656"/>
      <c r="E65" s="656"/>
      <c r="F65" s="656"/>
      <c r="G65" s="683"/>
      <c r="H65" s="686"/>
      <c r="I65" s="689"/>
      <c r="J65" s="183"/>
      <c r="K65" s="38">
        <f>+$K$15</f>
        <v>0</v>
      </c>
      <c r="L65" s="697"/>
      <c r="M65" s="680"/>
      <c r="N65" s="692"/>
      <c r="O65" s="692"/>
      <c r="P65" s="695"/>
      <c r="Q65" s="545"/>
      <c r="R65" s="545"/>
      <c r="S65" s="673"/>
      <c r="T65" s="675"/>
      <c r="U65" s="677"/>
      <c r="W65" s="29"/>
      <c r="X65" s="29"/>
      <c r="Y65" s="29"/>
      <c r="Z65" s="29"/>
    </row>
    <row r="66" spans="1:35" s="41" customFormat="1" ht="25" hidden="1" customHeight="1">
      <c r="A66" s="40"/>
      <c r="B66" s="651">
        <v>4</v>
      </c>
      <c r="C66" s="712"/>
      <c r="D66" s="712"/>
      <c r="E66" s="712"/>
      <c r="F66" s="712"/>
      <c r="G66" s="715"/>
      <c r="H66" s="684"/>
      <c r="I66" s="709"/>
      <c r="J66" s="183"/>
      <c r="K66" s="38">
        <f>+$K$13</f>
        <v>0</v>
      </c>
      <c r="L66" s="183"/>
      <c r="M66" s="38">
        <f>+$M$13</f>
        <v>0</v>
      </c>
      <c r="N66" s="690"/>
      <c r="O66" s="690"/>
      <c r="P66" s="693"/>
      <c r="Q66" s="544"/>
      <c r="R66" s="544"/>
      <c r="S66" s="671">
        <f t="shared" ref="S66" si="32">IF(COUNTIF(J66:K68,"CUMPLE")&gt;=1,(G66*I66),0)* (IF(N66="PRESENTÓ CERTIFICADO",1,0))* (IF(O66="ACORDE A ITEM 6.2.2.1 (T.R.)",1,0) )* ( IF(OR(Q66="SIN OBSERVACIÓN", Q66="REQUERIMIENTOS SUBSANADOS"),1,0)) *(IF(OR(R66="NINGUNO", R66="CUMPLEN CON LO SOLICITADO"),1,0))</f>
        <v>0</v>
      </c>
      <c r="T66" s="675"/>
      <c r="U66" s="677">
        <f t="shared" si="30"/>
        <v>0</v>
      </c>
      <c r="W66" s="29"/>
      <c r="X66" s="29"/>
      <c r="Y66" s="29"/>
      <c r="Z66" s="29"/>
      <c r="AA66" s="13"/>
      <c r="AB66" s="13"/>
      <c r="AC66" s="13"/>
      <c r="AD66" s="13"/>
      <c r="AE66" s="13"/>
      <c r="AF66" s="13"/>
      <c r="AG66" s="13"/>
    </row>
    <row r="67" spans="1:35" s="41" customFormat="1" ht="25" hidden="1" customHeight="1">
      <c r="A67" s="40"/>
      <c r="B67" s="652"/>
      <c r="C67" s="713"/>
      <c r="D67" s="713"/>
      <c r="E67" s="713"/>
      <c r="F67" s="713"/>
      <c r="G67" s="716"/>
      <c r="H67" s="685"/>
      <c r="I67" s="710"/>
      <c r="J67" s="183"/>
      <c r="K67" s="38">
        <f>+$K$14</f>
        <v>0</v>
      </c>
      <c r="L67" s="696"/>
      <c r="M67" s="678">
        <f>+$M$14</f>
        <v>0</v>
      </c>
      <c r="N67" s="691"/>
      <c r="O67" s="691"/>
      <c r="P67" s="694"/>
      <c r="Q67" s="567"/>
      <c r="R67" s="567"/>
      <c r="S67" s="672"/>
      <c r="T67" s="675"/>
      <c r="U67" s="677"/>
      <c r="W67" s="29"/>
      <c r="X67" s="29"/>
      <c r="Y67" s="29"/>
      <c r="Z67" s="29"/>
      <c r="AA67" s="13"/>
      <c r="AB67" s="13"/>
      <c r="AC67" s="13"/>
      <c r="AD67" s="13"/>
      <c r="AE67" s="13"/>
      <c r="AF67" s="13"/>
      <c r="AG67" s="13"/>
    </row>
    <row r="68" spans="1:35" s="41" customFormat="1" ht="25" hidden="1" customHeight="1">
      <c r="A68" s="40"/>
      <c r="B68" s="653"/>
      <c r="C68" s="714"/>
      <c r="D68" s="714"/>
      <c r="E68" s="714"/>
      <c r="F68" s="714"/>
      <c r="G68" s="717"/>
      <c r="H68" s="686"/>
      <c r="I68" s="711"/>
      <c r="J68" s="183"/>
      <c r="K68" s="38">
        <f>+$K$15</f>
        <v>0</v>
      </c>
      <c r="L68" s="697"/>
      <c r="M68" s="680"/>
      <c r="N68" s="692"/>
      <c r="O68" s="692"/>
      <c r="P68" s="695"/>
      <c r="Q68" s="545"/>
      <c r="R68" s="545"/>
      <c r="S68" s="673"/>
      <c r="T68" s="675"/>
      <c r="U68" s="677"/>
      <c r="W68" s="29"/>
      <c r="X68" s="29"/>
      <c r="Y68" s="29"/>
      <c r="Z68" s="29"/>
      <c r="AA68" s="29"/>
      <c r="AB68" s="29"/>
      <c r="AC68" s="29"/>
      <c r="AD68" s="42"/>
      <c r="AE68" s="42"/>
      <c r="AF68" s="42"/>
      <c r="AG68" s="42"/>
    </row>
    <row r="69" spans="1:35" s="41" customFormat="1" ht="25" hidden="1" customHeight="1">
      <c r="A69" s="40"/>
      <c r="B69" s="651">
        <v>5</v>
      </c>
      <c r="C69" s="654"/>
      <c r="D69" s="654"/>
      <c r="E69" s="654"/>
      <c r="F69" s="654"/>
      <c r="G69" s="681"/>
      <c r="H69" s="684"/>
      <c r="I69" s="687"/>
      <c r="J69" s="183"/>
      <c r="K69" s="38">
        <f>+$K$13</f>
        <v>0</v>
      </c>
      <c r="L69" s="183"/>
      <c r="M69" s="38">
        <f>+$M$13</f>
        <v>0</v>
      </c>
      <c r="N69" s="690"/>
      <c r="O69" s="690"/>
      <c r="P69" s="693"/>
      <c r="Q69" s="544"/>
      <c r="R69" s="544"/>
      <c r="S69" s="671">
        <f t="shared" ref="S69" si="33">IF(COUNTIF(J69:K71,"CUMPLE")&gt;=1,(G69*I69),0)* (IF(N69="PRESENTÓ CERTIFICADO",1,0))* (IF(O69="ACORDE A ITEM 6.2.2.1 (T.R.)",1,0) )* ( IF(OR(Q69="SIN OBSERVACIÓN", Q69="REQUERIMIENTOS SUBSANADOS"),1,0)) *(IF(OR(R69="NINGUNO", R69="CUMPLEN CON LO SOLICITADO"),1,0))</f>
        <v>0</v>
      </c>
      <c r="T69" s="675"/>
      <c r="U69" s="677">
        <f t="shared" si="30"/>
        <v>0</v>
      </c>
      <c r="W69" s="29"/>
      <c r="X69" s="29"/>
      <c r="Y69" s="29"/>
      <c r="Z69" s="29"/>
      <c r="AA69" s="29"/>
      <c r="AB69" s="29"/>
      <c r="AC69" s="29"/>
      <c r="AD69" s="42"/>
      <c r="AE69" s="42"/>
      <c r="AF69" s="42"/>
      <c r="AG69" s="42"/>
    </row>
    <row r="70" spans="1:35" s="41" customFormat="1" ht="25" hidden="1" customHeight="1">
      <c r="A70" s="40"/>
      <c r="B70" s="652"/>
      <c r="C70" s="655"/>
      <c r="D70" s="655"/>
      <c r="E70" s="655"/>
      <c r="F70" s="655"/>
      <c r="G70" s="682"/>
      <c r="H70" s="685"/>
      <c r="I70" s="688"/>
      <c r="J70" s="183"/>
      <c r="K70" s="38">
        <f>+$K$14</f>
        <v>0</v>
      </c>
      <c r="L70" s="696"/>
      <c r="M70" s="678">
        <f>+$M$14</f>
        <v>0</v>
      </c>
      <c r="N70" s="691"/>
      <c r="O70" s="691"/>
      <c r="P70" s="694"/>
      <c r="Q70" s="567"/>
      <c r="R70" s="567"/>
      <c r="S70" s="672"/>
      <c r="T70" s="675"/>
      <c r="U70" s="677"/>
      <c r="W70" s="29"/>
      <c r="X70" s="29"/>
      <c r="Y70" s="29"/>
      <c r="Z70" s="29"/>
      <c r="AA70" s="29"/>
      <c r="AB70" s="29"/>
      <c r="AC70" s="29"/>
    </row>
    <row r="71" spans="1:35" s="41" customFormat="1" ht="25" hidden="1" customHeight="1">
      <c r="A71" s="40"/>
      <c r="B71" s="653"/>
      <c r="C71" s="656"/>
      <c r="D71" s="656"/>
      <c r="E71" s="656"/>
      <c r="F71" s="656"/>
      <c r="G71" s="683"/>
      <c r="H71" s="686"/>
      <c r="I71" s="689"/>
      <c r="J71" s="183"/>
      <c r="K71" s="38">
        <f>+$K$15</f>
        <v>0</v>
      </c>
      <c r="L71" s="697"/>
      <c r="M71" s="680"/>
      <c r="N71" s="692"/>
      <c r="O71" s="692"/>
      <c r="P71" s="695"/>
      <c r="Q71" s="545"/>
      <c r="R71" s="545"/>
      <c r="S71" s="673"/>
      <c r="T71" s="676"/>
      <c r="U71" s="677"/>
      <c r="W71" s="29"/>
      <c r="X71" s="29"/>
      <c r="Y71" s="29"/>
      <c r="Z71" s="29"/>
      <c r="AA71" s="29"/>
      <c r="AB71" s="29"/>
      <c r="AC71" s="29"/>
    </row>
    <row r="72" spans="1:35" s="28" customFormat="1" ht="25" customHeight="1">
      <c r="B72" s="698" t="str">
        <f>IF(S73=" "," ",IF(S73&gt;=$H$6,"CUMPLE CON LA EXPERIENCIA REQUERIDA","NO CUMPLE CON LA EXPERIENCIA REQUERIDA"))</f>
        <v>NO CUMPLE CON LA EXPERIENCIA REQUERIDA</v>
      </c>
      <c r="C72" s="699"/>
      <c r="D72" s="699"/>
      <c r="E72" s="699"/>
      <c r="F72" s="699"/>
      <c r="G72" s="699"/>
      <c r="H72" s="699"/>
      <c r="I72" s="699"/>
      <c r="J72" s="699"/>
      <c r="K72" s="699"/>
      <c r="L72" s="699"/>
      <c r="M72" s="699"/>
      <c r="N72" s="699"/>
      <c r="O72" s="700"/>
      <c r="P72" s="704" t="s">
        <v>46</v>
      </c>
      <c r="Q72" s="705"/>
      <c r="R72" s="706"/>
      <c r="S72" s="44">
        <f>IF(T57="SI",SUM(S57:S71),0)</f>
        <v>0</v>
      </c>
      <c r="T72" s="707" t="s">
        <v>315</v>
      </c>
      <c r="W72" s="29"/>
      <c r="X72" s="29"/>
      <c r="Y72" s="29"/>
      <c r="Z72" s="29"/>
      <c r="AA72" s="29"/>
      <c r="AB72" s="29"/>
      <c r="AC72" s="29"/>
      <c r="AD72" s="41"/>
      <c r="AE72" s="41"/>
      <c r="AF72" s="41"/>
      <c r="AG72" s="41"/>
      <c r="AH72" s="41"/>
    </row>
    <row r="73" spans="1:35" s="41" customFormat="1" ht="25" customHeight="1">
      <c r="B73" s="701"/>
      <c r="C73" s="702"/>
      <c r="D73" s="702"/>
      <c r="E73" s="702"/>
      <c r="F73" s="702"/>
      <c r="G73" s="702"/>
      <c r="H73" s="702"/>
      <c r="I73" s="702"/>
      <c r="J73" s="702"/>
      <c r="K73" s="702"/>
      <c r="L73" s="702"/>
      <c r="M73" s="702"/>
      <c r="N73" s="702"/>
      <c r="O73" s="703"/>
      <c r="P73" s="704" t="s">
        <v>47</v>
      </c>
      <c r="Q73" s="705"/>
      <c r="R73" s="706"/>
      <c r="S73" s="44">
        <f>IFERROR((S72/$P$6)," ")</f>
        <v>0</v>
      </c>
      <c r="T73" s="708"/>
      <c r="W73" s="29"/>
      <c r="X73" s="29"/>
      <c r="Y73" s="29"/>
      <c r="Z73" s="29"/>
      <c r="AA73" s="29"/>
      <c r="AB73" s="29"/>
      <c r="AC73" s="29"/>
    </row>
    <row r="74" spans="1:35" ht="30" customHeight="1">
      <c r="AA74" s="29"/>
      <c r="AB74" s="29"/>
      <c r="AC74" s="29"/>
      <c r="AD74" s="41"/>
      <c r="AE74" s="41"/>
      <c r="AF74" s="41"/>
      <c r="AG74" s="41"/>
      <c r="AH74" s="28"/>
    </row>
    <row r="75" spans="1:35" ht="30" customHeight="1">
      <c r="AA75" s="29"/>
      <c r="AB75" s="29"/>
      <c r="AC75" s="29"/>
      <c r="AD75" s="41"/>
      <c r="AE75" s="41"/>
      <c r="AF75" s="41"/>
      <c r="AG75" s="41"/>
      <c r="AH75" s="41"/>
    </row>
    <row r="76" spans="1:35" ht="62.25" customHeight="1">
      <c r="B76" s="26">
        <v>4</v>
      </c>
      <c r="C76" s="660" t="str">
        <f>+C54</f>
        <v>EXPERIENCIA ESPECÍFICA</v>
      </c>
      <c r="D76" s="661"/>
      <c r="E76" s="662"/>
      <c r="F76" s="663" t="str">
        <f>IFERROR(VLOOKUP(B76,LISTA_OFERENTES,2,FALSE)," ")</f>
        <v>INTERVE S.A.S.</v>
      </c>
      <c r="G76" s="664"/>
      <c r="H76" s="664"/>
      <c r="I76" s="664"/>
      <c r="J76" s="664"/>
      <c r="K76" s="664"/>
      <c r="L76" s="664"/>
      <c r="M76" s="664"/>
      <c r="N76" s="664"/>
      <c r="O76" s="665"/>
      <c r="P76" s="666" t="s">
        <v>26</v>
      </c>
      <c r="Q76" s="667"/>
      <c r="R76" s="668"/>
      <c r="S76" s="27">
        <f>5-(INT(COUNTBLANK(C79:C93))-10)</f>
        <v>3</v>
      </c>
      <c r="T76" s="28"/>
      <c r="AA76" s="29"/>
      <c r="AB76" s="29"/>
      <c r="AC76" s="29"/>
      <c r="AD76" s="41"/>
      <c r="AE76" s="41"/>
      <c r="AF76" s="41"/>
      <c r="AG76" s="41"/>
    </row>
    <row r="77" spans="1:35" s="42" customFormat="1" ht="30" customHeight="1">
      <c r="B77" s="669" t="s">
        <v>27</v>
      </c>
      <c r="C77" s="643" t="s">
        <v>28</v>
      </c>
      <c r="D77" s="643" t="s">
        <v>29</v>
      </c>
      <c r="E77" s="643" t="s">
        <v>30</v>
      </c>
      <c r="F77" s="643" t="s">
        <v>31</v>
      </c>
      <c r="G77" s="643" t="s">
        <v>32</v>
      </c>
      <c r="H77" s="643" t="s">
        <v>33</v>
      </c>
      <c r="I77" s="643" t="s">
        <v>34</v>
      </c>
      <c r="J77" s="657" t="s">
        <v>35</v>
      </c>
      <c r="K77" s="658"/>
      <c r="L77" s="658"/>
      <c r="M77" s="659"/>
      <c r="N77" s="643" t="s">
        <v>36</v>
      </c>
      <c r="O77" s="643" t="s">
        <v>37</v>
      </c>
      <c r="P77" s="657" t="s">
        <v>38</v>
      </c>
      <c r="Q77" s="659"/>
      <c r="R77" s="643" t="s">
        <v>39</v>
      </c>
      <c r="S77" s="643" t="s">
        <v>40</v>
      </c>
      <c r="T77" s="643" t="str">
        <f>+$T$11</f>
        <v>Cumple con el requerimiento del numeral 6.2.2.2.1</v>
      </c>
      <c r="U77" s="643" t="str">
        <f>+$U$11</f>
        <v xml:space="preserve">VERIFICACIÓN CONDICIÓN DE EXPERIENCIA  </v>
      </c>
      <c r="V77" s="45"/>
      <c r="W77" s="29"/>
      <c r="X77" s="29"/>
      <c r="Y77" s="29"/>
      <c r="Z77" s="29"/>
      <c r="AA77" s="29"/>
      <c r="AB77" s="29"/>
      <c r="AC77" s="29"/>
      <c r="AD77" s="41"/>
      <c r="AE77" s="41"/>
      <c r="AF77" s="41"/>
      <c r="AG77" s="41"/>
      <c r="AH77" s="13"/>
    </row>
    <row r="78" spans="1:35" s="42" customFormat="1" ht="105.75" customHeight="1">
      <c r="B78" s="670"/>
      <c r="C78" s="644"/>
      <c r="D78" s="644"/>
      <c r="E78" s="644"/>
      <c r="F78" s="644"/>
      <c r="G78" s="644"/>
      <c r="H78" s="644"/>
      <c r="I78" s="644"/>
      <c r="J78" s="648" t="s">
        <v>43</v>
      </c>
      <c r="K78" s="649"/>
      <c r="L78" s="649"/>
      <c r="M78" s="650"/>
      <c r="N78" s="644"/>
      <c r="O78" s="644"/>
      <c r="P78" s="33" t="s">
        <v>10</v>
      </c>
      <c r="Q78" s="33" t="s">
        <v>44</v>
      </c>
      <c r="R78" s="644"/>
      <c r="S78" s="644"/>
      <c r="T78" s="644"/>
      <c r="U78" s="644"/>
      <c r="V78" s="45"/>
      <c r="W78" s="29"/>
      <c r="X78" s="29"/>
      <c r="Y78" s="29"/>
      <c r="Z78" s="29"/>
      <c r="AA78" s="29"/>
      <c r="AB78" s="29"/>
      <c r="AC78" s="29"/>
      <c r="AD78" s="41"/>
      <c r="AE78" s="41"/>
      <c r="AF78" s="41"/>
      <c r="AG78" s="41"/>
      <c r="AH78" s="13"/>
    </row>
    <row r="79" spans="1:35" s="41" customFormat="1" ht="25" customHeight="1">
      <c r="A79" s="40"/>
      <c r="B79" s="651">
        <v>1</v>
      </c>
      <c r="C79" s="654">
        <v>64</v>
      </c>
      <c r="D79" s="654">
        <v>108</v>
      </c>
      <c r="E79" s="654" t="s">
        <v>285</v>
      </c>
      <c r="F79" s="654" t="s">
        <v>288</v>
      </c>
      <c r="G79" s="681">
        <v>561.46</v>
      </c>
      <c r="H79" s="684" t="s">
        <v>274</v>
      </c>
      <c r="I79" s="687">
        <v>1</v>
      </c>
      <c r="J79" s="183"/>
      <c r="K79" s="38">
        <f>+$K$13</f>
        <v>0</v>
      </c>
      <c r="L79" s="183"/>
      <c r="M79" s="38">
        <f>+$M$13</f>
        <v>0</v>
      </c>
      <c r="N79" s="690" t="s">
        <v>151</v>
      </c>
      <c r="O79" s="690" t="s">
        <v>294</v>
      </c>
      <c r="P79" s="693" t="s">
        <v>301</v>
      </c>
      <c r="Q79" s="544" t="s">
        <v>153</v>
      </c>
      <c r="R79" s="544" t="s">
        <v>295</v>
      </c>
      <c r="S79" s="671">
        <f t="shared" ref="S79" si="34">IF(COUNTIF(J79:K81,"CUMPLE")&gt;=1,(G79*I79),0)* (IF(N79="PRESENTÓ CERTIFICADO",1,0))* (IF(O79="ACORDE A ITEM 6.2.2.1 (T.R.)",1,0) )* ( IF(OR(Q79="SIN OBSERVACIÓN", Q79="REQUERIMIENTOS SUBSANADOS"),1,0)) *(IF(OR(R79="NINGUNO", R79="CUMPLEN CON LO SOLICITADO"),1,0))</f>
        <v>0</v>
      </c>
      <c r="T79" s="674" t="s">
        <v>155</v>
      </c>
      <c r="U79" s="677">
        <f t="shared" ref="U79:U91" si="35">IF(COUNTIF(J79:K81,"CUMPLE")&gt;=1,1,0)</f>
        <v>0</v>
      </c>
      <c r="W79" s="29"/>
      <c r="X79" s="29"/>
      <c r="Y79" s="29"/>
      <c r="Z79" s="29"/>
      <c r="AD79" s="13"/>
      <c r="AE79" s="13"/>
      <c r="AF79" s="13"/>
      <c r="AG79" s="13"/>
      <c r="AH79" s="13"/>
      <c r="AI79" s="13"/>
    </row>
    <row r="80" spans="1:35" s="41" customFormat="1" ht="25" customHeight="1">
      <c r="A80" s="40"/>
      <c r="B80" s="652"/>
      <c r="C80" s="655"/>
      <c r="D80" s="655"/>
      <c r="E80" s="655"/>
      <c r="F80" s="655"/>
      <c r="G80" s="682"/>
      <c r="H80" s="685"/>
      <c r="I80" s="688"/>
      <c r="J80" s="183"/>
      <c r="K80" s="38">
        <f>+$K$14</f>
        <v>0</v>
      </c>
      <c r="L80" s="696"/>
      <c r="M80" s="678">
        <f>+$M$14</f>
        <v>0</v>
      </c>
      <c r="N80" s="691"/>
      <c r="O80" s="691"/>
      <c r="P80" s="694"/>
      <c r="Q80" s="567"/>
      <c r="R80" s="567"/>
      <c r="S80" s="672"/>
      <c r="T80" s="675"/>
      <c r="U80" s="677"/>
      <c r="W80" s="29"/>
      <c r="X80" s="29"/>
      <c r="Y80" s="29"/>
      <c r="Z80" s="29"/>
      <c r="AD80" s="13"/>
      <c r="AE80" s="13"/>
      <c r="AF80" s="13"/>
      <c r="AG80" s="13"/>
      <c r="AH80" s="13"/>
      <c r="AI80" s="13"/>
    </row>
    <row r="81" spans="1:35" s="41" customFormat="1" ht="25" customHeight="1">
      <c r="A81" s="40"/>
      <c r="B81" s="653"/>
      <c r="C81" s="656"/>
      <c r="D81" s="656"/>
      <c r="E81" s="656"/>
      <c r="F81" s="656"/>
      <c r="G81" s="683"/>
      <c r="H81" s="686"/>
      <c r="I81" s="689"/>
      <c r="J81" s="183"/>
      <c r="K81" s="38">
        <f>+$K$15</f>
        <v>0</v>
      </c>
      <c r="L81" s="697"/>
      <c r="M81" s="680"/>
      <c r="N81" s="692"/>
      <c r="O81" s="692"/>
      <c r="P81" s="695"/>
      <c r="Q81" s="545"/>
      <c r="R81" s="545"/>
      <c r="S81" s="673"/>
      <c r="T81" s="675"/>
      <c r="U81" s="677"/>
      <c r="W81" s="29"/>
      <c r="X81" s="29"/>
      <c r="Y81" s="29"/>
      <c r="Z81" s="29"/>
      <c r="AD81" s="13"/>
      <c r="AE81" s="13"/>
      <c r="AF81" s="13"/>
      <c r="AG81" s="13"/>
      <c r="AH81" s="13"/>
      <c r="AI81" s="13"/>
    </row>
    <row r="82" spans="1:35" s="41" customFormat="1" ht="25" customHeight="1">
      <c r="A82" s="40"/>
      <c r="B82" s="651">
        <v>2</v>
      </c>
      <c r="C82" s="712">
        <v>65</v>
      </c>
      <c r="D82" s="712">
        <v>109</v>
      </c>
      <c r="E82" s="712" t="s">
        <v>286</v>
      </c>
      <c r="F82" s="712" t="s">
        <v>288</v>
      </c>
      <c r="G82" s="715">
        <v>168.58</v>
      </c>
      <c r="H82" s="684" t="s">
        <v>274</v>
      </c>
      <c r="I82" s="709">
        <v>1</v>
      </c>
      <c r="J82" s="183"/>
      <c r="K82" s="38">
        <f>+$K$13</f>
        <v>0</v>
      </c>
      <c r="L82" s="183"/>
      <c r="M82" s="38">
        <f>+$M$13</f>
        <v>0</v>
      </c>
      <c r="N82" s="690" t="s">
        <v>151</v>
      </c>
      <c r="O82" s="690" t="s">
        <v>294</v>
      </c>
      <c r="P82" s="693"/>
      <c r="Q82" s="544" t="s">
        <v>153</v>
      </c>
      <c r="R82" s="544" t="s">
        <v>295</v>
      </c>
      <c r="S82" s="671">
        <f t="shared" ref="S82" si="36">IF(COUNTIF(J82:K84,"CUMPLE")&gt;=1,(G82*I82),0)* (IF(N82="PRESENTÓ CERTIFICADO",1,0))* (IF(O82="ACORDE A ITEM 6.2.2.1 (T.R.)",1,0) )* ( IF(OR(Q82="SIN OBSERVACIÓN", Q82="REQUERIMIENTOS SUBSANADOS"),1,0)) *(IF(OR(R82="NINGUNO", R82="CUMPLEN CON LO SOLICITADO"),1,0))</f>
        <v>0</v>
      </c>
      <c r="T82" s="675"/>
      <c r="U82" s="677">
        <f t="shared" si="35"/>
        <v>0</v>
      </c>
      <c r="W82" s="29"/>
      <c r="X82" s="29"/>
      <c r="Y82" s="29"/>
      <c r="Z82" s="29"/>
      <c r="AD82" s="13"/>
      <c r="AE82" s="13"/>
      <c r="AF82" s="13"/>
      <c r="AG82" s="13"/>
      <c r="AH82" s="13"/>
      <c r="AI82" s="13"/>
    </row>
    <row r="83" spans="1:35" s="41" customFormat="1" ht="25" customHeight="1">
      <c r="A83" s="40"/>
      <c r="B83" s="652"/>
      <c r="C83" s="713"/>
      <c r="D83" s="713"/>
      <c r="E83" s="713"/>
      <c r="F83" s="713"/>
      <c r="G83" s="716"/>
      <c r="H83" s="685"/>
      <c r="I83" s="710"/>
      <c r="J83" s="183"/>
      <c r="K83" s="38">
        <f>+$K$14</f>
        <v>0</v>
      </c>
      <c r="L83" s="696"/>
      <c r="M83" s="678">
        <f>+$M$14</f>
        <v>0</v>
      </c>
      <c r="N83" s="691"/>
      <c r="O83" s="691"/>
      <c r="P83" s="694"/>
      <c r="Q83" s="567"/>
      <c r="R83" s="567"/>
      <c r="S83" s="672"/>
      <c r="T83" s="675"/>
      <c r="U83" s="677"/>
      <c r="W83" s="29"/>
      <c r="X83" s="29"/>
      <c r="Y83" s="29"/>
      <c r="Z83" s="29"/>
      <c r="AD83" s="13"/>
      <c r="AE83" s="13"/>
      <c r="AF83" s="13"/>
      <c r="AG83" s="13"/>
      <c r="AH83" s="13"/>
      <c r="AI83" s="13"/>
    </row>
    <row r="84" spans="1:35" s="41" customFormat="1" ht="25" customHeight="1">
      <c r="A84" s="40"/>
      <c r="B84" s="653"/>
      <c r="C84" s="714"/>
      <c r="D84" s="714"/>
      <c r="E84" s="714"/>
      <c r="F84" s="714"/>
      <c r="G84" s="717"/>
      <c r="H84" s="686"/>
      <c r="I84" s="711"/>
      <c r="J84" s="183"/>
      <c r="K84" s="38">
        <f>+$K$15</f>
        <v>0</v>
      </c>
      <c r="L84" s="697"/>
      <c r="M84" s="680"/>
      <c r="N84" s="692"/>
      <c r="O84" s="692"/>
      <c r="P84" s="695"/>
      <c r="Q84" s="545"/>
      <c r="R84" s="545"/>
      <c r="S84" s="673"/>
      <c r="T84" s="675"/>
      <c r="U84" s="677"/>
      <c r="W84" s="29"/>
      <c r="X84" s="29"/>
      <c r="Y84" s="29"/>
      <c r="Z84" s="29"/>
      <c r="AD84" s="13"/>
      <c r="AE84" s="13"/>
      <c r="AF84" s="13"/>
      <c r="AG84" s="13"/>
      <c r="AH84" s="13"/>
      <c r="AI84" s="13"/>
    </row>
    <row r="85" spans="1:35" s="41" customFormat="1" ht="25" customHeight="1">
      <c r="A85" s="40"/>
      <c r="B85" s="651">
        <v>3</v>
      </c>
      <c r="C85" s="654">
        <v>66</v>
      </c>
      <c r="D85" s="654">
        <v>110</v>
      </c>
      <c r="E85" s="654" t="s">
        <v>287</v>
      </c>
      <c r="F85" s="654" t="s">
        <v>289</v>
      </c>
      <c r="G85" s="681">
        <v>803.76</v>
      </c>
      <c r="H85" s="684" t="s">
        <v>274</v>
      </c>
      <c r="I85" s="687">
        <v>1</v>
      </c>
      <c r="J85" s="183"/>
      <c r="K85" s="38">
        <f>+$K$13</f>
        <v>0</v>
      </c>
      <c r="L85" s="183"/>
      <c r="M85" s="38">
        <f>+$M$13</f>
        <v>0</v>
      </c>
      <c r="N85" s="690" t="s">
        <v>151</v>
      </c>
      <c r="O85" s="690" t="s">
        <v>294</v>
      </c>
      <c r="P85" s="693" t="s">
        <v>301</v>
      </c>
      <c r="Q85" s="544" t="s">
        <v>153</v>
      </c>
      <c r="R85" s="544" t="s">
        <v>295</v>
      </c>
      <c r="S85" s="671">
        <f t="shared" ref="S85" si="37">IF(COUNTIF(J85:K87,"CUMPLE")&gt;=1,(G85*I85),0)* (IF(N85="PRESENTÓ CERTIFICADO",1,0))* (IF(O85="ACORDE A ITEM 6.2.2.1 (T.R.)",1,0) )* ( IF(OR(Q85="SIN OBSERVACIÓN", Q85="REQUERIMIENTOS SUBSANADOS"),1,0)) *(IF(OR(R85="NINGUNO", R85="CUMPLEN CON LO SOLICITADO"),1,0))</f>
        <v>0</v>
      </c>
      <c r="T85" s="675"/>
      <c r="U85" s="677">
        <f t="shared" si="35"/>
        <v>0</v>
      </c>
      <c r="W85" s="29"/>
      <c r="X85" s="29"/>
      <c r="Y85" s="29"/>
      <c r="Z85" s="29"/>
      <c r="AA85" s="28"/>
      <c r="AB85" s="28"/>
      <c r="AC85" s="28"/>
      <c r="AD85" s="13"/>
      <c r="AE85" s="13"/>
      <c r="AF85" s="13"/>
      <c r="AG85" s="13"/>
      <c r="AH85" s="13"/>
      <c r="AI85" s="13"/>
    </row>
    <row r="86" spans="1:35" s="41" customFormat="1" ht="25" customHeight="1">
      <c r="A86" s="40"/>
      <c r="B86" s="652"/>
      <c r="C86" s="655"/>
      <c r="D86" s="655"/>
      <c r="E86" s="655"/>
      <c r="F86" s="655"/>
      <c r="G86" s="682"/>
      <c r="H86" s="685"/>
      <c r="I86" s="688"/>
      <c r="J86" s="183"/>
      <c r="K86" s="38">
        <f>+$K$14</f>
        <v>0</v>
      </c>
      <c r="L86" s="696"/>
      <c r="M86" s="678">
        <f>+$M$14</f>
        <v>0</v>
      </c>
      <c r="N86" s="691"/>
      <c r="O86" s="691"/>
      <c r="P86" s="694"/>
      <c r="Q86" s="567"/>
      <c r="R86" s="567"/>
      <c r="S86" s="672"/>
      <c r="T86" s="675"/>
      <c r="U86" s="677"/>
      <c r="W86" s="29"/>
      <c r="X86" s="29"/>
      <c r="Y86" s="29"/>
      <c r="Z86" s="29"/>
      <c r="AH86" s="13"/>
      <c r="AI86" s="13"/>
    </row>
    <row r="87" spans="1:35" s="41" customFormat="1" ht="25" customHeight="1">
      <c r="A87" s="40"/>
      <c r="B87" s="653"/>
      <c r="C87" s="656"/>
      <c r="D87" s="656"/>
      <c r="E87" s="656"/>
      <c r="F87" s="656"/>
      <c r="G87" s="683"/>
      <c r="H87" s="686"/>
      <c r="I87" s="689"/>
      <c r="J87" s="183"/>
      <c r="K87" s="38">
        <f>+$K$15</f>
        <v>0</v>
      </c>
      <c r="L87" s="697"/>
      <c r="M87" s="680"/>
      <c r="N87" s="692"/>
      <c r="O87" s="692"/>
      <c r="P87" s="695"/>
      <c r="Q87" s="545"/>
      <c r="R87" s="545"/>
      <c r="S87" s="673"/>
      <c r="T87" s="675"/>
      <c r="U87" s="677"/>
      <c r="W87" s="29"/>
      <c r="X87" s="29"/>
      <c r="Y87" s="29"/>
      <c r="Z87" s="29"/>
    </row>
    <row r="88" spans="1:35" s="41" customFormat="1" ht="25" hidden="1" customHeight="1">
      <c r="A88" s="40"/>
      <c r="B88" s="651">
        <v>4</v>
      </c>
      <c r="C88" s="712"/>
      <c r="D88" s="712"/>
      <c r="E88" s="712"/>
      <c r="F88" s="712"/>
      <c r="G88" s="715"/>
      <c r="H88" s="684"/>
      <c r="I88" s="709"/>
      <c r="J88" s="183"/>
      <c r="K88" s="38">
        <f>+$K$13</f>
        <v>0</v>
      </c>
      <c r="L88" s="183"/>
      <c r="M88" s="38">
        <f>+$M$13</f>
        <v>0</v>
      </c>
      <c r="N88" s="690"/>
      <c r="O88" s="690"/>
      <c r="P88" s="693"/>
      <c r="Q88" s="544"/>
      <c r="R88" s="544"/>
      <c r="S88" s="671">
        <f t="shared" ref="S88" si="38">IF(COUNTIF(J88:K90,"CUMPLE")&gt;=1,(G88*I88),0)* (IF(N88="PRESENTÓ CERTIFICADO",1,0))* (IF(O88="ACORDE A ITEM 6.2.2.1 (T.R.)",1,0) )* ( IF(OR(Q88="SIN OBSERVACIÓN", Q88="REQUERIMIENTOS SUBSANADOS"),1,0)) *(IF(OR(R88="NINGUNO", R88="CUMPLEN CON LO SOLICITADO"),1,0))</f>
        <v>0</v>
      </c>
      <c r="T88" s="675"/>
      <c r="U88" s="677">
        <f t="shared" si="35"/>
        <v>0</v>
      </c>
      <c r="W88" s="29"/>
      <c r="X88" s="29"/>
      <c r="Y88" s="29"/>
      <c r="Z88" s="29"/>
      <c r="AA88" s="13"/>
      <c r="AB88" s="13"/>
      <c r="AC88" s="13"/>
      <c r="AD88" s="13"/>
      <c r="AE88" s="13"/>
      <c r="AF88" s="13"/>
      <c r="AG88" s="13"/>
    </row>
    <row r="89" spans="1:35" s="41" customFormat="1" ht="25" hidden="1" customHeight="1">
      <c r="A89" s="40"/>
      <c r="B89" s="652"/>
      <c r="C89" s="713"/>
      <c r="D89" s="713"/>
      <c r="E89" s="713"/>
      <c r="F89" s="713"/>
      <c r="G89" s="716"/>
      <c r="H89" s="685"/>
      <c r="I89" s="710"/>
      <c r="J89" s="183"/>
      <c r="K89" s="38">
        <f>+$K$14</f>
        <v>0</v>
      </c>
      <c r="L89" s="696"/>
      <c r="M89" s="678">
        <f>+$M$14</f>
        <v>0</v>
      </c>
      <c r="N89" s="691"/>
      <c r="O89" s="691"/>
      <c r="P89" s="694"/>
      <c r="Q89" s="567"/>
      <c r="R89" s="567"/>
      <c r="S89" s="672"/>
      <c r="T89" s="675"/>
      <c r="U89" s="677"/>
      <c r="W89" s="29"/>
      <c r="X89" s="29"/>
      <c r="Y89" s="29"/>
      <c r="Z89" s="29"/>
      <c r="AA89" s="13"/>
      <c r="AB89" s="13"/>
      <c r="AC89" s="13"/>
      <c r="AD89" s="13"/>
      <c r="AE89" s="13"/>
      <c r="AF89" s="13"/>
      <c r="AG89" s="13"/>
    </row>
    <row r="90" spans="1:35" s="41" customFormat="1" ht="25" hidden="1" customHeight="1">
      <c r="A90" s="40"/>
      <c r="B90" s="653"/>
      <c r="C90" s="714"/>
      <c r="D90" s="714"/>
      <c r="E90" s="714"/>
      <c r="F90" s="714"/>
      <c r="G90" s="717"/>
      <c r="H90" s="686"/>
      <c r="I90" s="711"/>
      <c r="J90" s="183"/>
      <c r="K90" s="38">
        <f>+$K$15</f>
        <v>0</v>
      </c>
      <c r="L90" s="697"/>
      <c r="M90" s="680"/>
      <c r="N90" s="692"/>
      <c r="O90" s="692"/>
      <c r="P90" s="695"/>
      <c r="Q90" s="545"/>
      <c r="R90" s="545"/>
      <c r="S90" s="673"/>
      <c r="T90" s="675"/>
      <c r="U90" s="677"/>
      <c r="W90" s="29"/>
      <c r="X90" s="29"/>
      <c r="Y90" s="29"/>
      <c r="Z90" s="29"/>
      <c r="AA90" s="29"/>
      <c r="AB90" s="29"/>
      <c r="AC90" s="29"/>
      <c r="AD90" s="42"/>
      <c r="AE90" s="42"/>
      <c r="AF90" s="42"/>
      <c r="AG90" s="42"/>
    </row>
    <row r="91" spans="1:35" s="41" customFormat="1" ht="25" hidden="1" customHeight="1">
      <c r="A91" s="40"/>
      <c r="B91" s="651">
        <v>5</v>
      </c>
      <c r="C91" s="654"/>
      <c r="D91" s="654"/>
      <c r="E91" s="654"/>
      <c r="F91" s="654"/>
      <c r="G91" s="681"/>
      <c r="H91" s="684"/>
      <c r="I91" s="687"/>
      <c r="J91" s="183"/>
      <c r="K91" s="38">
        <f>+$K$13</f>
        <v>0</v>
      </c>
      <c r="L91" s="183"/>
      <c r="M91" s="38">
        <f>+$M$13</f>
        <v>0</v>
      </c>
      <c r="N91" s="690"/>
      <c r="O91" s="690"/>
      <c r="P91" s="693"/>
      <c r="Q91" s="544"/>
      <c r="R91" s="544"/>
      <c r="S91" s="671">
        <f t="shared" ref="S91" si="39">IF(COUNTIF(J91:K93,"CUMPLE")&gt;=1,(G91*I91),0)* (IF(N91="PRESENTÓ CERTIFICADO",1,0))* (IF(O91="ACORDE A ITEM 6.2.2.1 (T.R.)",1,0) )* ( IF(OR(Q91="SIN OBSERVACIÓN", Q91="REQUERIMIENTOS SUBSANADOS"),1,0)) *(IF(OR(R91="NINGUNO", R91="CUMPLEN CON LO SOLICITADO"),1,0))</f>
        <v>0</v>
      </c>
      <c r="T91" s="675"/>
      <c r="U91" s="677">
        <f t="shared" si="35"/>
        <v>0</v>
      </c>
      <c r="W91" s="29"/>
      <c r="X91" s="29"/>
      <c r="Y91" s="29"/>
      <c r="Z91" s="29"/>
      <c r="AA91" s="29"/>
      <c r="AB91" s="29"/>
      <c r="AC91" s="29"/>
      <c r="AD91" s="42"/>
      <c r="AE91" s="42"/>
      <c r="AF91" s="42"/>
      <c r="AG91" s="42"/>
    </row>
    <row r="92" spans="1:35" s="41" customFormat="1" ht="25" hidden="1" customHeight="1">
      <c r="A92" s="40"/>
      <c r="B92" s="652"/>
      <c r="C92" s="655"/>
      <c r="D92" s="655"/>
      <c r="E92" s="655"/>
      <c r="F92" s="655"/>
      <c r="G92" s="682"/>
      <c r="H92" s="685"/>
      <c r="I92" s="688"/>
      <c r="J92" s="183"/>
      <c r="K92" s="38">
        <f>+$K$14</f>
        <v>0</v>
      </c>
      <c r="L92" s="696"/>
      <c r="M92" s="678">
        <f>+$M$14</f>
        <v>0</v>
      </c>
      <c r="N92" s="691"/>
      <c r="O92" s="691"/>
      <c r="P92" s="694"/>
      <c r="Q92" s="567"/>
      <c r="R92" s="567"/>
      <c r="S92" s="672"/>
      <c r="T92" s="675"/>
      <c r="U92" s="677"/>
      <c r="W92" s="29"/>
      <c r="X92" s="29"/>
      <c r="Y92" s="29"/>
      <c r="Z92" s="29"/>
      <c r="AA92" s="29"/>
      <c r="AB92" s="29"/>
      <c r="AC92" s="29"/>
    </row>
    <row r="93" spans="1:35" s="41" customFormat="1" ht="25" hidden="1" customHeight="1">
      <c r="A93" s="40"/>
      <c r="B93" s="653"/>
      <c r="C93" s="656"/>
      <c r="D93" s="656"/>
      <c r="E93" s="656"/>
      <c r="F93" s="656"/>
      <c r="G93" s="683"/>
      <c r="H93" s="686"/>
      <c r="I93" s="689"/>
      <c r="J93" s="183"/>
      <c r="K93" s="38">
        <f>+$K$15</f>
        <v>0</v>
      </c>
      <c r="L93" s="697"/>
      <c r="M93" s="680"/>
      <c r="N93" s="692"/>
      <c r="O93" s="692"/>
      <c r="P93" s="695"/>
      <c r="Q93" s="545"/>
      <c r="R93" s="545"/>
      <c r="S93" s="673"/>
      <c r="T93" s="676"/>
      <c r="U93" s="677"/>
      <c r="W93" s="29"/>
      <c r="X93" s="29"/>
      <c r="Y93" s="29"/>
      <c r="Z93" s="29"/>
      <c r="AA93" s="29"/>
      <c r="AB93" s="29"/>
      <c r="AC93" s="29"/>
    </row>
    <row r="94" spans="1:35" s="28" customFormat="1" ht="25" customHeight="1">
      <c r="B94" s="698" t="str">
        <f>IF(S95=" "," ",IF(S95&gt;=$H$6,"CUMPLE CON LA EXPERIENCIA REQUERIDA","NO CUMPLE CON LA EXPERIENCIA REQUERIDA"))</f>
        <v>NO CUMPLE CON LA EXPERIENCIA REQUERIDA</v>
      </c>
      <c r="C94" s="699"/>
      <c r="D94" s="699"/>
      <c r="E94" s="699"/>
      <c r="F94" s="699"/>
      <c r="G94" s="699"/>
      <c r="H94" s="699"/>
      <c r="I94" s="699"/>
      <c r="J94" s="699"/>
      <c r="K94" s="699"/>
      <c r="L94" s="699"/>
      <c r="M94" s="699"/>
      <c r="N94" s="699"/>
      <c r="O94" s="700"/>
      <c r="P94" s="704" t="s">
        <v>46</v>
      </c>
      <c r="Q94" s="705"/>
      <c r="R94" s="706"/>
      <c r="S94" s="44">
        <f>IF(T79="SI",SUM(S79:S93),0)</f>
        <v>0</v>
      </c>
      <c r="T94" s="707" t="s">
        <v>315</v>
      </c>
      <c r="W94" s="29"/>
      <c r="X94" s="29"/>
      <c r="Y94" s="29"/>
      <c r="Z94" s="29"/>
      <c r="AA94" s="29"/>
      <c r="AB94" s="29"/>
      <c r="AC94" s="29"/>
      <c r="AD94" s="41"/>
      <c r="AE94" s="41"/>
      <c r="AF94" s="41"/>
      <c r="AG94" s="41"/>
      <c r="AH94" s="41"/>
    </row>
    <row r="95" spans="1:35" s="41" customFormat="1" ht="25" customHeight="1">
      <c r="B95" s="701"/>
      <c r="C95" s="702"/>
      <c r="D95" s="702"/>
      <c r="E95" s="702"/>
      <c r="F95" s="702"/>
      <c r="G95" s="702"/>
      <c r="H95" s="702"/>
      <c r="I95" s="702"/>
      <c r="J95" s="702"/>
      <c r="K95" s="702"/>
      <c r="L95" s="702"/>
      <c r="M95" s="702"/>
      <c r="N95" s="702"/>
      <c r="O95" s="703"/>
      <c r="P95" s="704" t="s">
        <v>47</v>
      </c>
      <c r="Q95" s="705"/>
      <c r="R95" s="706"/>
      <c r="S95" s="44">
        <f>IFERROR((S94/$P$6)," ")</f>
        <v>0</v>
      </c>
      <c r="T95" s="708"/>
      <c r="W95" s="29"/>
      <c r="X95" s="29"/>
      <c r="Y95" s="29"/>
      <c r="Z95" s="29"/>
      <c r="AA95" s="29"/>
      <c r="AB95" s="29"/>
      <c r="AC95" s="29"/>
    </row>
    <row r="96" spans="1:35" ht="30" customHeight="1">
      <c r="AA96" s="29"/>
      <c r="AB96" s="29"/>
      <c r="AC96" s="29"/>
      <c r="AD96" s="41"/>
      <c r="AE96" s="41"/>
      <c r="AF96" s="41"/>
      <c r="AG96" s="41"/>
      <c r="AH96" s="28"/>
    </row>
    <row r="97" spans="1:35" ht="30" customHeight="1">
      <c r="AA97" s="29"/>
      <c r="AB97" s="29"/>
      <c r="AC97" s="29"/>
      <c r="AD97" s="41"/>
      <c r="AE97" s="41"/>
      <c r="AF97" s="41"/>
      <c r="AG97" s="41"/>
      <c r="AH97" s="41"/>
    </row>
    <row r="98" spans="1:35" ht="63.75" hidden="1" customHeight="1">
      <c r="B98" s="26">
        <v>5</v>
      </c>
      <c r="C98" s="660" t="s">
        <v>25</v>
      </c>
      <c r="D98" s="661"/>
      <c r="E98" s="662"/>
      <c r="F98" s="663">
        <f>IFERROR(VLOOKUP(B98,LISTA_OFERENTES,2,FALSE)," ")</f>
        <v>0</v>
      </c>
      <c r="G98" s="664"/>
      <c r="H98" s="664"/>
      <c r="I98" s="664"/>
      <c r="J98" s="664"/>
      <c r="K98" s="664"/>
      <c r="L98" s="664"/>
      <c r="M98" s="664"/>
      <c r="N98" s="664"/>
      <c r="O98" s="665"/>
      <c r="P98" s="666" t="s">
        <v>26</v>
      </c>
      <c r="Q98" s="667"/>
      <c r="R98" s="668"/>
      <c r="S98" s="27">
        <f>5-(INT(COUNTBLANK(C101:C115))-10)</f>
        <v>0</v>
      </c>
      <c r="T98" s="28"/>
      <c r="AA98" s="29"/>
      <c r="AB98" s="29"/>
      <c r="AC98" s="29"/>
      <c r="AD98" s="41"/>
      <c r="AE98" s="41"/>
      <c r="AF98" s="41"/>
      <c r="AG98" s="41"/>
    </row>
    <row r="99" spans="1:35" s="42" customFormat="1" ht="30" hidden="1" customHeight="1">
      <c r="B99" s="669" t="s">
        <v>27</v>
      </c>
      <c r="C99" s="643" t="s">
        <v>28</v>
      </c>
      <c r="D99" s="643" t="s">
        <v>29</v>
      </c>
      <c r="E99" s="643" t="s">
        <v>30</v>
      </c>
      <c r="F99" s="643" t="s">
        <v>31</v>
      </c>
      <c r="G99" s="643" t="s">
        <v>32</v>
      </c>
      <c r="H99" s="643" t="s">
        <v>33</v>
      </c>
      <c r="I99" s="643" t="s">
        <v>34</v>
      </c>
      <c r="J99" s="657" t="s">
        <v>35</v>
      </c>
      <c r="K99" s="658"/>
      <c r="L99" s="658"/>
      <c r="M99" s="659"/>
      <c r="N99" s="643" t="s">
        <v>36</v>
      </c>
      <c r="O99" s="643" t="s">
        <v>37</v>
      </c>
      <c r="P99" s="657" t="s">
        <v>38</v>
      </c>
      <c r="Q99" s="659"/>
      <c r="R99" s="643" t="s">
        <v>39</v>
      </c>
      <c r="S99" s="643" t="s">
        <v>40</v>
      </c>
      <c r="T99" s="643" t="str">
        <f>+$T$11</f>
        <v>Cumple con el requerimiento del numeral 6.2.2.2.1</v>
      </c>
      <c r="U99" s="643" t="str">
        <f>+$U$11</f>
        <v xml:space="preserve">VERIFICACIÓN CONDICIÓN DE EXPERIENCIA  </v>
      </c>
      <c r="V99" s="45"/>
      <c r="W99" s="29"/>
      <c r="X99" s="29"/>
      <c r="Y99" s="29"/>
      <c r="Z99" s="29"/>
      <c r="AA99" s="29"/>
      <c r="AB99" s="29"/>
      <c r="AC99" s="29"/>
      <c r="AD99" s="41"/>
      <c r="AE99" s="41"/>
      <c r="AF99" s="41"/>
      <c r="AG99" s="41"/>
      <c r="AH99" s="13"/>
    </row>
    <row r="100" spans="1:35" s="42" customFormat="1" ht="90.75" hidden="1" customHeight="1">
      <c r="B100" s="670"/>
      <c r="C100" s="644"/>
      <c r="D100" s="644"/>
      <c r="E100" s="644"/>
      <c r="F100" s="644"/>
      <c r="G100" s="644"/>
      <c r="H100" s="644"/>
      <c r="I100" s="644"/>
      <c r="J100" s="648" t="s">
        <v>43</v>
      </c>
      <c r="K100" s="649"/>
      <c r="L100" s="649"/>
      <c r="M100" s="650"/>
      <c r="N100" s="644"/>
      <c r="O100" s="644"/>
      <c r="P100" s="33" t="s">
        <v>10</v>
      </c>
      <c r="Q100" s="33" t="s">
        <v>44</v>
      </c>
      <c r="R100" s="644"/>
      <c r="S100" s="644"/>
      <c r="T100" s="644"/>
      <c r="U100" s="644"/>
      <c r="V100" s="45"/>
      <c r="W100" s="29"/>
      <c r="X100" s="29"/>
      <c r="Y100" s="29"/>
      <c r="Z100" s="29"/>
      <c r="AA100" s="29"/>
      <c r="AB100" s="29"/>
      <c r="AC100" s="29"/>
      <c r="AD100" s="41"/>
      <c r="AE100" s="41"/>
      <c r="AF100" s="41"/>
      <c r="AG100" s="41"/>
      <c r="AH100" s="13"/>
    </row>
    <row r="101" spans="1:35" s="41" customFormat="1" ht="35" hidden="1" customHeight="1">
      <c r="A101" s="40"/>
      <c r="B101" s="651">
        <v>1</v>
      </c>
      <c r="C101" s="654"/>
      <c r="D101" s="654"/>
      <c r="E101" s="654"/>
      <c r="F101" s="654"/>
      <c r="G101" s="681"/>
      <c r="H101" s="684"/>
      <c r="I101" s="687"/>
      <c r="J101" s="183"/>
      <c r="K101" s="38">
        <f>+$K$13</f>
        <v>0</v>
      </c>
      <c r="L101" s="183"/>
      <c r="M101" s="38">
        <f>+$M$13</f>
        <v>0</v>
      </c>
      <c r="N101" s="690"/>
      <c r="O101" s="690"/>
      <c r="P101" s="693"/>
      <c r="Q101" s="544"/>
      <c r="R101" s="544"/>
      <c r="S101" s="671">
        <f>IF(COUNTIF(J101:K103,"CUMPLE")&gt;=1,(G101*I101),0)* (IF(N101="PRESENTÓ CERTIFICADO",1,0))* (IF(O101="ACORDE A ITEM 5.2.2 (T.R.)",1,0) )* ( IF(OR(Q101="SIN OBSERVACIÓN", Q101="REQUERIMIENTOS SUBSANADOS"),1,0)) *(IF(OR(R101="NINGUNO", R101="CUMPLEN CON LO SOLICITADO"),1,0))</f>
        <v>0</v>
      </c>
      <c r="T101" s="674"/>
      <c r="U101" s="677">
        <f t="shared" ref="U101:U113" si="40">IF(COUNTIF(J101:K103,"CUMPLE")&gt;=1,1,0)</f>
        <v>0</v>
      </c>
      <c r="W101" s="29"/>
      <c r="X101" s="29"/>
      <c r="Y101" s="29"/>
      <c r="Z101" s="29"/>
      <c r="AD101" s="13"/>
      <c r="AE101" s="13"/>
      <c r="AF101" s="13"/>
      <c r="AG101" s="13"/>
      <c r="AH101" s="13"/>
      <c r="AI101" s="13"/>
    </row>
    <row r="102" spans="1:35" s="41" customFormat="1" ht="35" hidden="1" customHeight="1">
      <c r="A102" s="40"/>
      <c r="B102" s="652"/>
      <c r="C102" s="655"/>
      <c r="D102" s="655"/>
      <c r="E102" s="655"/>
      <c r="F102" s="655"/>
      <c r="G102" s="682"/>
      <c r="H102" s="685"/>
      <c r="I102" s="688"/>
      <c r="J102" s="183"/>
      <c r="K102" s="38">
        <f>+$K$14</f>
        <v>0</v>
      </c>
      <c r="L102" s="696"/>
      <c r="M102" s="678">
        <f>+$M$14</f>
        <v>0</v>
      </c>
      <c r="N102" s="691"/>
      <c r="O102" s="691"/>
      <c r="P102" s="694"/>
      <c r="Q102" s="567"/>
      <c r="R102" s="567"/>
      <c r="S102" s="672"/>
      <c r="T102" s="675"/>
      <c r="U102" s="677"/>
      <c r="W102" s="29"/>
      <c r="X102" s="29"/>
      <c r="Y102" s="29"/>
      <c r="Z102" s="29"/>
      <c r="AD102" s="13"/>
      <c r="AE102" s="13"/>
      <c r="AF102" s="13"/>
      <c r="AG102" s="13"/>
      <c r="AH102" s="13"/>
      <c r="AI102" s="13"/>
    </row>
    <row r="103" spans="1:35" s="41" customFormat="1" ht="35" hidden="1" customHeight="1">
      <c r="A103" s="40"/>
      <c r="B103" s="653"/>
      <c r="C103" s="656"/>
      <c r="D103" s="656"/>
      <c r="E103" s="656"/>
      <c r="F103" s="656"/>
      <c r="G103" s="683"/>
      <c r="H103" s="686"/>
      <c r="I103" s="689"/>
      <c r="J103" s="183"/>
      <c r="K103" s="38">
        <f>+$K$15</f>
        <v>0</v>
      </c>
      <c r="L103" s="697"/>
      <c r="M103" s="680"/>
      <c r="N103" s="692"/>
      <c r="O103" s="692"/>
      <c r="P103" s="695"/>
      <c r="Q103" s="545"/>
      <c r="R103" s="545"/>
      <c r="S103" s="673"/>
      <c r="T103" s="675"/>
      <c r="U103" s="677"/>
      <c r="W103" s="29"/>
      <c r="X103" s="29"/>
      <c r="Y103" s="29"/>
      <c r="Z103" s="29"/>
      <c r="AD103" s="13"/>
      <c r="AE103" s="13"/>
      <c r="AF103" s="13"/>
      <c r="AG103" s="13"/>
      <c r="AH103" s="13"/>
      <c r="AI103" s="13"/>
    </row>
    <row r="104" spans="1:35" s="41" customFormat="1" ht="32.25" hidden="1" customHeight="1">
      <c r="A104" s="40"/>
      <c r="B104" s="651">
        <v>2</v>
      </c>
      <c r="C104" s="712"/>
      <c r="D104" s="712"/>
      <c r="E104" s="712"/>
      <c r="F104" s="712"/>
      <c r="G104" s="715"/>
      <c r="H104" s="684"/>
      <c r="I104" s="687"/>
      <c r="J104" s="183"/>
      <c r="K104" s="38">
        <f>+$K$13</f>
        <v>0</v>
      </c>
      <c r="L104" s="183"/>
      <c r="M104" s="38">
        <f>+$M$13</f>
        <v>0</v>
      </c>
      <c r="N104" s="690"/>
      <c r="O104" s="690"/>
      <c r="P104" s="693"/>
      <c r="Q104" s="544"/>
      <c r="R104" s="544"/>
      <c r="S104" s="671">
        <f>IF(COUNTIF(J104:K106,"CUMPLE")&gt;=1,(G104*I104),0)* (IF(N104="PRESENTÓ CERTIFICADO",1,0))* (IF(O104="ACORDE A ITEM 5.2.2 (T.R.)",1,0) )* ( IF(OR(Q104="SIN OBSERVACIÓN", Q104="REQUERIMIENTOS SUBSANADOS"),1,0)) *(IF(OR(R104="NINGUNO", R104="CUMPLEN CON LO SOLICITADO"),1,0))</f>
        <v>0</v>
      </c>
      <c r="T104" s="675"/>
      <c r="U104" s="677">
        <f t="shared" si="40"/>
        <v>0</v>
      </c>
      <c r="W104" s="29"/>
      <c r="X104" s="29"/>
      <c r="Y104" s="29"/>
      <c r="Z104" s="29"/>
      <c r="AD104" s="13"/>
      <c r="AE104" s="13"/>
      <c r="AF104" s="13"/>
      <c r="AG104" s="13"/>
      <c r="AH104" s="13"/>
      <c r="AI104" s="13"/>
    </row>
    <row r="105" spans="1:35" s="41" customFormat="1" ht="30.75" hidden="1" customHeight="1">
      <c r="A105" s="40"/>
      <c r="B105" s="652"/>
      <c r="C105" s="713"/>
      <c r="D105" s="713"/>
      <c r="E105" s="713"/>
      <c r="F105" s="713"/>
      <c r="G105" s="716"/>
      <c r="H105" s="685"/>
      <c r="I105" s="688"/>
      <c r="J105" s="183"/>
      <c r="K105" s="38">
        <f>+$K$14</f>
        <v>0</v>
      </c>
      <c r="L105" s="696"/>
      <c r="M105" s="678">
        <f>+$M$14</f>
        <v>0</v>
      </c>
      <c r="N105" s="691"/>
      <c r="O105" s="691"/>
      <c r="P105" s="694"/>
      <c r="Q105" s="567"/>
      <c r="R105" s="567"/>
      <c r="S105" s="672"/>
      <c r="T105" s="675"/>
      <c r="U105" s="677"/>
      <c r="W105" s="29"/>
      <c r="X105" s="29"/>
      <c r="Y105" s="29"/>
      <c r="Z105" s="29"/>
      <c r="AD105" s="13"/>
      <c r="AE105" s="13"/>
      <c r="AF105" s="13"/>
      <c r="AG105" s="13"/>
      <c r="AH105" s="13"/>
      <c r="AI105" s="13"/>
    </row>
    <row r="106" spans="1:35" s="41" customFormat="1" ht="35" hidden="1" customHeight="1">
      <c r="A106" s="40"/>
      <c r="B106" s="653"/>
      <c r="C106" s="714"/>
      <c r="D106" s="714"/>
      <c r="E106" s="714"/>
      <c r="F106" s="714"/>
      <c r="G106" s="717"/>
      <c r="H106" s="686"/>
      <c r="I106" s="689"/>
      <c r="J106" s="183"/>
      <c r="K106" s="38">
        <f>+$K$15</f>
        <v>0</v>
      </c>
      <c r="L106" s="697"/>
      <c r="M106" s="680"/>
      <c r="N106" s="692"/>
      <c r="O106" s="692"/>
      <c r="P106" s="695"/>
      <c r="Q106" s="545"/>
      <c r="R106" s="545"/>
      <c r="S106" s="673"/>
      <c r="T106" s="675"/>
      <c r="U106" s="677"/>
      <c r="W106" s="29"/>
      <c r="X106" s="29"/>
      <c r="Y106" s="29"/>
      <c r="Z106" s="29"/>
      <c r="AD106" s="13"/>
      <c r="AE106" s="13"/>
      <c r="AF106" s="13"/>
      <c r="AG106" s="13"/>
      <c r="AH106" s="13"/>
      <c r="AI106" s="13"/>
    </row>
    <row r="107" spans="1:35" s="41" customFormat="1" ht="25" hidden="1" customHeight="1">
      <c r="A107" s="40"/>
      <c r="B107" s="651">
        <v>3</v>
      </c>
      <c r="C107" s="654"/>
      <c r="D107" s="654"/>
      <c r="E107" s="654"/>
      <c r="F107" s="654"/>
      <c r="G107" s="681"/>
      <c r="H107" s="684"/>
      <c r="I107" s="687"/>
      <c r="J107" s="183"/>
      <c r="K107" s="38">
        <f>+$K$13</f>
        <v>0</v>
      </c>
      <c r="L107" s="183"/>
      <c r="M107" s="38">
        <f>+$M$13</f>
        <v>0</v>
      </c>
      <c r="N107" s="690"/>
      <c r="O107" s="690"/>
      <c r="P107" s="693"/>
      <c r="Q107" s="544"/>
      <c r="R107" s="544"/>
      <c r="S107" s="671">
        <f>IF(COUNTIF(J107:K109,"CUMPLE")&gt;=1,(G107*I107),0)* (IF(N107="PRESENTÓ CERTIFICADO",1,0))* (IF(O107="ACORDE A ITEM 5.2.2 (T.R.)",1,0) )* ( IF(OR(Q107="SIN OBSERVACIÓN", Q107="REQUERIMIENTOS SUBSANADOS"),1,0)) *(IF(OR(R107="NINGUNO", R107="CUMPLEN CON LO SOLICITADO"),1,0))</f>
        <v>0</v>
      </c>
      <c r="T107" s="675"/>
      <c r="U107" s="677">
        <f t="shared" si="40"/>
        <v>0</v>
      </c>
      <c r="W107" s="29"/>
      <c r="X107" s="29"/>
      <c r="Y107" s="29"/>
      <c r="Z107" s="29"/>
      <c r="AA107" s="28"/>
      <c r="AB107" s="28"/>
      <c r="AC107" s="28"/>
      <c r="AD107" s="13"/>
      <c r="AE107" s="13"/>
      <c r="AF107" s="13"/>
      <c r="AG107" s="13"/>
      <c r="AH107" s="13"/>
      <c r="AI107" s="13"/>
    </row>
    <row r="108" spans="1:35" s="41" customFormat="1" ht="25" hidden="1" customHeight="1">
      <c r="A108" s="40"/>
      <c r="B108" s="652"/>
      <c r="C108" s="655"/>
      <c r="D108" s="655"/>
      <c r="E108" s="655"/>
      <c r="F108" s="655"/>
      <c r="G108" s="682"/>
      <c r="H108" s="685"/>
      <c r="I108" s="688"/>
      <c r="J108" s="183"/>
      <c r="K108" s="38">
        <f>+$K$14</f>
        <v>0</v>
      </c>
      <c r="L108" s="696"/>
      <c r="M108" s="678">
        <f>+$M$14</f>
        <v>0</v>
      </c>
      <c r="N108" s="691"/>
      <c r="O108" s="691"/>
      <c r="P108" s="694"/>
      <c r="Q108" s="567"/>
      <c r="R108" s="567"/>
      <c r="S108" s="672"/>
      <c r="T108" s="675"/>
      <c r="U108" s="677"/>
      <c r="W108" s="29"/>
      <c r="X108" s="29"/>
      <c r="Y108" s="29"/>
      <c r="Z108" s="29"/>
      <c r="AH108" s="13"/>
      <c r="AI108" s="13"/>
    </row>
    <row r="109" spans="1:35" s="41" customFormat="1" ht="25" hidden="1" customHeight="1">
      <c r="A109" s="40"/>
      <c r="B109" s="653"/>
      <c r="C109" s="656"/>
      <c r="D109" s="656"/>
      <c r="E109" s="656"/>
      <c r="F109" s="656"/>
      <c r="G109" s="683"/>
      <c r="H109" s="686"/>
      <c r="I109" s="689"/>
      <c r="J109" s="183"/>
      <c r="K109" s="38">
        <f>+$K$15</f>
        <v>0</v>
      </c>
      <c r="L109" s="697"/>
      <c r="M109" s="680"/>
      <c r="N109" s="692"/>
      <c r="O109" s="692"/>
      <c r="P109" s="695"/>
      <c r="Q109" s="545"/>
      <c r="R109" s="545"/>
      <c r="S109" s="673"/>
      <c r="T109" s="675"/>
      <c r="U109" s="677"/>
      <c r="W109" s="29"/>
      <c r="X109" s="29"/>
      <c r="Y109" s="29"/>
      <c r="Z109" s="29"/>
    </row>
    <row r="110" spans="1:35" s="41" customFormat="1" ht="30" hidden="1" customHeight="1">
      <c r="A110" s="40"/>
      <c r="B110" s="651">
        <v>4</v>
      </c>
      <c r="C110" s="712"/>
      <c r="D110" s="712"/>
      <c r="E110" s="712"/>
      <c r="F110" s="712"/>
      <c r="G110" s="715"/>
      <c r="H110" s="684"/>
      <c r="I110" s="709"/>
      <c r="J110" s="183"/>
      <c r="K110" s="38">
        <f>+$K$13</f>
        <v>0</v>
      </c>
      <c r="L110" s="183"/>
      <c r="M110" s="38">
        <f>+$M$13</f>
        <v>0</v>
      </c>
      <c r="N110" s="690"/>
      <c r="O110" s="690"/>
      <c r="P110" s="693"/>
      <c r="Q110" s="544"/>
      <c r="R110" s="544"/>
      <c r="S110" s="671">
        <f>IF(COUNTIF(J110:K112,"CUMPLE")&gt;=1,(G110*I110),0)* (IF(N110="PRESENTÓ CERTIFICADO",1,0))* (IF(O110="ACORDE A ITEM 5.2.2 (T.R.)",1,0) )* ( IF(OR(Q110="SIN OBSERVACIÓN", Q110="REQUERIMIENTOS SUBSANADOS"),1,0)) *(IF(OR(R110="NINGUNO", R110="CUMPLEN CON LO SOLICITADO"),1,0))</f>
        <v>0</v>
      </c>
      <c r="T110" s="675"/>
      <c r="U110" s="677">
        <f t="shared" si="40"/>
        <v>0</v>
      </c>
      <c r="W110" s="29"/>
      <c r="X110" s="29"/>
      <c r="Y110" s="29"/>
      <c r="Z110" s="29"/>
      <c r="AA110" s="13"/>
      <c r="AB110" s="13"/>
      <c r="AC110" s="13"/>
      <c r="AD110" s="13"/>
      <c r="AE110" s="13"/>
      <c r="AF110" s="13"/>
      <c r="AG110" s="13"/>
    </row>
    <row r="111" spans="1:35" s="41" customFormat="1" ht="35" hidden="1" customHeight="1">
      <c r="A111" s="40"/>
      <c r="B111" s="652"/>
      <c r="C111" s="713"/>
      <c r="D111" s="713"/>
      <c r="E111" s="713"/>
      <c r="F111" s="713"/>
      <c r="G111" s="716"/>
      <c r="H111" s="685"/>
      <c r="I111" s="710"/>
      <c r="J111" s="183"/>
      <c r="K111" s="38">
        <f>+$K$14</f>
        <v>0</v>
      </c>
      <c r="L111" s="696"/>
      <c r="M111" s="678">
        <f>+$M$14</f>
        <v>0</v>
      </c>
      <c r="N111" s="691"/>
      <c r="O111" s="691"/>
      <c r="P111" s="694"/>
      <c r="Q111" s="567"/>
      <c r="R111" s="567"/>
      <c r="S111" s="672"/>
      <c r="T111" s="675"/>
      <c r="U111" s="677"/>
      <c r="W111" s="29"/>
      <c r="X111" s="29"/>
      <c r="Y111" s="29"/>
      <c r="Z111" s="29"/>
      <c r="AA111" s="13"/>
      <c r="AB111" s="13"/>
      <c r="AC111" s="13"/>
      <c r="AD111" s="13"/>
      <c r="AE111" s="13"/>
      <c r="AF111" s="13"/>
      <c r="AG111" s="13"/>
    </row>
    <row r="112" spans="1:35" s="41" customFormat="1" ht="35" hidden="1" customHeight="1">
      <c r="A112" s="40"/>
      <c r="B112" s="653"/>
      <c r="C112" s="714"/>
      <c r="D112" s="714"/>
      <c r="E112" s="714"/>
      <c r="F112" s="714"/>
      <c r="G112" s="717"/>
      <c r="H112" s="686"/>
      <c r="I112" s="711"/>
      <c r="J112" s="183"/>
      <c r="K112" s="38">
        <f>+$K$15</f>
        <v>0</v>
      </c>
      <c r="L112" s="697"/>
      <c r="M112" s="680"/>
      <c r="N112" s="692"/>
      <c r="O112" s="692"/>
      <c r="P112" s="695"/>
      <c r="Q112" s="545"/>
      <c r="R112" s="545"/>
      <c r="S112" s="673"/>
      <c r="T112" s="675"/>
      <c r="U112" s="677"/>
      <c r="W112" s="29"/>
      <c r="X112" s="29"/>
      <c r="Y112" s="29"/>
      <c r="Z112" s="29"/>
      <c r="AA112" s="29"/>
      <c r="AB112" s="29"/>
      <c r="AC112" s="29"/>
      <c r="AD112" s="42"/>
      <c r="AE112" s="42"/>
      <c r="AF112" s="42"/>
      <c r="AG112" s="42"/>
    </row>
    <row r="113" spans="1:35" s="41" customFormat="1" ht="25" hidden="1" customHeight="1">
      <c r="A113" s="40"/>
      <c r="B113" s="651">
        <v>5</v>
      </c>
      <c r="C113" s="654"/>
      <c r="D113" s="654"/>
      <c r="E113" s="654"/>
      <c r="F113" s="654"/>
      <c r="G113" s="681"/>
      <c r="H113" s="684"/>
      <c r="I113" s="687"/>
      <c r="J113" s="183"/>
      <c r="K113" s="38">
        <f>+$K$13</f>
        <v>0</v>
      </c>
      <c r="L113" s="183"/>
      <c r="M113" s="38">
        <f>+$M$13</f>
        <v>0</v>
      </c>
      <c r="N113" s="690"/>
      <c r="O113" s="690"/>
      <c r="P113" s="693"/>
      <c r="Q113" s="544"/>
      <c r="R113" s="544"/>
      <c r="S113" s="671">
        <f>IF(COUNTIF(J113:K115,"CUMPLE")&gt;=1,(G113*I113),0)* (IF(N113="PRESENTÓ CERTIFICADO",1,0))* (IF(O113="ACORDE A ITEM 5.2.2 (T.R.)",1,0) )* ( IF(OR(Q113="SIN OBSERVACIÓN", Q113="REQUERIMIENTOS SUBSANADOS"),1,0)) *(IF(OR(R113="NINGUNO", R113="CUMPLEN CON LO SOLICITADO"),1,0))</f>
        <v>0</v>
      </c>
      <c r="T113" s="675"/>
      <c r="U113" s="677">
        <f t="shared" si="40"/>
        <v>0</v>
      </c>
      <c r="W113" s="29"/>
      <c r="X113" s="29"/>
      <c r="Y113" s="29"/>
      <c r="Z113" s="29"/>
      <c r="AA113" s="29"/>
      <c r="AB113" s="29"/>
      <c r="AC113" s="29"/>
      <c r="AD113" s="42"/>
      <c r="AE113" s="42"/>
      <c r="AF113" s="42"/>
      <c r="AG113" s="42"/>
    </row>
    <row r="114" spans="1:35" s="41" customFormat="1" ht="25" hidden="1" customHeight="1">
      <c r="A114" s="40"/>
      <c r="B114" s="652"/>
      <c r="C114" s="655"/>
      <c r="D114" s="655"/>
      <c r="E114" s="655"/>
      <c r="F114" s="655"/>
      <c r="G114" s="682"/>
      <c r="H114" s="685"/>
      <c r="I114" s="688"/>
      <c r="J114" s="183"/>
      <c r="K114" s="38">
        <f>+$K$14</f>
        <v>0</v>
      </c>
      <c r="L114" s="696"/>
      <c r="M114" s="678">
        <f>+$M$14</f>
        <v>0</v>
      </c>
      <c r="N114" s="691"/>
      <c r="O114" s="691"/>
      <c r="P114" s="694"/>
      <c r="Q114" s="567"/>
      <c r="R114" s="567"/>
      <c r="S114" s="672"/>
      <c r="T114" s="675"/>
      <c r="U114" s="677"/>
      <c r="W114" s="29"/>
      <c r="X114" s="29"/>
      <c r="Y114" s="29"/>
      <c r="Z114" s="29"/>
      <c r="AA114" s="29"/>
      <c r="AB114" s="29"/>
      <c r="AC114" s="29"/>
    </row>
    <row r="115" spans="1:35" s="41" customFormat="1" ht="25" hidden="1" customHeight="1">
      <c r="A115" s="40"/>
      <c r="B115" s="653"/>
      <c r="C115" s="656"/>
      <c r="D115" s="656"/>
      <c r="E115" s="656"/>
      <c r="F115" s="656"/>
      <c r="G115" s="683"/>
      <c r="H115" s="686"/>
      <c r="I115" s="689"/>
      <c r="J115" s="183"/>
      <c r="K115" s="38">
        <f>+$K$15</f>
        <v>0</v>
      </c>
      <c r="L115" s="697"/>
      <c r="M115" s="680"/>
      <c r="N115" s="692"/>
      <c r="O115" s="692"/>
      <c r="P115" s="695"/>
      <c r="Q115" s="545"/>
      <c r="R115" s="545"/>
      <c r="S115" s="673"/>
      <c r="T115" s="676"/>
      <c r="U115" s="677"/>
      <c r="W115" s="29"/>
      <c r="X115" s="29"/>
      <c r="Y115" s="29"/>
      <c r="Z115" s="29"/>
      <c r="AA115" s="29"/>
      <c r="AB115" s="29"/>
      <c r="AC115" s="29"/>
    </row>
    <row r="116" spans="1:35" s="28" customFormat="1" ht="25" hidden="1" customHeight="1">
      <c r="B116" s="698" t="str">
        <f>IF(S117=" "," ",IF(S117&gt;=$H$6,"CUMPLE CON LA EXPERIENCIA REQUERIDA","NO CUMPLE CON LA EXPERIENCIA REQUERIDA"))</f>
        <v>NO CUMPLE CON LA EXPERIENCIA REQUERIDA</v>
      </c>
      <c r="C116" s="699"/>
      <c r="D116" s="699"/>
      <c r="E116" s="699"/>
      <c r="F116" s="699"/>
      <c r="G116" s="699"/>
      <c r="H116" s="699"/>
      <c r="I116" s="699"/>
      <c r="J116" s="699"/>
      <c r="K116" s="699"/>
      <c r="L116" s="699"/>
      <c r="M116" s="699"/>
      <c r="N116" s="699"/>
      <c r="O116" s="700"/>
      <c r="P116" s="704" t="s">
        <v>46</v>
      </c>
      <c r="Q116" s="705"/>
      <c r="R116" s="706"/>
      <c r="S116" s="44">
        <f>IF(T101="SI",SUM(S101:S115),0)</f>
        <v>0</v>
      </c>
      <c r="T116" s="707" t="str">
        <f>IF(S117=" "," ",IF(S117&gt;=$H$6,"CUMPLE","NO CUMPLE"))</f>
        <v>NO CUMPLE</v>
      </c>
      <c r="W116" s="29"/>
      <c r="X116" s="29"/>
      <c r="Y116" s="29"/>
      <c r="Z116" s="29"/>
      <c r="AA116" s="29"/>
      <c r="AB116" s="29"/>
      <c r="AC116" s="29"/>
      <c r="AD116" s="41"/>
      <c r="AE116" s="41"/>
      <c r="AF116" s="41"/>
      <c r="AG116" s="41"/>
      <c r="AH116" s="41"/>
    </row>
    <row r="117" spans="1:35" s="41" customFormat="1" ht="25" hidden="1" customHeight="1">
      <c r="B117" s="701"/>
      <c r="C117" s="702"/>
      <c r="D117" s="702"/>
      <c r="E117" s="702"/>
      <c r="F117" s="702"/>
      <c r="G117" s="702"/>
      <c r="H117" s="702"/>
      <c r="I117" s="702"/>
      <c r="J117" s="702"/>
      <c r="K117" s="702"/>
      <c r="L117" s="702"/>
      <c r="M117" s="702"/>
      <c r="N117" s="702"/>
      <c r="O117" s="703"/>
      <c r="P117" s="704" t="s">
        <v>47</v>
      </c>
      <c r="Q117" s="705"/>
      <c r="R117" s="706"/>
      <c r="S117" s="44">
        <f>IFERROR((S116/$P$6)," ")</f>
        <v>0</v>
      </c>
      <c r="T117" s="708"/>
      <c r="W117" s="29"/>
      <c r="X117" s="29"/>
      <c r="Y117" s="29"/>
      <c r="Z117" s="29"/>
      <c r="AA117" s="29"/>
      <c r="AB117" s="29"/>
      <c r="AC117" s="29"/>
    </row>
    <row r="118" spans="1:35" ht="30" hidden="1" customHeight="1">
      <c r="AA118" s="29"/>
      <c r="AB118" s="29"/>
      <c r="AC118" s="29"/>
      <c r="AD118" s="41"/>
      <c r="AE118" s="41"/>
      <c r="AF118" s="41"/>
      <c r="AG118" s="41"/>
      <c r="AH118" s="28"/>
    </row>
    <row r="119" spans="1:35" ht="30" hidden="1" customHeight="1">
      <c r="AA119" s="29"/>
      <c r="AB119" s="29"/>
      <c r="AC119" s="29"/>
      <c r="AD119" s="41"/>
      <c r="AE119" s="41"/>
      <c r="AF119" s="41"/>
      <c r="AG119" s="41"/>
      <c r="AH119" s="41"/>
    </row>
    <row r="120" spans="1:35" ht="66" hidden="1" customHeight="1">
      <c r="B120" s="26">
        <v>6</v>
      </c>
      <c r="C120" s="660" t="s">
        <v>25</v>
      </c>
      <c r="D120" s="661"/>
      <c r="E120" s="662"/>
      <c r="F120" s="663">
        <f>IFERROR(VLOOKUP(B120,LISTA_OFERENTES,2,FALSE)," ")</f>
        <v>0</v>
      </c>
      <c r="G120" s="664"/>
      <c r="H120" s="664"/>
      <c r="I120" s="664"/>
      <c r="J120" s="664"/>
      <c r="K120" s="664"/>
      <c r="L120" s="664"/>
      <c r="M120" s="664"/>
      <c r="N120" s="664"/>
      <c r="O120" s="665"/>
      <c r="P120" s="666" t="s">
        <v>26</v>
      </c>
      <c r="Q120" s="667"/>
      <c r="R120" s="668"/>
      <c r="S120" s="27">
        <f>5-(INT(COUNTBLANK(C123:C137))-10)</f>
        <v>0</v>
      </c>
      <c r="T120" s="28"/>
      <c r="AA120" s="29"/>
      <c r="AB120" s="29"/>
      <c r="AC120" s="29"/>
      <c r="AD120" s="41"/>
      <c r="AE120" s="41"/>
      <c r="AF120" s="41"/>
      <c r="AG120" s="41"/>
    </row>
    <row r="121" spans="1:35" s="42" customFormat="1" ht="30" hidden="1" customHeight="1">
      <c r="B121" s="669" t="s">
        <v>27</v>
      </c>
      <c r="C121" s="643" t="s">
        <v>28</v>
      </c>
      <c r="D121" s="643" t="s">
        <v>29</v>
      </c>
      <c r="E121" s="643" t="s">
        <v>30</v>
      </c>
      <c r="F121" s="643" t="s">
        <v>31</v>
      </c>
      <c r="G121" s="643" t="s">
        <v>32</v>
      </c>
      <c r="H121" s="643" t="s">
        <v>33</v>
      </c>
      <c r="I121" s="643" t="s">
        <v>34</v>
      </c>
      <c r="J121" s="657" t="s">
        <v>35</v>
      </c>
      <c r="K121" s="658"/>
      <c r="L121" s="658"/>
      <c r="M121" s="659"/>
      <c r="N121" s="643" t="s">
        <v>36</v>
      </c>
      <c r="O121" s="643" t="s">
        <v>37</v>
      </c>
      <c r="P121" s="657" t="s">
        <v>38</v>
      </c>
      <c r="Q121" s="659"/>
      <c r="R121" s="643" t="s">
        <v>39</v>
      </c>
      <c r="S121" s="643" t="s">
        <v>40</v>
      </c>
      <c r="T121" s="643" t="str">
        <f>+$T$11</f>
        <v>Cumple con el requerimiento del numeral 6.2.2.2.1</v>
      </c>
      <c r="U121" s="643" t="str">
        <f>+$U$11</f>
        <v xml:space="preserve">VERIFICACIÓN CONDICIÓN DE EXPERIENCIA  </v>
      </c>
      <c r="V121" s="45"/>
      <c r="W121" s="29"/>
      <c r="X121" s="29"/>
      <c r="Y121" s="29"/>
      <c r="Z121" s="29"/>
      <c r="AA121" s="29"/>
      <c r="AB121" s="29"/>
      <c r="AC121" s="29"/>
      <c r="AD121" s="41"/>
      <c r="AE121" s="41"/>
      <c r="AF121" s="41"/>
      <c r="AG121" s="41"/>
      <c r="AH121" s="13"/>
    </row>
    <row r="122" spans="1:35" s="42" customFormat="1" ht="106.5" hidden="1" customHeight="1">
      <c r="B122" s="670"/>
      <c r="C122" s="644"/>
      <c r="D122" s="644"/>
      <c r="E122" s="644"/>
      <c r="F122" s="644"/>
      <c r="G122" s="644"/>
      <c r="H122" s="644"/>
      <c r="I122" s="644"/>
      <c r="J122" s="648" t="s">
        <v>43</v>
      </c>
      <c r="K122" s="649"/>
      <c r="L122" s="649"/>
      <c r="M122" s="650"/>
      <c r="N122" s="644"/>
      <c r="O122" s="644"/>
      <c r="P122" s="33" t="s">
        <v>10</v>
      </c>
      <c r="Q122" s="33" t="s">
        <v>44</v>
      </c>
      <c r="R122" s="644"/>
      <c r="S122" s="644"/>
      <c r="T122" s="644"/>
      <c r="U122" s="644"/>
      <c r="V122" s="45"/>
      <c r="W122" s="29"/>
      <c r="X122" s="29"/>
      <c r="Y122" s="29"/>
      <c r="Z122" s="29"/>
      <c r="AA122" s="29"/>
      <c r="AB122" s="29"/>
      <c r="AC122" s="29"/>
      <c r="AD122" s="41"/>
      <c r="AE122" s="41"/>
      <c r="AF122" s="41"/>
      <c r="AG122" s="41"/>
      <c r="AH122" s="13"/>
    </row>
    <row r="123" spans="1:35" s="41" customFormat="1" ht="35" hidden="1" customHeight="1">
      <c r="A123" s="40"/>
      <c r="B123" s="651">
        <v>1</v>
      </c>
      <c r="C123" s="654"/>
      <c r="D123" s="654"/>
      <c r="E123" s="654"/>
      <c r="F123" s="654"/>
      <c r="G123" s="681"/>
      <c r="H123" s="684"/>
      <c r="I123" s="687"/>
      <c r="J123" s="183"/>
      <c r="K123" s="38">
        <f>+$K$13</f>
        <v>0</v>
      </c>
      <c r="L123" s="183"/>
      <c r="M123" s="38">
        <f>+$M$13</f>
        <v>0</v>
      </c>
      <c r="N123" s="690"/>
      <c r="O123" s="690"/>
      <c r="P123" s="693"/>
      <c r="Q123" s="544"/>
      <c r="R123" s="544"/>
      <c r="S123" s="671">
        <f>IF(COUNTIF(J123:K125,"CUMPLE")&gt;=1,(G123*I123),0)* (IF(N123="PRESENTÓ CERTIFICADO",1,0))* (IF(O123="ACORDE A ITEM 5.2.2 (T.R.)",1,0) )* ( IF(OR(Q123="SIN OBSERVACIÓN", Q123="REQUERIMIENTOS SUBSANADOS"),1,0)) *(IF(OR(R123="NINGUNO", R123="CUMPLEN CON LO SOLICITADO"),1,0))</f>
        <v>0</v>
      </c>
      <c r="T123" s="674"/>
      <c r="U123" s="677">
        <f t="shared" ref="U123" si="41">IF(COUNTIF(J123:K125,"CUMPLE")&gt;=1,1,0)</f>
        <v>0</v>
      </c>
      <c r="W123" s="29"/>
      <c r="X123" s="29"/>
      <c r="Y123" s="29"/>
      <c r="Z123" s="29"/>
      <c r="AD123" s="13"/>
      <c r="AE123" s="13"/>
      <c r="AF123" s="13"/>
      <c r="AG123" s="13"/>
      <c r="AH123" s="13"/>
      <c r="AI123" s="13"/>
    </row>
    <row r="124" spans="1:35" s="41" customFormat="1" ht="35" hidden="1" customHeight="1">
      <c r="A124" s="40"/>
      <c r="B124" s="652"/>
      <c r="C124" s="655"/>
      <c r="D124" s="655"/>
      <c r="E124" s="655"/>
      <c r="F124" s="655"/>
      <c r="G124" s="682"/>
      <c r="H124" s="685"/>
      <c r="I124" s="688"/>
      <c r="J124" s="183"/>
      <c r="K124" s="38">
        <f>+$K$14</f>
        <v>0</v>
      </c>
      <c r="L124" s="696"/>
      <c r="M124" s="678">
        <f>+$M$14</f>
        <v>0</v>
      </c>
      <c r="N124" s="691"/>
      <c r="O124" s="691"/>
      <c r="P124" s="694"/>
      <c r="Q124" s="567"/>
      <c r="R124" s="567"/>
      <c r="S124" s="672"/>
      <c r="T124" s="675"/>
      <c r="U124" s="677"/>
      <c r="W124" s="29"/>
      <c r="X124" s="29"/>
      <c r="Y124" s="29"/>
      <c r="Z124" s="29"/>
      <c r="AD124" s="13"/>
      <c r="AE124" s="13"/>
      <c r="AF124" s="13"/>
      <c r="AG124" s="13"/>
      <c r="AH124" s="13"/>
      <c r="AI124" s="13"/>
    </row>
    <row r="125" spans="1:35" s="41" customFormat="1" ht="35" hidden="1" customHeight="1">
      <c r="A125" s="40"/>
      <c r="B125" s="653"/>
      <c r="C125" s="656"/>
      <c r="D125" s="656"/>
      <c r="E125" s="656"/>
      <c r="F125" s="656"/>
      <c r="G125" s="683"/>
      <c r="H125" s="686"/>
      <c r="I125" s="689"/>
      <c r="J125" s="183"/>
      <c r="K125" s="38">
        <f>+$K$15</f>
        <v>0</v>
      </c>
      <c r="L125" s="697"/>
      <c r="M125" s="680"/>
      <c r="N125" s="692"/>
      <c r="O125" s="692"/>
      <c r="P125" s="695"/>
      <c r="Q125" s="545"/>
      <c r="R125" s="545"/>
      <c r="S125" s="673"/>
      <c r="T125" s="675"/>
      <c r="U125" s="677"/>
      <c r="W125" s="29"/>
      <c r="X125" s="29"/>
      <c r="Y125" s="29"/>
      <c r="Z125" s="29"/>
      <c r="AD125" s="13"/>
      <c r="AE125" s="13"/>
      <c r="AF125" s="13"/>
      <c r="AG125" s="13"/>
      <c r="AH125" s="13"/>
      <c r="AI125" s="13"/>
    </row>
    <row r="126" spans="1:35" s="41" customFormat="1" ht="35" hidden="1" customHeight="1">
      <c r="A126" s="40"/>
      <c r="B126" s="651">
        <v>2</v>
      </c>
      <c r="C126" s="712"/>
      <c r="D126" s="712"/>
      <c r="E126" s="712"/>
      <c r="F126" s="712"/>
      <c r="G126" s="715"/>
      <c r="H126" s="684"/>
      <c r="I126" s="687"/>
      <c r="J126" s="183"/>
      <c r="K126" s="38">
        <f>+$K$13</f>
        <v>0</v>
      </c>
      <c r="L126" s="183"/>
      <c r="M126" s="38">
        <f>+$M$13</f>
        <v>0</v>
      </c>
      <c r="N126" s="690"/>
      <c r="O126" s="690"/>
      <c r="P126" s="693"/>
      <c r="Q126" s="544"/>
      <c r="R126" s="544"/>
      <c r="S126" s="671">
        <f>IF(COUNTIF(J126:K128,"CUMPLE")&gt;=1,(G126*I126),0)* (IF(N126="PRESENTÓ CERTIFICADO",1,0))* (IF(O126="ACORDE A ITEM 5.2.2 (T.R.)",1,0) )* ( IF(OR(Q126="SIN OBSERVACIÓN", Q126="REQUERIMIENTOS SUBSANADOS"),1,0)) *(IF(OR(R126="NINGUNO", R126="CUMPLEN CON LO SOLICITADO"),1,0))</f>
        <v>0</v>
      </c>
      <c r="T126" s="675"/>
      <c r="U126" s="677">
        <f t="shared" ref="U126" si="42">IF(COUNTIF(J126:K128,"CUMPLE")&gt;=1,1,0)</f>
        <v>0</v>
      </c>
      <c r="W126" s="29"/>
      <c r="X126" s="29"/>
      <c r="Y126" s="29"/>
      <c r="Z126" s="29"/>
      <c r="AD126" s="13"/>
      <c r="AE126" s="13"/>
      <c r="AF126" s="13"/>
      <c r="AG126" s="13"/>
      <c r="AH126" s="13"/>
      <c r="AI126" s="13"/>
    </row>
    <row r="127" spans="1:35" s="41" customFormat="1" ht="35" hidden="1" customHeight="1">
      <c r="A127" s="40"/>
      <c r="B127" s="652"/>
      <c r="C127" s="713"/>
      <c r="D127" s="713"/>
      <c r="E127" s="713"/>
      <c r="F127" s="713"/>
      <c r="G127" s="716"/>
      <c r="H127" s="685"/>
      <c r="I127" s="688"/>
      <c r="J127" s="183"/>
      <c r="K127" s="38">
        <f>+$K$14</f>
        <v>0</v>
      </c>
      <c r="L127" s="696"/>
      <c r="M127" s="678">
        <f>+$M$14</f>
        <v>0</v>
      </c>
      <c r="N127" s="691"/>
      <c r="O127" s="691"/>
      <c r="P127" s="694"/>
      <c r="Q127" s="567"/>
      <c r="R127" s="567"/>
      <c r="S127" s="672"/>
      <c r="T127" s="675"/>
      <c r="U127" s="677"/>
      <c r="W127" s="29"/>
      <c r="X127" s="29"/>
      <c r="Y127" s="29"/>
      <c r="Z127" s="29"/>
      <c r="AD127" s="13"/>
      <c r="AE127" s="13"/>
      <c r="AF127" s="13"/>
      <c r="AG127" s="13"/>
      <c r="AH127" s="13"/>
      <c r="AI127" s="13"/>
    </row>
    <row r="128" spans="1:35" s="41" customFormat="1" ht="35" hidden="1" customHeight="1">
      <c r="A128" s="40"/>
      <c r="B128" s="653"/>
      <c r="C128" s="714"/>
      <c r="D128" s="714"/>
      <c r="E128" s="714"/>
      <c r="F128" s="714"/>
      <c r="G128" s="717"/>
      <c r="H128" s="686"/>
      <c r="I128" s="689"/>
      <c r="J128" s="183"/>
      <c r="K128" s="38">
        <f>+$K$15</f>
        <v>0</v>
      </c>
      <c r="L128" s="697"/>
      <c r="M128" s="680"/>
      <c r="N128" s="692"/>
      <c r="O128" s="692"/>
      <c r="P128" s="695"/>
      <c r="Q128" s="545"/>
      <c r="R128" s="545"/>
      <c r="S128" s="673"/>
      <c r="T128" s="675"/>
      <c r="U128" s="677"/>
      <c r="W128" s="29"/>
      <c r="X128" s="29"/>
      <c r="Y128" s="29"/>
      <c r="Z128" s="29"/>
      <c r="AD128" s="13"/>
      <c r="AE128" s="13"/>
      <c r="AF128" s="13"/>
      <c r="AG128" s="13"/>
      <c r="AH128" s="13"/>
      <c r="AI128" s="13"/>
    </row>
    <row r="129" spans="1:35" s="41" customFormat="1" ht="35" hidden="1" customHeight="1">
      <c r="A129" s="40"/>
      <c r="B129" s="651">
        <v>3</v>
      </c>
      <c r="C129" s="654"/>
      <c r="D129" s="654"/>
      <c r="E129" s="654"/>
      <c r="F129" s="654"/>
      <c r="G129" s="681"/>
      <c r="H129" s="684"/>
      <c r="I129" s="687"/>
      <c r="J129" s="183"/>
      <c r="K129" s="38">
        <f>+$K$13</f>
        <v>0</v>
      </c>
      <c r="L129" s="183"/>
      <c r="M129" s="38">
        <f>+$M$13</f>
        <v>0</v>
      </c>
      <c r="N129" s="690"/>
      <c r="O129" s="690"/>
      <c r="P129" s="693"/>
      <c r="Q129" s="544"/>
      <c r="R129" s="544"/>
      <c r="S129" s="671">
        <f>IF(COUNTIF(J129:K131,"CUMPLE")&gt;=1,(G129*I129),0)* (IF(N129="PRESENTÓ CERTIFICADO",1,0))* (IF(O129="ACORDE A ITEM 5.2.2 (T.R.)",1,0) )* ( IF(OR(Q129="SIN OBSERVACIÓN", Q129="REQUERIMIENTOS SUBSANADOS"),1,0)) *(IF(OR(R129="NINGUNO", R129="CUMPLEN CON LO SOLICITADO"),1,0))</f>
        <v>0</v>
      </c>
      <c r="T129" s="675"/>
      <c r="U129" s="677">
        <f t="shared" ref="U129" si="43">IF(COUNTIF(J129:K131,"CUMPLE")&gt;=1,1,0)</f>
        <v>0</v>
      </c>
      <c r="W129" s="29"/>
      <c r="X129" s="29"/>
      <c r="Y129" s="29"/>
      <c r="Z129" s="29"/>
      <c r="AA129" s="28"/>
      <c r="AB129" s="28"/>
      <c r="AC129" s="28"/>
      <c r="AD129" s="13"/>
      <c r="AE129" s="13"/>
      <c r="AF129" s="13"/>
      <c r="AG129" s="13"/>
      <c r="AH129" s="13"/>
      <c r="AI129" s="13"/>
    </row>
    <row r="130" spans="1:35" s="41" customFormat="1" ht="35" hidden="1" customHeight="1">
      <c r="A130" s="40"/>
      <c r="B130" s="652"/>
      <c r="C130" s="655"/>
      <c r="D130" s="655"/>
      <c r="E130" s="655"/>
      <c r="F130" s="655"/>
      <c r="G130" s="682"/>
      <c r="H130" s="685"/>
      <c r="I130" s="688"/>
      <c r="J130" s="183"/>
      <c r="K130" s="38">
        <f>+$K$14</f>
        <v>0</v>
      </c>
      <c r="L130" s="696"/>
      <c r="M130" s="678">
        <f>+$M$14</f>
        <v>0</v>
      </c>
      <c r="N130" s="691"/>
      <c r="O130" s="691"/>
      <c r="P130" s="694"/>
      <c r="Q130" s="567"/>
      <c r="R130" s="567"/>
      <c r="S130" s="672"/>
      <c r="T130" s="675"/>
      <c r="U130" s="677"/>
      <c r="W130" s="29"/>
      <c r="X130" s="29"/>
      <c r="Y130" s="29"/>
      <c r="Z130" s="29"/>
      <c r="AH130" s="13"/>
      <c r="AI130" s="13"/>
    </row>
    <row r="131" spans="1:35" s="41" customFormat="1" ht="35" hidden="1" customHeight="1">
      <c r="A131" s="40"/>
      <c r="B131" s="653"/>
      <c r="C131" s="656"/>
      <c r="D131" s="656"/>
      <c r="E131" s="656"/>
      <c r="F131" s="656"/>
      <c r="G131" s="683"/>
      <c r="H131" s="686"/>
      <c r="I131" s="689"/>
      <c r="J131" s="183"/>
      <c r="K131" s="38">
        <f>+$K$15</f>
        <v>0</v>
      </c>
      <c r="L131" s="697"/>
      <c r="M131" s="680"/>
      <c r="N131" s="692"/>
      <c r="O131" s="692"/>
      <c r="P131" s="695"/>
      <c r="Q131" s="545"/>
      <c r="R131" s="545"/>
      <c r="S131" s="673"/>
      <c r="T131" s="675"/>
      <c r="U131" s="677"/>
      <c r="W131" s="29"/>
      <c r="X131" s="29"/>
      <c r="Y131" s="29"/>
      <c r="Z131" s="29"/>
    </row>
    <row r="132" spans="1:35" s="41" customFormat="1" ht="35" hidden="1" customHeight="1">
      <c r="A132" s="40"/>
      <c r="B132" s="651">
        <v>4</v>
      </c>
      <c r="C132" s="712"/>
      <c r="D132" s="712"/>
      <c r="E132" s="712"/>
      <c r="F132" s="712"/>
      <c r="G132" s="715"/>
      <c r="H132" s="684"/>
      <c r="I132" s="709"/>
      <c r="J132" s="183"/>
      <c r="K132" s="38">
        <f>+$K$13</f>
        <v>0</v>
      </c>
      <c r="L132" s="183"/>
      <c r="M132" s="38">
        <f>+$M$13</f>
        <v>0</v>
      </c>
      <c r="N132" s="690"/>
      <c r="O132" s="690"/>
      <c r="P132" s="693"/>
      <c r="Q132" s="544"/>
      <c r="R132" s="544"/>
      <c r="S132" s="671">
        <f>IF(COUNTIF(J132:K134,"CUMPLE")&gt;=1,(G132*I132),0)* (IF(N132="PRESENTÓ CERTIFICADO",1,0))* (IF(O132="ACORDE A ITEM 5.2.2 (T.R.)",1,0) )* ( IF(OR(Q132="SIN OBSERVACIÓN", Q132="REQUERIMIENTOS SUBSANADOS"),1,0)) *(IF(OR(R132="NINGUNO", R132="CUMPLEN CON LO SOLICITADO"),1,0))</f>
        <v>0</v>
      </c>
      <c r="T132" s="675"/>
      <c r="U132" s="677">
        <f t="shared" ref="U132" si="44">IF(COUNTIF(J132:K134,"CUMPLE")&gt;=1,1,0)</f>
        <v>0</v>
      </c>
      <c r="W132" s="29"/>
      <c r="X132" s="29"/>
      <c r="Y132" s="29"/>
      <c r="Z132" s="29"/>
      <c r="AA132" s="13"/>
      <c r="AB132" s="13"/>
      <c r="AC132" s="13"/>
      <c r="AD132" s="13"/>
      <c r="AE132" s="13"/>
      <c r="AF132" s="13"/>
      <c r="AG132" s="13"/>
    </row>
    <row r="133" spans="1:35" s="41" customFormat="1" ht="35" hidden="1" customHeight="1">
      <c r="A133" s="40"/>
      <c r="B133" s="652"/>
      <c r="C133" s="713"/>
      <c r="D133" s="713"/>
      <c r="E133" s="713"/>
      <c r="F133" s="713"/>
      <c r="G133" s="716"/>
      <c r="H133" s="685"/>
      <c r="I133" s="710"/>
      <c r="J133" s="183"/>
      <c r="K133" s="38">
        <f>+$K$14</f>
        <v>0</v>
      </c>
      <c r="L133" s="696"/>
      <c r="M133" s="678">
        <f>+$M$14</f>
        <v>0</v>
      </c>
      <c r="N133" s="691"/>
      <c r="O133" s="691"/>
      <c r="P133" s="694"/>
      <c r="Q133" s="567"/>
      <c r="R133" s="567"/>
      <c r="S133" s="672"/>
      <c r="T133" s="675"/>
      <c r="U133" s="677"/>
      <c r="W133" s="29"/>
      <c r="X133" s="29"/>
      <c r="Y133" s="29"/>
      <c r="Z133" s="29"/>
      <c r="AA133" s="13"/>
      <c r="AB133" s="13"/>
      <c r="AC133" s="13"/>
      <c r="AD133" s="13"/>
      <c r="AE133" s="13"/>
      <c r="AF133" s="13"/>
      <c r="AG133" s="13"/>
    </row>
    <row r="134" spans="1:35" s="41" customFormat="1" ht="35" hidden="1" customHeight="1">
      <c r="A134" s="40"/>
      <c r="B134" s="653"/>
      <c r="C134" s="714"/>
      <c r="D134" s="714"/>
      <c r="E134" s="714"/>
      <c r="F134" s="714"/>
      <c r="G134" s="717"/>
      <c r="H134" s="686"/>
      <c r="I134" s="711"/>
      <c r="J134" s="183"/>
      <c r="K134" s="38">
        <f>+$K$15</f>
        <v>0</v>
      </c>
      <c r="L134" s="697"/>
      <c r="M134" s="680"/>
      <c r="N134" s="692"/>
      <c r="O134" s="692"/>
      <c r="P134" s="695"/>
      <c r="Q134" s="545"/>
      <c r="R134" s="545"/>
      <c r="S134" s="673"/>
      <c r="T134" s="675"/>
      <c r="U134" s="677"/>
      <c r="W134" s="29"/>
      <c r="X134" s="29"/>
      <c r="Y134" s="29"/>
      <c r="Z134" s="29"/>
      <c r="AA134" s="29"/>
      <c r="AB134" s="29"/>
      <c r="AC134" s="29"/>
      <c r="AD134" s="42"/>
      <c r="AE134" s="42"/>
      <c r="AF134" s="42"/>
      <c r="AG134" s="42"/>
    </row>
    <row r="135" spans="1:35" s="41" customFormat="1" ht="25" hidden="1" customHeight="1">
      <c r="A135" s="40"/>
      <c r="B135" s="651">
        <v>5</v>
      </c>
      <c r="C135" s="654"/>
      <c r="D135" s="654"/>
      <c r="E135" s="654"/>
      <c r="F135" s="654"/>
      <c r="G135" s="681"/>
      <c r="H135" s="684"/>
      <c r="I135" s="687"/>
      <c r="J135" s="183"/>
      <c r="K135" s="38">
        <f>+$K$13</f>
        <v>0</v>
      </c>
      <c r="L135" s="183"/>
      <c r="M135" s="38">
        <f>+$M$13</f>
        <v>0</v>
      </c>
      <c r="N135" s="690"/>
      <c r="O135" s="690"/>
      <c r="P135" s="693"/>
      <c r="Q135" s="544"/>
      <c r="R135" s="544"/>
      <c r="S135" s="671">
        <f>IF(COUNTIF(J135:K137,"CUMPLE")&gt;=1,(G135*I135),0)* (IF(N135="PRESENTÓ CERTIFICADO",1,0))* (IF(O135="ACORDE A ITEM 5.2.2 (T.R.)",1,0) )* ( IF(OR(Q135="SIN OBSERVACIÓN", Q135="REQUERIMIENTOS SUBSANADOS"),1,0)) *(IF(OR(R135="NINGUNO", R135="CUMPLEN CON LO SOLICITADO"),1,0))</f>
        <v>0</v>
      </c>
      <c r="T135" s="675"/>
      <c r="U135" s="677">
        <f t="shared" ref="U135" si="45">IF(COUNTIF(J135:K137,"CUMPLE")&gt;=1,1,0)</f>
        <v>0</v>
      </c>
      <c r="W135" s="29"/>
      <c r="X135" s="29"/>
      <c r="Y135" s="29"/>
      <c r="Z135" s="29"/>
      <c r="AA135" s="29"/>
      <c r="AB135" s="29"/>
      <c r="AC135" s="29"/>
      <c r="AD135" s="42"/>
      <c r="AE135" s="42"/>
      <c r="AF135" s="42"/>
      <c r="AG135" s="42"/>
    </row>
    <row r="136" spans="1:35" s="41" customFormat="1" ht="25" hidden="1" customHeight="1">
      <c r="A136" s="40"/>
      <c r="B136" s="652"/>
      <c r="C136" s="655"/>
      <c r="D136" s="655"/>
      <c r="E136" s="655"/>
      <c r="F136" s="655"/>
      <c r="G136" s="682"/>
      <c r="H136" s="685"/>
      <c r="I136" s="688"/>
      <c r="J136" s="183"/>
      <c r="K136" s="38">
        <f>+$K$14</f>
        <v>0</v>
      </c>
      <c r="L136" s="696"/>
      <c r="M136" s="678">
        <f>+$M$14</f>
        <v>0</v>
      </c>
      <c r="N136" s="691"/>
      <c r="O136" s="691"/>
      <c r="P136" s="694"/>
      <c r="Q136" s="567"/>
      <c r="R136" s="567"/>
      <c r="S136" s="672"/>
      <c r="T136" s="675"/>
      <c r="U136" s="677"/>
      <c r="W136" s="29"/>
      <c r="X136" s="29"/>
      <c r="Y136" s="29"/>
      <c r="Z136" s="29"/>
      <c r="AA136" s="29"/>
      <c r="AB136" s="29"/>
      <c r="AC136" s="29"/>
    </row>
    <row r="137" spans="1:35" s="41" customFormat="1" ht="25" hidden="1" customHeight="1">
      <c r="A137" s="40"/>
      <c r="B137" s="653"/>
      <c r="C137" s="656"/>
      <c r="D137" s="656"/>
      <c r="E137" s="656"/>
      <c r="F137" s="656"/>
      <c r="G137" s="683"/>
      <c r="H137" s="686"/>
      <c r="I137" s="689"/>
      <c r="J137" s="183"/>
      <c r="K137" s="38">
        <f>+$K$15</f>
        <v>0</v>
      </c>
      <c r="L137" s="697"/>
      <c r="M137" s="680"/>
      <c r="N137" s="692"/>
      <c r="O137" s="692"/>
      <c r="P137" s="695"/>
      <c r="Q137" s="545"/>
      <c r="R137" s="545"/>
      <c r="S137" s="673"/>
      <c r="T137" s="676"/>
      <c r="U137" s="677"/>
      <c r="W137" s="29"/>
      <c r="X137" s="29"/>
      <c r="Y137" s="29"/>
      <c r="Z137" s="29"/>
      <c r="AA137" s="29"/>
      <c r="AB137" s="29"/>
      <c r="AC137" s="29"/>
    </row>
    <row r="138" spans="1:35" s="28" customFormat="1" ht="25" hidden="1" customHeight="1">
      <c r="B138" s="698" t="str">
        <f>IF(S139=" "," ",IF(S139&gt;=$H$6,"CUMPLE CON LA EXPERIENCIA REQUERIDA","NO CUMPLE CON LA EXPERIENCIA REQUERIDA"))</f>
        <v>NO CUMPLE CON LA EXPERIENCIA REQUERIDA</v>
      </c>
      <c r="C138" s="699"/>
      <c r="D138" s="699"/>
      <c r="E138" s="699"/>
      <c r="F138" s="699"/>
      <c r="G138" s="699"/>
      <c r="H138" s="699"/>
      <c r="I138" s="699"/>
      <c r="J138" s="699"/>
      <c r="K138" s="699"/>
      <c r="L138" s="699"/>
      <c r="M138" s="699"/>
      <c r="N138" s="699"/>
      <c r="O138" s="700"/>
      <c r="P138" s="704" t="s">
        <v>46</v>
      </c>
      <c r="Q138" s="705"/>
      <c r="R138" s="706"/>
      <c r="S138" s="44">
        <f>IF(T123="SI",SUM(S123:S137),0)</f>
        <v>0</v>
      </c>
      <c r="T138" s="707" t="str">
        <f>IF(S139=" "," ",IF(S139&gt;=$H$6,"CUMPLE","NO CUMPLE"))</f>
        <v>NO CUMPLE</v>
      </c>
      <c r="W138" s="29"/>
      <c r="X138" s="29"/>
      <c r="Y138" s="29"/>
      <c r="Z138" s="29"/>
      <c r="AA138" s="29"/>
      <c r="AB138" s="29"/>
      <c r="AC138" s="29"/>
      <c r="AD138" s="41"/>
      <c r="AE138" s="41"/>
      <c r="AF138" s="41"/>
      <c r="AG138" s="41"/>
      <c r="AH138" s="41"/>
    </row>
    <row r="139" spans="1:35" s="41" customFormat="1" ht="25" hidden="1" customHeight="1">
      <c r="B139" s="701"/>
      <c r="C139" s="702"/>
      <c r="D139" s="702"/>
      <c r="E139" s="702"/>
      <c r="F139" s="702"/>
      <c r="G139" s="702"/>
      <c r="H139" s="702"/>
      <c r="I139" s="702"/>
      <c r="J139" s="702"/>
      <c r="K139" s="702"/>
      <c r="L139" s="702"/>
      <c r="M139" s="702"/>
      <c r="N139" s="702"/>
      <c r="O139" s="703"/>
      <c r="P139" s="704" t="s">
        <v>47</v>
      </c>
      <c r="Q139" s="705"/>
      <c r="R139" s="706"/>
      <c r="S139" s="44">
        <f>IFERROR((S138/$P$6)," ")</f>
        <v>0</v>
      </c>
      <c r="T139" s="708"/>
      <c r="W139" s="29"/>
      <c r="X139" s="29"/>
      <c r="Y139" s="29"/>
      <c r="Z139" s="29"/>
      <c r="AA139" s="29"/>
      <c r="AB139" s="29"/>
      <c r="AC139" s="29"/>
    </row>
    <row r="140" spans="1:35" ht="30" hidden="1" customHeight="1">
      <c r="AA140" s="29"/>
      <c r="AB140" s="29"/>
      <c r="AC140" s="29"/>
      <c r="AD140" s="41"/>
      <c r="AE140" s="41"/>
      <c r="AF140" s="41"/>
      <c r="AG140" s="41"/>
      <c r="AH140" s="28"/>
    </row>
    <row r="141" spans="1:35" ht="30" hidden="1" customHeight="1">
      <c r="AA141" s="29"/>
      <c r="AB141" s="29"/>
      <c r="AC141" s="29"/>
      <c r="AD141" s="41"/>
      <c r="AE141" s="41"/>
      <c r="AF141" s="41"/>
      <c r="AG141" s="41"/>
      <c r="AH141" s="41"/>
    </row>
    <row r="142" spans="1:35" ht="64.5" hidden="1" customHeight="1">
      <c r="B142" s="26">
        <v>7</v>
      </c>
      <c r="C142" s="660" t="s">
        <v>25</v>
      </c>
      <c r="D142" s="661"/>
      <c r="E142" s="662"/>
      <c r="F142" s="663">
        <f>IFERROR(VLOOKUP(B142,LISTA_OFERENTES,2,FALSE)," ")</f>
        <v>0</v>
      </c>
      <c r="G142" s="664"/>
      <c r="H142" s="664"/>
      <c r="I142" s="664"/>
      <c r="J142" s="664"/>
      <c r="K142" s="664"/>
      <c r="L142" s="664"/>
      <c r="M142" s="664"/>
      <c r="N142" s="664"/>
      <c r="O142" s="665"/>
      <c r="P142" s="666" t="s">
        <v>26</v>
      </c>
      <c r="Q142" s="667"/>
      <c r="R142" s="668"/>
      <c r="S142" s="27">
        <f>5-(INT(COUNTBLANK(C145:C159))-10)</f>
        <v>0</v>
      </c>
      <c r="T142" s="28"/>
      <c r="AA142" s="29"/>
      <c r="AB142" s="29"/>
      <c r="AC142" s="29"/>
      <c r="AD142" s="41"/>
      <c r="AE142" s="41"/>
      <c r="AF142" s="41"/>
      <c r="AG142" s="41"/>
    </row>
    <row r="143" spans="1:35" s="42" customFormat="1" ht="30" hidden="1" customHeight="1">
      <c r="B143" s="669" t="s">
        <v>27</v>
      </c>
      <c r="C143" s="643" t="s">
        <v>28</v>
      </c>
      <c r="D143" s="643" t="s">
        <v>29</v>
      </c>
      <c r="E143" s="643" t="s">
        <v>30</v>
      </c>
      <c r="F143" s="643" t="s">
        <v>31</v>
      </c>
      <c r="G143" s="643" t="s">
        <v>32</v>
      </c>
      <c r="H143" s="643" t="s">
        <v>33</v>
      </c>
      <c r="I143" s="643" t="s">
        <v>34</v>
      </c>
      <c r="J143" s="657" t="s">
        <v>35</v>
      </c>
      <c r="K143" s="658"/>
      <c r="L143" s="658"/>
      <c r="M143" s="659"/>
      <c r="N143" s="643" t="s">
        <v>36</v>
      </c>
      <c r="O143" s="643" t="s">
        <v>37</v>
      </c>
      <c r="P143" s="657" t="s">
        <v>38</v>
      </c>
      <c r="Q143" s="659"/>
      <c r="R143" s="643" t="s">
        <v>39</v>
      </c>
      <c r="S143" s="643" t="s">
        <v>40</v>
      </c>
      <c r="T143" s="643" t="str">
        <f>+$T$11</f>
        <v>Cumple con el requerimiento del numeral 6.2.2.2.1</v>
      </c>
      <c r="U143" s="643" t="str">
        <f>+$U$11</f>
        <v xml:space="preserve">VERIFICACIÓN CONDICIÓN DE EXPERIENCIA  </v>
      </c>
      <c r="V143" s="45"/>
      <c r="W143" s="29"/>
      <c r="X143" s="29"/>
      <c r="Y143" s="29"/>
      <c r="Z143" s="29"/>
      <c r="AA143" s="29"/>
      <c r="AB143" s="29"/>
      <c r="AC143" s="29"/>
      <c r="AD143" s="41"/>
      <c r="AE143" s="41"/>
      <c r="AF143" s="41"/>
      <c r="AG143" s="41"/>
      <c r="AH143" s="13"/>
    </row>
    <row r="144" spans="1:35" s="42" customFormat="1" ht="113.25" hidden="1" customHeight="1">
      <c r="B144" s="670"/>
      <c r="C144" s="644"/>
      <c r="D144" s="644"/>
      <c r="E144" s="644"/>
      <c r="F144" s="644"/>
      <c r="G144" s="644"/>
      <c r="H144" s="644"/>
      <c r="I144" s="644"/>
      <c r="J144" s="648" t="s">
        <v>43</v>
      </c>
      <c r="K144" s="649"/>
      <c r="L144" s="649"/>
      <c r="M144" s="650"/>
      <c r="N144" s="644"/>
      <c r="O144" s="644"/>
      <c r="P144" s="33" t="s">
        <v>10</v>
      </c>
      <c r="Q144" s="33" t="s">
        <v>44</v>
      </c>
      <c r="R144" s="644"/>
      <c r="S144" s="644"/>
      <c r="T144" s="644"/>
      <c r="U144" s="644"/>
      <c r="V144" s="45"/>
      <c r="W144" s="29"/>
      <c r="X144" s="29"/>
      <c r="Y144" s="29"/>
      <c r="Z144" s="29"/>
      <c r="AA144" s="29"/>
      <c r="AB144" s="29"/>
      <c r="AC144" s="29"/>
      <c r="AD144" s="41"/>
      <c r="AE144" s="41"/>
      <c r="AF144" s="41"/>
      <c r="AG144" s="41"/>
      <c r="AH144" s="13"/>
    </row>
    <row r="145" spans="1:35" s="41" customFormat="1" ht="25" hidden="1" customHeight="1">
      <c r="A145" s="40"/>
      <c r="B145" s="651">
        <v>1</v>
      </c>
      <c r="C145" s="654"/>
      <c r="D145" s="654"/>
      <c r="E145" s="654"/>
      <c r="F145" s="654"/>
      <c r="G145" s="681"/>
      <c r="H145" s="684"/>
      <c r="I145" s="687"/>
      <c r="J145" s="183"/>
      <c r="K145" s="38">
        <f>+$K$13</f>
        <v>0</v>
      </c>
      <c r="L145" s="183"/>
      <c r="M145" s="38">
        <f>+$M$13</f>
        <v>0</v>
      </c>
      <c r="N145" s="690"/>
      <c r="O145" s="690"/>
      <c r="P145" s="693"/>
      <c r="Q145" s="544"/>
      <c r="R145" s="544"/>
      <c r="S145" s="671">
        <f>IF(COUNTIF(J145:K147,"CUMPLE")&gt;=1,(G145*I145),0)* (IF(N145="PRESENTÓ CERTIFICADO",1,0))* (IF(O145="ACORDE A ITEM 5.2.2 (T.R.)",1,0) )* ( IF(OR(Q145="SIN OBSERVACIÓN", Q145="REQUERIMIENTOS SUBSANADOS"),1,0)) *(IF(OR(R145="NINGUNO", R145="CUMPLEN CON LO SOLICITADO"),1,0))</f>
        <v>0</v>
      </c>
      <c r="T145" s="674"/>
      <c r="U145" s="677">
        <f>IF(COUNTIF(J145:K147,"CUMPLE")&gt;=1,1,0)</f>
        <v>0</v>
      </c>
      <c r="W145" s="29"/>
      <c r="X145" s="29"/>
      <c r="Y145" s="29"/>
      <c r="Z145" s="29"/>
      <c r="AD145" s="13"/>
      <c r="AE145" s="13"/>
      <c r="AF145" s="13"/>
      <c r="AG145" s="13"/>
      <c r="AH145" s="13"/>
      <c r="AI145" s="13"/>
    </row>
    <row r="146" spans="1:35" s="41" customFormat="1" ht="25" hidden="1" customHeight="1">
      <c r="A146" s="40"/>
      <c r="B146" s="652"/>
      <c r="C146" s="655"/>
      <c r="D146" s="655"/>
      <c r="E146" s="655"/>
      <c r="F146" s="655"/>
      <c r="G146" s="682"/>
      <c r="H146" s="685"/>
      <c r="I146" s="688"/>
      <c r="J146" s="183"/>
      <c r="K146" s="38">
        <f>+$K$14</f>
        <v>0</v>
      </c>
      <c r="L146" s="696"/>
      <c r="M146" s="678">
        <f>+$M$14</f>
        <v>0</v>
      </c>
      <c r="N146" s="691"/>
      <c r="O146" s="691"/>
      <c r="P146" s="694"/>
      <c r="Q146" s="567"/>
      <c r="R146" s="567"/>
      <c r="S146" s="672"/>
      <c r="T146" s="675"/>
      <c r="U146" s="677"/>
      <c r="W146" s="29"/>
      <c r="X146" s="29"/>
      <c r="Y146" s="29"/>
      <c r="Z146" s="29"/>
      <c r="AD146" s="13"/>
      <c r="AE146" s="13"/>
      <c r="AF146" s="13"/>
      <c r="AG146" s="13"/>
      <c r="AH146" s="13"/>
      <c r="AI146" s="13"/>
    </row>
    <row r="147" spans="1:35" s="41" customFormat="1" ht="36" hidden="1" customHeight="1">
      <c r="A147" s="40"/>
      <c r="B147" s="653"/>
      <c r="C147" s="656"/>
      <c r="D147" s="656"/>
      <c r="E147" s="656"/>
      <c r="F147" s="656"/>
      <c r="G147" s="683"/>
      <c r="H147" s="686"/>
      <c r="I147" s="689"/>
      <c r="J147" s="183"/>
      <c r="K147" s="38">
        <f>+$K$15</f>
        <v>0</v>
      </c>
      <c r="L147" s="697"/>
      <c r="M147" s="680"/>
      <c r="N147" s="692"/>
      <c r="O147" s="692"/>
      <c r="P147" s="695"/>
      <c r="Q147" s="545"/>
      <c r="R147" s="545"/>
      <c r="S147" s="673"/>
      <c r="T147" s="675"/>
      <c r="U147" s="677"/>
      <c r="W147" s="29"/>
      <c r="X147" s="29"/>
      <c r="Y147" s="29"/>
      <c r="Z147" s="29"/>
      <c r="AD147" s="13"/>
      <c r="AE147" s="13"/>
      <c r="AF147" s="13"/>
      <c r="AG147" s="13"/>
      <c r="AH147" s="13"/>
      <c r="AI147" s="13"/>
    </row>
    <row r="148" spans="1:35" s="41" customFormat="1" ht="25" hidden="1" customHeight="1">
      <c r="A148" s="40"/>
      <c r="B148" s="651">
        <v>2</v>
      </c>
      <c r="C148" s="712"/>
      <c r="D148" s="712"/>
      <c r="E148" s="712"/>
      <c r="F148" s="654"/>
      <c r="G148" s="715"/>
      <c r="H148" s="684"/>
      <c r="I148" s="709"/>
      <c r="J148" s="183"/>
      <c r="K148" s="38">
        <f>+$K$13</f>
        <v>0</v>
      </c>
      <c r="L148" s="183"/>
      <c r="M148" s="38">
        <f>+$M$13</f>
        <v>0</v>
      </c>
      <c r="N148" s="690"/>
      <c r="O148" s="690"/>
      <c r="P148" s="693"/>
      <c r="Q148" s="544"/>
      <c r="R148" s="544"/>
      <c r="S148" s="671">
        <f>IF(COUNTIF(J148:K150,"CUMPLE")&gt;=1,(G148*I148),0)* (IF(N148="PRESENTÓ CERTIFICADO",1,0))* (IF(O148="ACORDE A ITEM 5.2.2 (T.R.)",1,0) )* ( IF(OR(Q148="SIN OBSERVACIÓN", Q148="REQUERIMIENTOS SUBSANADOS"),1,0)) *(IF(OR(R148="NINGUNO", R148="CUMPLEN CON LO SOLICITADO"),1,0))</f>
        <v>0</v>
      </c>
      <c r="T148" s="675"/>
      <c r="U148" s="677">
        <f>IF(COUNTIF(J148:K150,"CUMPLE")&gt;=1,1,0)</f>
        <v>0</v>
      </c>
      <c r="W148" s="29"/>
      <c r="X148" s="29"/>
      <c r="Y148" s="29"/>
      <c r="Z148" s="29"/>
      <c r="AD148" s="13"/>
      <c r="AE148" s="13"/>
      <c r="AF148" s="13"/>
      <c r="AG148" s="13"/>
      <c r="AH148" s="13"/>
      <c r="AI148" s="13"/>
    </row>
    <row r="149" spans="1:35" s="41" customFormat="1" ht="25" hidden="1" customHeight="1">
      <c r="A149" s="40"/>
      <c r="B149" s="652"/>
      <c r="C149" s="713"/>
      <c r="D149" s="713"/>
      <c r="E149" s="713"/>
      <c r="F149" s="655"/>
      <c r="G149" s="716"/>
      <c r="H149" s="685"/>
      <c r="I149" s="710"/>
      <c r="J149" s="183"/>
      <c r="K149" s="38">
        <f>+$K$14</f>
        <v>0</v>
      </c>
      <c r="L149" s="696"/>
      <c r="M149" s="678">
        <f>+$M$14</f>
        <v>0</v>
      </c>
      <c r="N149" s="691"/>
      <c r="O149" s="691"/>
      <c r="P149" s="694"/>
      <c r="Q149" s="567"/>
      <c r="R149" s="567"/>
      <c r="S149" s="672"/>
      <c r="T149" s="675"/>
      <c r="U149" s="677"/>
      <c r="W149" s="29"/>
      <c r="X149" s="29"/>
      <c r="Y149" s="29"/>
      <c r="Z149" s="29"/>
      <c r="AD149" s="13"/>
      <c r="AE149" s="13"/>
      <c r="AF149" s="13"/>
      <c r="AG149" s="13"/>
      <c r="AH149" s="13"/>
      <c r="AI149" s="13"/>
    </row>
    <row r="150" spans="1:35" s="41" customFormat="1" ht="40.5" hidden="1" customHeight="1">
      <c r="A150" s="40"/>
      <c r="B150" s="653"/>
      <c r="C150" s="714"/>
      <c r="D150" s="714"/>
      <c r="E150" s="714"/>
      <c r="F150" s="656"/>
      <c r="G150" s="717"/>
      <c r="H150" s="686"/>
      <c r="I150" s="711"/>
      <c r="J150" s="183"/>
      <c r="K150" s="38">
        <f>+$K$15</f>
        <v>0</v>
      </c>
      <c r="L150" s="697"/>
      <c r="M150" s="680"/>
      <c r="N150" s="692"/>
      <c r="O150" s="692"/>
      <c r="P150" s="695"/>
      <c r="Q150" s="545"/>
      <c r="R150" s="545"/>
      <c r="S150" s="673"/>
      <c r="T150" s="675"/>
      <c r="U150" s="677"/>
      <c r="W150" s="29"/>
      <c r="X150" s="29"/>
      <c r="Y150" s="29"/>
      <c r="Z150" s="29"/>
      <c r="AD150" s="13"/>
      <c r="AE150" s="13"/>
      <c r="AF150" s="13"/>
      <c r="AG150" s="13"/>
      <c r="AH150" s="13"/>
      <c r="AI150" s="13"/>
    </row>
    <row r="151" spans="1:35" s="41" customFormat="1" ht="25" hidden="1" customHeight="1">
      <c r="A151" s="40"/>
      <c r="B151" s="651">
        <v>3</v>
      </c>
      <c r="C151" s="654"/>
      <c r="D151" s="654"/>
      <c r="E151" s="654"/>
      <c r="F151" s="654"/>
      <c r="G151" s="681"/>
      <c r="H151" s="684"/>
      <c r="I151" s="687"/>
      <c r="J151" s="183"/>
      <c r="K151" s="38">
        <f>+$K$13</f>
        <v>0</v>
      </c>
      <c r="L151" s="183"/>
      <c r="M151" s="38">
        <f>+$M$13</f>
        <v>0</v>
      </c>
      <c r="N151" s="690"/>
      <c r="O151" s="690"/>
      <c r="P151" s="693"/>
      <c r="Q151" s="544"/>
      <c r="R151" s="544"/>
      <c r="S151" s="671">
        <f>IF(COUNTIF(J151:K153,"CUMPLE")&gt;=1,(G151*I151),0)* (IF(N151="PRESENTÓ CERTIFICADO",1,0))* (IF(O151="ACORDE A ITEM 5.2.2 (T.R.)",1,0) )* ( IF(OR(Q151="SIN OBSERVACIÓN", Q151="REQUERIMIENTOS SUBSANADOS"),1,0)) *(IF(OR(R151="NINGUNO", R151="CUMPLEN CON LO SOLICITADO"),1,0))</f>
        <v>0</v>
      </c>
      <c r="T151" s="675"/>
      <c r="U151" s="677">
        <f>IF(COUNTIF(L151:M153,"CUMPLE")&gt;=1,1,0)</f>
        <v>0</v>
      </c>
      <c r="W151" s="29"/>
      <c r="X151" s="29"/>
      <c r="Y151" s="29"/>
      <c r="Z151" s="29"/>
      <c r="AA151" s="28"/>
      <c r="AB151" s="28"/>
      <c r="AC151" s="28"/>
      <c r="AD151" s="13"/>
      <c r="AE151" s="13"/>
      <c r="AF151" s="13"/>
      <c r="AG151" s="13"/>
      <c r="AH151" s="13"/>
      <c r="AI151" s="13"/>
    </row>
    <row r="152" spans="1:35" s="41" customFormat="1" ht="25" hidden="1" customHeight="1">
      <c r="A152" s="40"/>
      <c r="B152" s="652"/>
      <c r="C152" s="655"/>
      <c r="D152" s="655"/>
      <c r="E152" s="655"/>
      <c r="F152" s="655"/>
      <c r="G152" s="682"/>
      <c r="H152" s="685"/>
      <c r="I152" s="688"/>
      <c r="J152" s="183"/>
      <c r="K152" s="38">
        <f>+$K$14</f>
        <v>0</v>
      </c>
      <c r="L152" s="696"/>
      <c r="M152" s="678">
        <f>+$M$14</f>
        <v>0</v>
      </c>
      <c r="N152" s="691"/>
      <c r="O152" s="691"/>
      <c r="P152" s="694"/>
      <c r="Q152" s="567"/>
      <c r="R152" s="567"/>
      <c r="S152" s="672"/>
      <c r="T152" s="675"/>
      <c r="U152" s="677"/>
      <c r="W152" s="29"/>
      <c r="X152" s="29"/>
      <c r="Y152" s="29"/>
      <c r="Z152" s="29"/>
      <c r="AH152" s="13"/>
      <c r="AI152" s="13"/>
    </row>
    <row r="153" spans="1:35" s="41" customFormat="1" ht="35.25" hidden="1" customHeight="1">
      <c r="A153" s="40"/>
      <c r="B153" s="653"/>
      <c r="C153" s="656"/>
      <c r="D153" s="656"/>
      <c r="E153" s="656"/>
      <c r="F153" s="656"/>
      <c r="G153" s="683"/>
      <c r="H153" s="686"/>
      <c r="I153" s="689"/>
      <c r="J153" s="183"/>
      <c r="K153" s="38">
        <f>+$K$15</f>
        <v>0</v>
      </c>
      <c r="L153" s="697"/>
      <c r="M153" s="680"/>
      <c r="N153" s="692"/>
      <c r="O153" s="692"/>
      <c r="P153" s="695"/>
      <c r="Q153" s="545"/>
      <c r="R153" s="545"/>
      <c r="S153" s="673"/>
      <c r="T153" s="675"/>
      <c r="U153" s="677"/>
      <c r="W153" s="29"/>
      <c r="X153" s="29"/>
      <c r="Y153" s="29"/>
      <c r="Z153" s="29"/>
    </row>
    <row r="154" spans="1:35" s="41" customFormat="1" ht="25" hidden="1" customHeight="1">
      <c r="A154" s="40"/>
      <c r="B154" s="651">
        <v>4</v>
      </c>
      <c r="C154" s="712"/>
      <c r="D154" s="712"/>
      <c r="E154" s="712"/>
      <c r="F154" s="712"/>
      <c r="G154" s="715"/>
      <c r="H154" s="684"/>
      <c r="I154" s="709"/>
      <c r="J154" s="183"/>
      <c r="K154" s="38">
        <f>+$K$13</f>
        <v>0</v>
      </c>
      <c r="L154" s="183"/>
      <c r="M154" s="38">
        <f>+$M$13</f>
        <v>0</v>
      </c>
      <c r="N154" s="690"/>
      <c r="O154" s="690"/>
      <c r="P154" s="693"/>
      <c r="Q154" s="544"/>
      <c r="R154" s="544"/>
      <c r="S154" s="671">
        <f>IF(COUNTIF(J154:K156,"CUMPLE")&gt;=1,(G154*I154),0)* (IF(N154="PRESENTÓ CERTIFICADO",1,0))* (IF(O154="ACORDE A ITEM 5.2.2 (T.R.)",1,0) )* ( IF(OR(Q154="SIN OBSERVACIÓN", Q154="REQUERIMIENTOS SUBSANADOS"),1,0)) *(IF(OR(R154="NINGUNO", R154="CUMPLEN CON LO SOLICITADO"),1,0))</f>
        <v>0</v>
      </c>
      <c r="T154" s="675"/>
      <c r="U154" s="677">
        <f>IF(COUNTIF(L154:M156,"CUMPLE")&gt;=1,1,0)</f>
        <v>0</v>
      </c>
      <c r="W154" s="29"/>
      <c r="X154" s="29"/>
      <c r="Y154" s="29"/>
      <c r="Z154" s="29"/>
      <c r="AA154" s="13"/>
      <c r="AB154" s="13"/>
      <c r="AC154" s="13"/>
      <c r="AD154" s="13"/>
      <c r="AE154" s="13"/>
      <c r="AF154" s="13"/>
      <c r="AG154" s="13"/>
    </row>
    <row r="155" spans="1:35" s="41" customFormat="1" ht="25" hidden="1" customHeight="1">
      <c r="A155" s="40"/>
      <c r="B155" s="652"/>
      <c r="C155" s="713"/>
      <c r="D155" s="713"/>
      <c r="E155" s="713"/>
      <c r="F155" s="713"/>
      <c r="G155" s="716"/>
      <c r="H155" s="685"/>
      <c r="I155" s="710"/>
      <c r="J155" s="183"/>
      <c r="K155" s="38">
        <f>+$K$14</f>
        <v>0</v>
      </c>
      <c r="L155" s="696"/>
      <c r="M155" s="678">
        <f>+$M$14</f>
        <v>0</v>
      </c>
      <c r="N155" s="691"/>
      <c r="O155" s="691"/>
      <c r="P155" s="694"/>
      <c r="Q155" s="567"/>
      <c r="R155" s="567"/>
      <c r="S155" s="672"/>
      <c r="T155" s="675"/>
      <c r="U155" s="677"/>
      <c r="W155" s="29"/>
      <c r="X155" s="29"/>
      <c r="Y155" s="29"/>
      <c r="Z155" s="29"/>
      <c r="AA155" s="13"/>
      <c r="AB155" s="13"/>
      <c r="AC155" s="13"/>
      <c r="AD155" s="13"/>
      <c r="AE155" s="13"/>
      <c r="AF155" s="13"/>
      <c r="AG155" s="13"/>
    </row>
    <row r="156" spans="1:35" s="41" customFormat="1" ht="25" hidden="1" customHeight="1">
      <c r="A156" s="40"/>
      <c r="B156" s="653"/>
      <c r="C156" s="714"/>
      <c r="D156" s="714"/>
      <c r="E156" s="714"/>
      <c r="F156" s="714"/>
      <c r="G156" s="717"/>
      <c r="H156" s="686"/>
      <c r="I156" s="711"/>
      <c r="J156" s="183"/>
      <c r="K156" s="38">
        <f>+$K$15</f>
        <v>0</v>
      </c>
      <c r="L156" s="697"/>
      <c r="M156" s="680"/>
      <c r="N156" s="692"/>
      <c r="O156" s="692"/>
      <c r="P156" s="695"/>
      <c r="Q156" s="545"/>
      <c r="R156" s="545"/>
      <c r="S156" s="673"/>
      <c r="T156" s="675"/>
      <c r="U156" s="677"/>
      <c r="W156" s="29"/>
      <c r="X156" s="29"/>
      <c r="Y156" s="29"/>
      <c r="Z156" s="29"/>
      <c r="AA156" s="29"/>
      <c r="AB156" s="29"/>
      <c r="AC156" s="29"/>
      <c r="AD156" s="42"/>
      <c r="AE156" s="42"/>
      <c r="AF156" s="42"/>
      <c r="AG156" s="42"/>
    </row>
    <row r="157" spans="1:35" s="41" customFormat="1" ht="25" hidden="1" customHeight="1">
      <c r="A157" s="40"/>
      <c r="B157" s="651">
        <v>5</v>
      </c>
      <c r="C157" s="654"/>
      <c r="D157" s="654"/>
      <c r="E157" s="654"/>
      <c r="F157" s="654"/>
      <c r="G157" s="681"/>
      <c r="H157" s="684"/>
      <c r="I157" s="687"/>
      <c r="J157" s="183"/>
      <c r="K157" s="38">
        <f>+$K$13</f>
        <v>0</v>
      </c>
      <c r="L157" s="183"/>
      <c r="M157" s="38">
        <f>+$M$13</f>
        <v>0</v>
      </c>
      <c r="N157" s="690"/>
      <c r="O157" s="690"/>
      <c r="P157" s="693"/>
      <c r="Q157" s="544"/>
      <c r="R157" s="544"/>
      <c r="S157" s="671">
        <f>IF(COUNTIF(J157:K159,"CUMPLE")&gt;=1,(G157*I157),0)* (IF(N157="PRESENTÓ CERTIFICADO",1,0))* (IF(O157="ACORDE A ITEM 5.2.2 (T.R.)",1,0) )* ( IF(OR(Q157="SIN OBSERVACIÓN", Q157="REQUERIMIENTOS SUBSANADOS"),1,0)) *(IF(OR(R157="NINGUNO", R157="CUMPLEN CON LO SOLICITADO"),1,0))</f>
        <v>0</v>
      </c>
      <c r="T157" s="675"/>
      <c r="U157" s="677">
        <f>IF(COUNTIF(L157:M159,"CUMPLE")&gt;=1,1,0)</f>
        <v>0</v>
      </c>
      <c r="W157" s="29"/>
      <c r="X157" s="29"/>
      <c r="Y157" s="29"/>
      <c r="Z157" s="29"/>
      <c r="AA157" s="29"/>
      <c r="AB157" s="29"/>
      <c r="AC157" s="29"/>
      <c r="AD157" s="42"/>
      <c r="AE157" s="42"/>
      <c r="AF157" s="42"/>
      <c r="AG157" s="42"/>
    </row>
    <row r="158" spans="1:35" s="41" customFormat="1" ht="25" hidden="1" customHeight="1">
      <c r="A158" s="40"/>
      <c r="B158" s="652"/>
      <c r="C158" s="655"/>
      <c r="D158" s="655"/>
      <c r="E158" s="655"/>
      <c r="F158" s="655"/>
      <c r="G158" s="682"/>
      <c r="H158" s="685"/>
      <c r="I158" s="688"/>
      <c r="J158" s="183"/>
      <c r="K158" s="38">
        <f>+$K$14</f>
        <v>0</v>
      </c>
      <c r="L158" s="696"/>
      <c r="M158" s="678">
        <f>+$M$14</f>
        <v>0</v>
      </c>
      <c r="N158" s="691"/>
      <c r="O158" s="691"/>
      <c r="P158" s="694"/>
      <c r="Q158" s="567"/>
      <c r="R158" s="567"/>
      <c r="S158" s="672"/>
      <c r="T158" s="675"/>
      <c r="U158" s="677"/>
      <c r="W158" s="29"/>
      <c r="X158" s="29"/>
      <c r="Y158" s="29"/>
      <c r="Z158" s="29"/>
      <c r="AA158" s="29"/>
      <c r="AB158" s="29"/>
      <c r="AC158" s="29"/>
    </row>
    <row r="159" spans="1:35" s="41" customFormat="1" ht="25" hidden="1" customHeight="1">
      <c r="A159" s="40"/>
      <c r="B159" s="653"/>
      <c r="C159" s="656"/>
      <c r="D159" s="656"/>
      <c r="E159" s="656"/>
      <c r="F159" s="656"/>
      <c r="G159" s="683"/>
      <c r="H159" s="686"/>
      <c r="I159" s="689"/>
      <c r="J159" s="183"/>
      <c r="K159" s="38">
        <f>+$K$15</f>
        <v>0</v>
      </c>
      <c r="L159" s="697"/>
      <c r="M159" s="680"/>
      <c r="N159" s="692"/>
      <c r="O159" s="692"/>
      <c r="P159" s="695"/>
      <c r="Q159" s="545"/>
      <c r="R159" s="545"/>
      <c r="S159" s="673"/>
      <c r="T159" s="676"/>
      <c r="U159" s="677"/>
      <c r="W159" s="29"/>
      <c r="X159" s="29"/>
      <c r="Y159" s="29"/>
      <c r="Z159" s="29"/>
      <c r="AA159" s="29"/>
      <c r="AB159" s="29"/>
      <c r="AC159" s="29"/>
    </row>
    <row r="160" spans="1:35" s="28" customFormat="1" ht="25" hidden="1" customHeight="1">
      <c r="B160" s="698" t="str">
        <f>IF(S161=" "," ",IF(S161&gt;=$H$6,"CUMPLE CON LA EXPERIENCIA REQUERIDA","NO CUMPLE CON LA EXPERIENCIA REQUERIDA"))</f>
        <v>NO CUMPLE CON LA EXPERIENCIA REQUERIDA</v>
      </c>
      <c r="C160" s="699"/>
      <c r="D160" s="699"/>
      <c r="E160" s="699"/>
      <c r="F160" s="699"/>
      <c r="G160" s="699"/>
      <c r="H160" s="699"/>
      <c r="I160" s="699"/>
      <c r="J160" s="699"/>
      <c r="K160" s="699"/>
      <c r="L160" s="699"/>
      <c r="M160" s="699"/>
      <c r="N160" s="699"/>
      <c r="O160" s="700"/>
      <c r="P160" s="704" t="s">
        <v>46</v>
      </c>
      <c r="Q160" s="705"/>
      <c r="R160" s="706"/>
      <c r="S160" s="44">
        <f>IF(T145="SI",SUM(S145:S159),0)</f>
        <v>0</v>
      </c>
      <c r="T160" s="707" t="str">
        <f>IF(S161=" "," ",IF(S161&gt;=$H$6,"CUMPLE","NO CUMPLE"))</f>
        <v>NO CUMPLE</v>
      </c>
      <c r="W160" s="29"/>
      <c r="X160" s="29"/>
      <c r="Y160" s="29"/>
      <c r="Z160" s="29"/>
      <c r="AA160" s="29"/>
      <c r="AB160" s="29"/>
      <c r="AC160" s="29"/>
      <c r="AD160" s="41"/>
      <c r="AE160" s="41"/>
      <c r="AF160" s="41"/>
      <c r="AG160" s="41"/>
      <c r="AH160" s="41"/>
    </row>
    <row r="161" spans="1:35" s="41" customFormat="1" ht="25" hidden="1" customHeight="1">
      <c r="B161" s="701"/>
      <c r="C161" s="702"/>
      <c r="D161" s="702"/>
      <c r="E161" s="702"/>
      <c r="F161" s="702"/>
      <c r="G161" s="702"/>
      <c r="H161" s="702"/>
      <c r="I161" s="702"/>
      <c r="J161" s="702"/>
      <c r="K161" s="702"/>
      <c r="L161" s="702"/>
      <c r="M161" s="702"/>
      <c r="N161" s="702"/>
      <c r="O161" s="703"/>
      <c r="P161" s="704" t="s">
        <v>47</v>
      </c>
      <c r="Q161" s="705"/>
      <c r="R161" s="706"/>
      <c r="S161" s="44">
        <f>IFERROR((S160/$P$6)," ")</f>
        <v>0</v>
      </c>
      <c r="T161" s="708"/>
      <c r="W161" s="29"/>
      <c r="X161" s="29"/>
      <c r="Y161" s="29"/>
      <c r="Z161" s="29"/>
      <c r="AA161" s="29"/>
      <c r="AB161" s="29"/>
      <c r="AC161" s="29"/>
    </row>
    <row r="162" spans="1:35" ht="30" hidden="1" customHeight="1">
      <c r="AA162" s="29"/>
      <c r="AB162" s="29"/>
      <c r="AC162" s="29"/>
      <c r="AD162" s="41"/>
      <c r="AE162" s="41"/>
      <c r="AF162" s="41"/>
      <c r="AG162" s="41"/>
      <c r="AH162" s="28"/>
    </row>
    <row r="163" spans="1:35" ht="30" hidden="1" customHeight="1">
      <c r="AA163" s="29"/>
      <c r="AB163" s="29"/>
      <c r="AC163" s="29"/>
      <c r="AD163" s="41"/>
      <c r="AE163" s="41"/>
      <c r="AF163" s="41"/>
      <c r="AG163" s="41"/>
      <c r="AH163" s="41"/>
    </row>
    <row r="164" spans="1:35" ht="64.5" hidden="1" customHeight="1">
      <c r="B164" s="26">
        <v>8</v>
      </c>
      <c r="C164" s="660" t="s">
        <v>25</v>
      </c>
      <c r="D164" s="661"/>
      <c r="E164" s="662"/>
      <c r="F164" s="663">
        <f>IFERROR(VLOOKUP(B164,LISTA_OFERENTES,2,FALSE)," ")</f>
        <v>0</v>
      </c>
      <c r="G164" s="664"/>
      <c r="H164" s="664"/>
      <c r="I164" s="664"/>
      <c r="J164" s="664"/>
      <c r="K164" s="664"/>
      <c r="L164" s="664"/>
      <c r="M164" s="664"/>
      <c r="N164" s="664"/>
      <c r="O164" s="665"/>
      <c r="P164" s="666" t="s">
        <v>26</v>
      </c>
      <c r="Q164" s="667"/>
      <c r="R164" s="668"/>
      <c r="S164" s="27">
        <f>5-(INT(COUNTBLANK(C167:C181))-10)</f>
        <v>0</v>
      </c>
      <c r="T164" s="28"/>
      <c r="AA164" s="29"/>
      <c r="AB164" s="29"/>
      <c r="AC164" s="29"/>
      <c r="AD164" s="41"/>
      <c r="AE164" s="41"/>
      <c r="AF164" s="41"/>
      <c r="AG164" s="41"/>
    </row>
    <row r="165" spans="1:35" s="42" customFormat="1" ht="30" hidden="1" customHeight="1">
      <c r="B165" s="669" t="s">
        <v>27</v>
      </c>
      <c r="C165" s="643" t="s">
        <v>28</v>
      </c>
      <c r="D165" s="643" t="s">
        <v>29</v>
      </c>
      <c r="E165" s="643" t="s">
        <v>30</v>
      </c>
      <c r="F165" s="643" t="s">
        <v>31</v>
      </c>
      <c r="G165" s="643" t="s">
        <v>32</v>
      </c>
      <c r="H165" s="643" t="s">
        <v>33</v>
      </c>
      <c r="I165" s="643" t="s">
        <v>34</v>
      </c>
      <c r="J165" s="657" t="s">
        <v>35</v>
      </c>
      <c r="K165" s="658"/>
      <c r="L165" s="658"/>
      <c r="M165" s="659"/>
      <c r="N165" s="643" t="s">
        <v>36</v>
      </c>
      <c r="O165" s="643" t="s">
        <v>37</v>
      </c>
      <c r="P165" s="657" t="s">
        <v>38</v>
      </c>
      <c r="Q165" s="659"/>
      <c r="R165" s="643" t="s">
        <v>39</v>
      </c>
      <c r="S165" s="643" t="s">
        <v>40</v>
      </c>
      <c r="T165" s="643" t="str">
        <f>+$T$11</f>
        <v>Cumple con el requerimiento del numeral 6.2.2.2.1</v>
      </c>
      <c r="U165" s="643" t="str">
        <f>+$U$11</f>
        <v xml:space="preserve">VERIFICACIÓN CONDICIÓN DE EXPERIENCIA  </v>
      </c>
      <c r="V165" s="45"/>
      <c r="W165" s="29"/>
      <c r="X165" s="29"/>
      <c r="Y165" s="29"/>
      <c r="Z165" s="29"/>
      <c r="AA165" s="29"/>
      <c r="AB165" s="29"/>
      <c r="AC165" s="29"/>
      <c r="AD165" s="41"/>
      <c r="AE165" s="41"/>
      <c r="AF165" s="41"/>
      <c r="AG165" s="41"/>
      <c r="AH165" s="13"/>
    </row>
    <row r="166" spans="1:35" s="42" customFormat="1" ht="63" hidden="1" customHeight="1">
      <c r="B166" s="670"/>
      <c r="C166" s="644"/>
      <c r="D166" s="644"/>
      <c r="E166" s="644"/>
      <c r="F166" s="644"/>
      <c r="G166" s="644"/>
      <c r="H166" s="644"/>
      <c r="I166" s="644"/>
      <c r="J166" s="648" t="s">
        <v>43</v>
      </c>
      <c r="K166" s="649"/>
      <c r="L166" s="649"/>
      <c r="M166" s="650"/>
      <c r="N166" s="644"/>
      <c r="O166" s="644"/>
      <c r="P166" s="33" t="s">
        <v>10</v>
      </c>
      <c r="Q166" s="33" t="s">
        <v>44</v>
      </c>
      <c r="R166" s="644"/>
      <c r="S166" s="644"/>
      <c r="T166" s="644"/>
      <c r="U166" s="644"/>
      <c r="V166" s="45"/>
      <c r="W166" s="29"/>
      <c r="X166" s="29"/>
      <c r="Y166" s="29"/>
      <c r="Z166" s="29"/>
      <c r="AA166" s="29"/>
      <c r="AB166" s="29"/>
      <c r="AC166" s="29"/>
      <c r="AD166" s="41"/>
      <c r="AE166" s="41"/>
      <c r="AF166" s="41"/>
      <c r="AG166" s="41"/>
      <c r="AH166" s="13"/>
    </row>
    <row r="167" spans="1:35" s="41" customFormat="1" ht="25" hidden="1" customHeight="1">
      <c r="A167" s="40"/>
      <c r="B167" s="651">
        <v>1</v>
      </c>
      <c r="C167" s="654"/>
      <c r="D167" s="654"/>
      <c r="E167" s="654"/>
      <c r="F167" s="654"/>
      <c r="G167" s="681"/>
      <c r="H167" s="684"/>
      <c r="I167" s="687"/>
      <c r="J167" s="183"/>
      <c r="K167" s="38">
        <f>+$K$13</f>
        <v>0</v>
      </c>
      <c r="L167" s="183"/>
      <c r="M167" s="38">
        <f>+$M$13</f>
        <v>0</v>
      </c>
      <c r="N167" s="690"/>
      <c r="O167" s="690"/>
      <c r="P167" s="693"/>
      <c r="Q167" s="544"/>
      <c r="R167" s="544"/>
      <c r="S167" s="671">
        <f>IF(COUNTIF(J167:K169,"CUMPLE")&gt;=1,(G167*I167),0)* (IF(N167="PRESENTÓ CERTIFICADO",1,0))* (IF(O167="ACORDE A ITEM 5.2.2 (T.R.)",1,0) )* ( IF(OR(Q167="SIN OBSERVACIÓN", Q167="REQUERIMIENTOS SUBSANADOS"),1,0)) *(IF(OR(R167="NINGUNO", R167="CUMPLEN CON LO SOLICITADO"),1,0))</f>
        <v>0</v>
      </c>
      <c r="T167" s="674"/>
      <c r="U167" s="677">
        <f>IF(COUNTIF(J167:K169,"CUMPLE")&gt;=1,1,0)</f>
        <v>0</v>
      </c>
      <c r="W167" s="29"/>
      <c r="X167" s="29"/>
      <c r="Y167" s="29"/>
      <c r="Z167" s="29"/>
      <c r="AD167" s="13"/>
      <c r="AE167" s="13"/>
      <c r="AF167" s="13"/>
      <c r="AG167" s="13"/>
      <c r="AH167" s="13"/>
      <c r="AI167" s="13"/>
    </row>
    <row r="168" spans="1:35" s="41" customFormat="1" ht="25" hidden="1" customHeight="1">
      <c r="A168" s="40"/>
      <c r="B168" s="652"/>
      <c r="C168" s="655"/>
      <c r="D168" s="655"/>
      <c r="E168" s="655"/>
      <c r="F168" s="655"/>
      <c r="G168" s="682"/>
      <c r="H168" s="685"/>
      <c r="I168" s="688"/>
      <c r="J168" s="183"/>
      <c r="K168" s="38">
        <f>+$K$14</f>
        <v>0</v>
      </c>
      <c r="L168" s="696"/>
      <c r="M168" s="678">
        <f>+$M$14</f>
        <v>0</v>
      </c>
      <c r="N168" s="691"/>
      <c r="O168" s="691"/>
      <c r="P168" s="694"/>
      <c r="Q168" s="567"/>
      <c r="R168" s="567"/>
      <c r="S168" s="672"/>
      <c r="T168" s="675"/>
      <c r="U168" s="677"/>
      <c r="W168" s="29"/>
      <c r="X168" s="29"/>
      <c r="Y168" s="29"/>
      <c r="Z168" s="29"/>
      <c r="AD168" s="13"/>
      <c r="AE168" s="13"/>
      <c r="AF168" s="13"/>
      <c r="AG168" s="13"/>
      <c r="AH168" s="13"/>
      <c r="AI168" s="13"/>
    </row>
    <row r="169" spans="1:35" s="41" customFormat="1" ht="25" hidden="1" customHeight="1">
      <c r="A169" s="40"/>
      <c r="B169" s="653"/>
      <c r="C169" s="656"/>
      <c r="D169" s="656"/>
      <c r="E169" s="656"/>
      <c r="F169" s="656"/>
      <c r="G169" s="683"/>
      <c r="H169" s="686"/>
      <c r="I169" s="689"/>
      <c r="J169" s="183"/>
      <c r="K169" s="38">
        <f>+$K$15</f>
        <v>0</v>
      </c>
      <c r="L169" s="697"/>
      <c r="M169" s="680"/>
      <c r="N169" s="692"/>
      <c r="O169" s="692"/>
      <c r="P169" s="695"/>
      <c r="Q169" s="545"/>
      <c r="R169" s="545"/>
      <c r="S169" s="673"/>
      <c r="T169" s="675"/>
      <c r="U169" s="677"/>
      <c r="W169" s="29"/>
      <c r="X169" s="29"/>
      <c r="Y169" s="29"/>
      <c r="Z169" s="29"/>
      <c r="AD169" s="13"/>
      <c r="AE169" s="13"/>
      <c r="AF169" s="13"/>
      <c r="AG169" s="13"/>
      <c r="AH169" s="13"/>
      <c r="AI169" s="13"/>
    </row>
    <row r="170" spans="1:35" s="41" customFormat="1" ht="25" hidden="1" customHeight="1">
      <c r="A170" s="40"/>
      <c r="B170" s="651">
        <v>2</v>
      </c>
      <c r="C170" s="712"/>
      <c r="D170" s="712"/>
      <c r="E170" s="712"/>
      <c r="F170" s="712"/>
      <c r="G170" s="715"/>
      <c r="H170" s="684"/>
      <c r="I170" s="709"/>
      <c r="J170" s="183"/>
      <c r="K170" s="38">
        <f>+$K$13</f>
        <v>0</v>
      </c>
      <c r="L170" s="183"/>
      <c r="M170" s="38">
        <f>+$M$13</f>
        <v>0</v>
      </c>
      <c r="N170" s="690"/>
      <c r="O170" s="690"/>
      <c r="P170" s="693"/>
      <c r="Q170" s="544"/>
      <c r="R170" s="544"/>
      <c r="S170" s="671">
        <f>IF(COUNTIF(J170:K172,"CUMPLE")&gt;=1,(G170*I170),0)* (IF(N170="PRESENTÓ CERTIFICADO",1,0))* (IF(O170="ACORDE A ITEM 5.2.2 (T.R.)",1,0) )* ( IF(OR(Q170="SIN OBSERVACIÓN", Q170="REQUERIMIENTOS SUBSANADOS"),1,0)) *(IF(OR(R170="NINGUNO", R170="CUMPLEN CON LO SOLICITADO"),1,0))</f>
        <v>0</v>
      </c>
      <c r="T170" s="675"/>
      <c r="U170" s="677">
        <f t="shared" ref="U170" si="46">IF(COUNTIF(J170:K172,"CUMPLE")&gt;=1,1,0)</f>
        <v>0</v>
      </c>
      <c r="W170" s="29"/>
      <c r="X170" s="29"/>
      <c r="Y170" s="29"/>
      <c r="Z170" s="29"/>
      <c r="AD170" s="13"/>
      <c r="AE170" s="13"/>
      <c r="AF170" s="13"/>
      <c r="AG170" s="13"/>
      <c r="AH170" s="13"/>
      <c r="AI170" s="13"/>
    </row>
    <row r="171" spans="1:35" s="41" customFormat="1" ht="25" hidden="1" customHeight="1">
      <c r="A171" s="40"/>
      <c r="B171" s="652"/>
      <c r="C171" s="713"/>
      <c r="D171" s="713"/>
      <c r="E171" s="713"/>
      <c r="F171" s="713"/>
      <c r="G171" s="716"/>
      <c r="H171" s="685"/>
      <c r="I171" s="710"/>
      <c r="J171" s="183"/>
      <c r="K171" s="38">
        <f>+$K$14</f>
        <v>0</v>
      </c>
      <c r="L171" s="696"/>
      <c r="M171" s="678">
        <f>+$M$14</f>
        <v>0</v>
      </c>
      <c r="N171" s="691"/>
      <c r="O171" s="691"/>
      <c r="P171" s="694"/>
      <c r="Q171" s="567"/>
      <c r="R171" s="567"/>
      <c r="S171" s="672"/>
      <c r="T171" s="675"/>
      <c r="U171" s="677"/>
      <c r="W171" s="29"/>
      <c r="X171" s="29"/>
      <c r="Y171" s="29"/>
      <c r="Z171" s="29"/>
      <c r="AD171" s="13"/>
      <c r="AE171" s="13"/>
      <c r="AF171" s="13"/>
      <c r="AG171" s="13"/>
      <c r="AH171" s="13"/>
      <c r="AI171" s="13"/>
    </row>
    <row r="172" spans="1:35" s="41" customFormat="1" ht="25" hidden="1" customHeight="1">
      <c r="A172" s="40"/>
      <c r="B172" s="653"/>
      <c r="C172" s="714"/>
      <c r="D172" s="714"/>
      <c r="E172" s="714"/>
      <c r="F172" s="714"/>
      <c r="G172" s="717"/>
      <c r="H172" s="686"/>
      <c r="I172" s="711"/>
      <c r="J172" s="183"/>
      <c r="K172" s="38">
        <f>+$K$15</f>
        <v>0</v>
      </c>
      <c r="L172" s="697"/>
      <c r="M172" s="680"/>
      <c r="N172" s="692"/>
      <c r="O172" s="692"/>
      <c r="P172" s="695"/>
      <c r="Q172" s="545"/>
      <c r="R172" s="545"/>
      <c r="S172" s="673"/>
      <c r="T172" s="675"/>
      <c r="U172" s="677"/>
      <c r="W172" s="29"/>
      <c r="X172" s="29"/>
      <c r="Y172" s="29"/>
      <c r="Z172" s="29"/>
      <c r="AD172" s="13"/>
      <c r="AE172" s="13"/>
      <c r="AF172" s="13"/>
      <c r="AG172" s="13"/>
      <c r="AH172" s="13"/>
      <c r="AI172" s="13"/>
    </row>
    <row r="173" spans="1:35" s="41" customFormat="1" ht="25" hidden="1" customHeight="1">
      <c r="A173" s="40"/>
      <c r="B173" s="651">
        <v>3</v>
      </c>
      <c r="C173" s="654"/>
      <c r="D173" s="654"/>
      <c r="E173" s="654"/>
      <c r="F173" s="654"/>
      <c r="G173" s="681"/>
      <c r="H173" s="684"/>
      <c r="I173" s="687"/>
      <c r="J173" s="183"/>
      <c r="K173" s="38">
        <f>+$K$13</f>
        <v>0</v>
      </c>
      <c r="L173" s="183"/>
      <c r="M173" s="38">
        <f>+$M$13</f>
        <v>0</v>
      </c>
      <c r="N173" s="690"/>
      <c r="O173" s="690"/>
      <c r="P173" s="693"/>
      <c r="Q173" s="544"/>
      <c r="R173" s="544"/>
      <c r="S173" s="671">
        <f>IF(COUNTIF(J173:K175,"CUMPLE")&gt;=1,(G173*I173),0)* (IF(N173="PRESENTÓ CERTIFICADO",1,0))* (IF(O173="ACORDE A ITEM 5.2.2 (T.R.)",1,0) )* ( IF(OR(Q173="SIN OBSERVACIÓN", Q173="REQUERIMIENTOS SUBSANADOS"),1,0)) *(IF(OR(R173="NINGUNO", R173="CUMPLEN CON LO SOLICITADO"),1,0))</f>
        <v>0</v>
      </c>
      <c r="T173" s="675"/>
      <c r="U173" s="677">
        <f t="shared" ref="U173" si="47">IF(COUNTIF(J173:K175,"CUMPLE")&gt;=1,1,0)</f>
        <v>0</v>
      </c>
      <c r="W173" s="29"/>
      <c r="X173" s="29"/>
      <c r="Y173" s="29"/>
      <c r="Z173" s="29"/>
      <c r="AA173" s="28"/>
      <c r="AB173" s="28"/>
      <c r="AC173" s="28"/>
      <c r="AD173" s="13"/>
      <c r="AE173" s="13"/>
      <c r="AF173" s="13"/>
      <c r="AG173" s="13"/>
      <c r="AH173" s="13"/>
      <c r="AI173" s="13"/>
    </row>
    <row r="174" spans="1:35" s="41" customFormat="1" ht="25" hidden="1" customHeight="1">
      <c r="A174" s="40"/>
      <c r="B174" s="652"/>
      <c r="C174" s="655"/>
      <c r="D174" s="655"/>
      <c r="E174" s="655"/>
      <c r="F174" s="655"/>
      <c r="G174" s="682"/>
      <c r="H174" s="685"/>
      <c r="I174" s="688"/>
      <c r="J174" s="183"/>
      <c r="K174" s="38">
        <f>+$K$14</f>
        <v>0</v>
      </c>
      <c r="L174" s="696"/>
      <c r="M174" s="678">
        <f>+$M$14</f>
        <v>0</v>
      </c>
      <c r="N174" s="691"/>
      <c r="O174" s="691"/>
      <c r="P174" s="694"/>
      <c r="Q174" s="567"/>
      <c r="R174" s="567"/>
      <c r="S174" s="672"/>
      <c r="T174" s="675"/>
      <c r="U174" s="677"/>
      <c r="W174" s="29"/>
      <c r="X174" s="29"/>
      <c r="Y174" s="29"/>
      <c r="Z174" s="29"/>
      <c r="AH174" s="13"/>
      <c r="AI174" s="13"/>
    </row>
    <row r="175" spans="1:35" s="41" customFormat="1" ht="25" hidden="1" customHeight="1">
      <c r="A175" s="40"/>
      <c r="B175" s="653"/>
      <c r="C175" s="656"/>
      <c r="D175" s="656"/>
      <c r="E175" s="656"/>
      <c r="F175" s="656"/>
      <c r="G175" s="683"/>
      <c r="H175" s="686"/>
      <c r="I175" s="689"/>
      <c r="J175" s="183"/>
      <c r="K175" s="38">
        <f>+$K$15</f>
        <v>0</v>
      </c>
      <c r="L175" s="697"/>
      <c r="M175" s="680"/>
      <c r="N175" s="692"/>
      <c r="O175" s="692"/>
      <c r="P175" s="695"/>
      <c r="Q175" s="545"/>
      <c r="R175" s="545"/>
      <c r="S175" s="673"/>
      <c r="T175" s="675"/>
      <c r="U175" s="677"/>
      <c r="W175" s="29"/>
      <c r="X175" s="29"/>
      <c r="Y175" s="29"/>
      <c r="Z175" s="29"/>
    </row>
    <row r="176" spans="1:35" s="41" customFormat="1" ht="25" hidden="1" customHeight="1">
      <c r="A176" s="40"/>
      <c r="B176" s="651">
        <v>4</v>
      </c>
      <c r="C176" s="712"/>
      <c r="D176" s="712"/>
      <c r="E176" s="712"/>
      <c r="F176" s="712"/>
      <c r="G176" s="715"/>
      <c r="H176" s="684"/>
      <c r="I176" s="709"/>
      <c r="J176" s="183"/>
      <c r="K176" s="38">
        <f>+$K$13</f>
        <v>0</v>
      </c>
      <c r="L176" s="183"/>
      <c r="M176" s="38">
        <f>+$M$13</f>
        <v>0</v>
      </c>
      <c r="N176" s="690"/>
      <c r="O176" s="690"/>
      <c r="P176" s="693"/>
      <c r="Q176" s="544"/>
      <c r="R176" s="544"/>
      <c r="S176" s="671">
        <f>IF(COUNTIF(J176:K178,"CUMPLE")&gt;=1,(G176*I176),0)* (IF(N176="PRESENTÓ CERTIFICADO",1,0))* (IF(O176="ACORDE A ITEM 5.2.2 (T.R.)",1,0) )* ( IF(OR(Q176="SIN OBSERVACIÓN", Q176="REQUERIMIENTOS SUBSANADOS"),1,0)) *(IF(OR(R176="NINGUNO", R176="CUMPLEN CON LO SOLICITADO"),1,0))</f>
        <v>0</v>
      </c>
      <c r="T176" s="675"/>
      <c r="U176" s="677">
        <f t="shared" ref="U176" si="48">IF(COUNTIF(J176:K178,"CUMPLE")&gt;=1,1,0)</f>
        <v>0</v>
      </c>
      <c r="W176" s="29"/>
      <c r="X176" s="29"/>
      <c r="Y176" s="29"/>
      <c r="Z176" s="29"/>
      <c r="AA176" s="13"/>
      <c r="AB176" s="13"/>
      <c r="AC176" s="13"/>
      <c r="AD176" s="13"/>
      <c r="AE176" s="13"/>
      <c r="AF176" s="13"/>
      <c r="AG176" s="13"/>
    </row>
    <row r="177" spans="1:35" s="41" customFormat="1" ht="25" hidden="1" customHeight="1">
      <c r="A177" s="40"/>
      <c r="B177" s="652"/>
      <c r="C177" s="713"/>
      <c r="D177" s="713"/>
      <c r="E177" s="713"/>
      <c r="F177" s="713"/>
      <c r="G177" s="716"/>
      <c r="H177" s="685"/>
      <c r="I177" s="710"/>
      <c r="J177" s="183"/>
      <c r="K177" s="38">
        <f>+$K$14</f>
        <v>0</v>
      </c>
      <c r="L177" s="696"/>
      <c r="M177" s="678">
        <f>+$M$14</f>
        <v>0</v>
      </c>
      <c r="N177" s="691"/>
      <c r="O177" s="691"/>
      <c r="P177" s="694"/>
      <c r="Q177" s="567"/>
      <c r="R177" s="567"/>
      <c r="S177" s="672"/>
      <c r="T177" s="675"/>
      <c r="U177" s="677"/>
      <c r="W177" s="29"/>
      <c r="X177" s="29"/>
      <c r="Y177" s="29"/>
      <c r="Z177" s="29"/>
      <c r="AA177" s="13"/>
      <c r="AB177" s="13"/>
      <c r="AC177" s="13"/>
      <c r="AD177" s="13"/>
      <c r="AE177" s="13"/>
      <c r="AF177" s="13"/>
      <c r="AG177" s="13"/>
    </row>
    <row r="178" spans="1:35" s="41" customFormat="1" ht="25" hidden="1" customHeight="1">
      <c r="A178" s="40"/>
      <c r="B178" s="653"/>
      <c r="C178" s="714"/>
      <c r="D178" s="714"/>
      <c r="E178" s="714"/>
      <c r="F178" s="714"/>
      <c r="G178" s="717"/>
      <c r="H178" s="686"/>
      <c r="I178" s="711"/>
      <c r="J178" s="183"/>
      <c r="K178" s="38">
        <f>+$K$15</f>
        <v>0</v>
      </c>
      <c r="L178" s="697"/>
      <c r="M178" s="680"/>
      <c r="N178" s="692"/>
      <c r="O178" s="692"/>
      <c r="P178" s="695"/>
      <c r="Q178" s="545"/>
      <c r="R178" s="545"/>
      <c r="S178" s="673"/>
      <c r="T178" s="675"/>
      <c r="U178" s="677"/>
      <c r="W178" s="29"/>
      <c r="X178" s="29"/>
      <c r="Y178" s="29"/>
      <c r="Z178" s="29"/>
      <c r="AA178" s="29"/>
      <c r="AB178" s="29"/>
      <c r="AC178" s="29"/>
      <c r="AD178" s="42"/>
      <c r="AE178" s="42"/>
      <c r="AF178" s="42"/>
      <c r="AG178" s="42"/>
    </row>
    <row r="179" spans="1:35" s="41" customFormat="1" ht="25" hidden="1" customHeight="1">
      <c r="A179" s="40"/>
      <c r="B179" s="651">
        <v>5</v>
      </c>
      <c r="C179" s="654"/>
      <c r="D179" s="654"/>
      <c r="E179" s="654"/>
      <c r="F179" s="654"/>
      <c r="G179" s="681"/>
      <c r="H179" s="684"/>
      <c r="I179" s="687"/>
      <c r="J179" s="183"/>
      <c r="K179" s="38">
        <f>+$K$13</f>
        <v>0</v>
      </c>
      <c r="L179" s="183"/>
      <c r="M179" s="38">
        <f>+$M$13</f>
        <v>0</v>
      </c>
      <c r="N179" s="690"/>
      <c r="O179" s="690"/>
      <c r="P179" s="693"/>
      <c r="Q179" s="544"/>
      <c r="R179" s="544"/>
      <c r="S179" s="671">
        <f>IF(COUNTIF(J179:K181,"CUMPLE")&gt;=1,(G179*I179),0)* (IF(N179="PRESENTÓ CERTIFICADO",1,0))* (IF(O179="ACORDE A ITEM 5.2.2 (T.R.)",1,0) )* ( IF(OR(Q179="SIN OBSERVACIÓN", Q179="REQUERIMIENTOS SUBSANADOS"),1,0)) *(IF(OR(R179="NINGUNO", R179="CUMPLEN CON LO SOLICITADO"),1,0))</f>
        <v>0</v>
      </c>
      <c r="T179" s="675"/>
      <c r="U179" s="677">
        <f t="shared" ref="U179" si="49">IF(COUNTIF(J179:K181,"CUMPLE")&gt;=1,1,0)</f>
        <v>0</v>
      </c>
      <c r="W179" s="29"/>
      <c r="X179" s="29"/>
      <c r="Y179" s="29"/>
      <c r="Z179" s="29"/>
      <c r="AA179" s="29"/>
      <c r="AB179" s="29"/>
      <c r="AC179" s="29"/>
      <c r="AD179" s="42"/>
      <c r="AE179" s="42"/>
      <c r="AF179" s="42"/>
      <c r="AG179" s="42"/>
    </row>
    <row r="180" spans="1:35" s="41" customFormat="1" ht="25" hidden="1" customHeight="1">
      <c r="A180" s="40"/>
      <c r="B180" s="652"/>
      <c r="C180" s="655"/>
      <c r="D180" s="655"/>
      <c r="E180" s="655"/>
      <c r="F180" s="655"/>
      <c r="G180" s="682"/>
      <c r="H180" s="685"/>
      <c r="I180" s="688"/>
      <c r="J180" s="183"/>
      <c r="K180" s="38">
        <f>+$K$14</f>
        <v>0</v>
      </c>
      <c r="L180" s="696"/>
      <c r="M180" s="678">
        <f>+$M$14</f>
        <v>0</v>
      </c>
      <c r="N180" s="691"/>
      <c r="O180" s="691"/>
      <c r="P180" s="694"/>
      <c r="Q180" s="567"/>
      <c r="R180" s="567"/>
      <c r="S180" s="672"/>
      <c r="T180" s="675"/>
      <c r="U180" s="677"/>
      <c r="W180" s="29"/>
      <c r="X180" s="29"/>
      <c r="Y180" s="29"/>
      <c r="Z180" s="29"/>
      <c r="AA180" s="29"/>
      <c r="AB180" s="29"/>
      <c r="AC180" s="29"/>
    </row>
    <row r="181" spans="1:35" s="41" customFormat="1" ht="25" hidden="1" customHeight="1">
      <c r="A181" s="40"/>
      <c r="B181" s="653"/>
      <c r="C181" s="656"/>
      <c r="D181" s="656"/>
      <c r="E181" s="656"/>
      <c r="F181" s="656"/>
      <c r="G181" s="683"/>
      <c r="H181" s="686"/>
      <c r="I181" s="689"/>
      <c r="J181" s="183"/>
      <c r="K181" s="38">
        <f>+$K$15</f>
        <v>0</v>
      </c>
      <c r="L181" s="697"/>
      <c r="M181" s="680"/>
      <c r="N181" s="692"/>
      <c r="O181" s="692"/>
      <c r="P181" s="695"/>
      <c r="Q181" s="545"/>
      <c r="R181" s="545"/>
      <c r="S181" s="673"/>
      <c r="T181" s="676"/>
      <c r="U181" s="677"/>
      <c r="W181" s="29"/>
      <c r="X181" s="29"/>
      <c r="Y181" s="29"/>
      <c r="Z181" s="29"/>
      <c r="AA181" s="29"/>
      <c r="AB181" s="29"/>
      <c r="AC181" s="29"/>
    </row>
    <row r="182" spans="1:35" s="28" customFormat="1" ht="25" hidden="1" customHeight="1">
      <c r="B182" s="698" t="str">
        <f>IF(S183=" "," ",IF(S183&gt;=$H$6,"CUMPLE CON LA EXPERIENCIA REQUERIDA","NO CUMPLE CON LA EXPERIENCIA REQUERIDA"))</f>
        <v>NO CUMPLE CON LA EXPERIENCIA REQUERIDA</v>
      </c>
      <c r="C182" s="699"/>
      <c r="D182" s="699"/>
      <c r="E182" s="699"/>
      <c r="F182" s="699"/>
      <c r="G182" s="699"/>
      <c r="H182" s="699"/>
      <c r="I182" s="699"/>
      <c r="J182" s="699"/>
      <c r="K182" s="699"/>
      <c r="L182" s="699"/>
      <c r="M182" s="699"/>
      <c r="N182" s="699"/>
      <c r="O182" s="700"/>
      <c r="P182" s="704" t="s">
        <v>46</v>
      </c>
      <c r="Q182" s="705"/>
      <c r="R182" s="706"/>
      <c r="S182" s="44">
        <f>IF(T167="SI",SUM(S167:S181),0)</f>
        <v>0</v>
      </c>
      <c r="T182" s="707" t="str">
        <f>IF(S183=" "," ",IF(S183&gt;=$H$6,"CUMPLE","NO CUMPLE"))</f>
        <v>NO CUMPLE</v>
      </c>
      <c r="W182" s="29"/>
      <c r="X182" s="29"/>
      <c r="Y182" s="29"/>
      <c r="Z182" s="29"/>
      <c r="AA182" s="29"/>
      <c r="AB182" s="29"/>
      <c r="AC182" s="29"/>
      <c r="AD182" s="41"/>
      <c r="AE182" s="41"/>
      <c r="AF182" s="41"/>
      <c r="AG182" s="41"/>
      <c r="AH182" s="41"/>
    </row>
    <row r="183" spans="1:35" s="41" customFormat="1" ht="25" hidden="1" customHeight="1">
      <c r="B183" s="701"/>
      <c r="C183" s="702"/>
      <c r="D183" s="702"/>
      <c r="E183" s="702"/>
      <c r="F183" s="702"/>
      <c r="G183" s="702"/>
      <c r="H183" s="702"/>
      <c r="I183" s="702"/>
      <c r="J183" s="702"/>
      <c r="K183" s="702"/>
      <c r="L183" s="702"/>
      <c r="M183" s="702"/>
      <c r="N183" s="702"/>
      <c r="O183" s="703"/>
      <c r="P183" s="704" t="s">
        <v>47</v>
      </c>
      <c r="Q183" s="705"/>
      <c r="R183" s="706"/>
      <c r="S183" s="44">
        <f>IFERROR((S182/$P$6)," ")</f>
        <v>0</v>
      </c>
      <c r="T183" s="708"/>
      <c r="W183" s="29"/>
      <c r="X183" s="29"/>
      <c r="Y183" s="29"/>
      <c r="Z183" s="29"/>
      <c r="AA183" s="29"/>
      <c r="AB183" s="29"/>
      <c r="AC183" s="29"/>
    </row>
    <row r="184" spans="1:35" ht="30" hidden="1" customHeight="1">
      <c r="AA184" s="29"/>
      <c r="AB184" s="29"/>
      <c r="AC184" s="29"/>
      <c r="AD184" s="41"/>
      <c r="AE184" s="41"/>
      <c r="AF184" s="41"/>
      <c r="AG184" s="41"/>
      <c r="AH184" s="28"/>
    </row>
    <row r="185" spans="1:35" ht="30" hidden="1" customHeight="1">
      <c r="AA185" s="29"/>
      <c r="AB185" s="29"/>
      <c r="AC185" s="29"/>
      <c r="AD185" s="41"/>
      <c r="AE185" s="41"/>
      <c r="AF185" s="41"/>
      <c r="AG185" s="41"/>
      <c r="AH185" s="41"/>
    </row>
    <row r="186" spans="1:35" ht="73.5" hidden="1" customHeight="1">
      <c r="B186" s="26">
        <v>9</v>
      </c>
      <c r="C186" s="660" t="s">
        <v>25</v>
      </c>
      <c r="D186" s="661"/>
      <c r="E186" s="662"/>
      <c r="F186" s="663">
        <f>IFERROR(VLOOKUP(B186,LISTA_OFERENTES,2,FALSE)," ")</f>
        <v>0</v>
      </c>
      <c r="G186" s="664"/>
      <c r="H186" s="664"/>
      <c r="I186" s="664"/>
      <c r="J186" s="664"/>
      <c r="K186" s="664"/>
      <c r="L186" s="664"/>
      <c r="M186" s="664"/>
      <c r="N186" s="664"/>
      <c r="O186" s="665"/>
      <c r="P186" s="666" t="s">
        <v>26</v>
      </c>
      <c r="Q186" s="667"/>
      <c r="R186" s="668"/>
      <c r="S186" s="27">
        <f>5-(INT(COUNTBLANK(C189:C203))-10)</f>
        <v>1</v>
      </c>
      <c r="T186" s="28"/>
      <c r="AA186" s="29"/>
      <c r="AB186" s="29"/>
      <c r="AC186" s="29"/>
      <c r="AD186" s="41"/>
      <c r="AE186" s="41"/>
      <c r="AF186" s="41"/>
      <c r="AG186" s="41"/>
    </row>
    <row r="187" spans="1:35" s="42" customFormat="1" ht="30" hidden="1" customHeight="1">
      <c r="B187" s="669" t="s">
        <v>27</v>
      </c>
      <c r="C187" s="643" t="s">
        <v>28</v>
      </c>
      <c r="D187" s="643" t="s">
        <v>29</v>
      </c>
      <c r="E187" s="643" t="s">
        <v>30</v>
      </c>
      <c r="F187" s="643" t="s">
        <v>31</v>
      </c>
      <c r="G187" s="643" t="s">
        <v>32</v>
      </c>
      <c r="H187" s="643" t="s">
        <v>33</v>
      </c>
      <c r="I187" s="643" t="s">
        <v>34</v>
      </c>
      <c r="J187" s="657" t="s">
        <v>35</v>
      </c>
      <c r="K187" s="658"/>
      <c r="L187" s="658"/>
      <c r="M187" s="659"/>
      <c r="N187" s="643" t="s">
        <v>36</v>
      </c>
      <c r="O187" s="643" t="s">
        <v>37</v>
      </c>
      <c r="P187" s="657" t="s">
        <v>38</v>
      </c>
      <c r="Q187" s="659"/>
      <c r="R187" s="643" t="s">
        <v>39</v>
      </c>
      <c r="S187" s="643" t="s">
        <v>40</v>
      </c>
      <c r="T187" s="643" t="str">
        <f>+$T$11</f>
        <v>Cumple con el requerimiento del numeral 6.2.2.2.1</v>
      </c>
      <c r="U187" s="643" t="str">
        <f>+$U$11</f>
        <v xml:space="preserve">VERIFICACIÓN CONDICIÓN DE EXPERIENCIA  </v>
      </c>
      <c r="V187" s="45"/>
      <c r="W187" s="29"/>
      <c r="X187" s="29"/>
      <c r="Y187" s="29"/>
      <c r="Z187" s="29"/>
      <c r="AA187" s="29"/>
      <c r="AB187" s="29"/>
      <c r="AC187" s="29"/>
      <c r="AD187" s="41"/>
      <c r="AE187" s="41"/>
      <c r="AF187" s="41"/>
      <c r="AG187" s="41"/>
      <c r="AH187" s="13"/>
    </row>
    <row r="188" spans="1:35" s="42" customFormat="1" ht="118.5" hidden="1" customHeight="1">
      <c r="B188" s="670"/>
      <c r="C188" s="644"/>
      <c r="D188" s="644"/>
      <c r="E188" s="644"/>
      <c r="F188" s="644"/>
      <c r="G188" s="644"/>
      <c r="H188" s="644"/>
      <c r="I188" s="644"/>
      <c r="J188" s="648" t="s">
        <v>43</v>
      </c>
      <c r="K188" s="649"/>
      <c r="L188" s="649"/>
      <c r="M188" s="650"/>
      <c r="N188" s="644"/>
      <c r="O188" s="644"/>
      <c r="P188" s="33" t="s">
        <v>10</v>
      </c>
      <c r="Q188" s="33" t="s">
        <v>44</v>
      </c>
      <c r="R188" s="644"/>
      <c r="S188" s="644"/>
      <c r="T188" s="644"/>
      <c r="U188" s="644"/>
      <c r="V188" s="45"/>
      <c r="W188" s="29"/>
      <c r="X188" s="29"/>
      <c r="Y188" s="29"/>
      <c r="Z188" s="29"/>
      <c r="AA188" s="29"/>
      <c r="AB188" s="29"/>
      <c r="AC188" s="29"/>
      <c r="AD188" s="41"/>
      <c r="AE188" s="41"/>
      <c r="AF188" s="41"/>
      <c r="AG188" s="41"/>
      <c r="AH188" s="13"/>
    </row>
    <row r="189" spans="1:35" s="41" customFormat="1" ht="25" hidden="1" customHeight="1">
      <c r="A189" s="40"/>
      <c r="B189" s="651">
        <v>1</v>
      </c>
      <c r="C189" s="654">
        <v>41</v>
      </c>
      <c r="D189" s="654">
        <v>115</v>
      </c>
      <c r="E189" s="654" t="s">
        <v>156</v>
      </c>
      <c r="F189" s="654" t="s">
        <v>157</v>
      </c>
      <c r="G189" s="681">
        <v>6155.56</v>
      </c>
      <c r="H189" s="684" t="s">
        <v>150</v>
      </c>
      <c r="I189" s="687">
        <v>0.5</v>
      </c>
      <c r="J189" s="183" t="s">
        <v>147</v>
      </c>
      <c r="K189" s="38">
        <f>+$K$13</f>
        <v>0</v>
      </c>
      <c r="L189" s="183"/>
      <c r="M189" s="38">
        <f>+$M$13</f>
        <v>0</v>
      </c>
      <c r="N189" s="690" t="s">
        <v>151</v>
      </c>
      <c r="O189" s="690" t="s">
        <v>152</v>
      </c>
      <c r="P189" s="693"/>
      <c r="Q189" s="544" t="s">
        <v>153</v>
      </c>
      <c r="R189" s="544" t="s">
        <v>154</v>
      </c>
      <c r="S189" s="671">
        <f>IF(COUNTIF(J189:K191,"CUMPLE")&gt;=1,(G189*I189),0)* (IF(N189="PRESENTÓ CERTIFICADO",1,0))* (IF(O189="ACORDE A ITEM 5.2.2 (T.R.)",1,0) )* ( IF(OR(Q189="SIN OBSERVACIÓN", Q189="REQUERIMIENTOS SUBSANADOS"),1,0)) *(IF(OR(R189="NINGUNO", R189="CUMPLEN CON LO SOLICITADO"),1,0))</f>
        <v>3077.78</v>
      </c>
      <c r="T189" s="674" t="s">
        <v>155</v>
      </c>
      <c r="U189" s="677">
        <f>IF(COUNTIF(J189:K191,"CUMPLE")&gt;=1,1,0)</f>
        <v>1</v>
      </c>
      <c r="W189" s="29"/>
      <c r="X189" s="29"/>
      <c r="Y189" s="29"/>
      <c r="Z189" s="29"/>
      <c r="AD189" s="13"/>
      <c r="AE189" s="13"/>
      <c r="AF189" s="13"/>
      <c r="AG189" s="13"/>
      <c r="AH189" s="13"/>
      <c r="AI189" s="13"/>
    </row>
    <row r="190" spans="1:35" s="41" customFormat="1" ht="25" hidden="1" customHeight="1">
      <c r="A190" s="40"/>
      <c r="B190" s="652"/>
      <c r="C190" s="655"/>
      <c r="D190" s="655"/>
      <c r="E190" s="655"/>
      <c r="F190" s="655"/>
      <c r="G190" s="682"/>
      <c r="H190" s="685"/>
      <c r="I190" s="688"/>
      <c r="J190" s="183" t="s">
        <v>147</v>
      </c>
      <c r="K190" s="38">
        <f>+$K$14</f>
        <v>0</v>
      </c>
      <c r="L190" s="696"/>
      <c r="M190" s="678">
        <f>+$M$14</f>
        <v>0</v>
      </c>
      <c r="N190" s="691"/>
      <c r="O190" s="691"/>
      <c r="P190" s="694"/>
      <c r="Q190" s="567"/>
      <c r="R190" s="567"/>
      <c r="S190" s="672"/>
      <c r="T190" s="675"/>
      <c r="U190" s="677"/>
      <c r="W190" s="29"/>
      <c r="X190" s="29"/>
      <c r="Y190" s="29"/>
      <c r="Z190" s="29"/>
      <c r="AD190" s="13"/>
      <c r="AE190" s="13"/>
      <c r="AF190" s="13"/>
      <c r="AG190" s="13"/>
      <c r="AH190" s="13"/>
      <c r="AI190" s="13"/>
    </row>
    <row r="191" spans="1:35" s="41" customFormat="1" ht="25" hidden="1" customHeight="1">
      <c r="A191" s="40"/>
      <c r="B191" s="653"/>
      <c r="C191" s="656"/>
      <c r="D191" s="656"/>
      <c r="E191" s="656"/>
      <c r="F191" s="656"/>
      <c r="G191" s="683"/>
      <c r="H191" s="686"/>
      <c r="I191" s="689"/>
      <c r="J191" s="183" t="s">
        <v>147</v>
      </c>
      <c r="K191" s="38">
        <f>+$K$15</f>
        <v>0</v>
      </c>
      <c r="L191" s="697"/>
      <c r="M191" s="680"/>
      <c r="N191" s="692"/>
      <c r="O191" s="692"/>
      <c r="P191" s="695"/>
      <c r="Q191" s="545"/>
      <c r="R191" s="545"/>
      <c r="S191" s="673"/>
      <c r="T191" s="675"/>
      <c r="U191" s="677"/>
      <c r="W191" s="29"/>
      <c r="X191" s="29"/>
      <c r="Y191" s="29"/>
      <c r="Z191" s="29"/>
      <c r="AD191" s="13"/>
      <c r="AE191" s="13"/>
      <c r="AF191" s="13"/>
      <c r="AG191" s="13"/>
      <c r="AH191" s="13"/>
      <c r="AI191" s="13"/>
    </row>
    <row r="192" spans="1:35" s="41" customFormat="1" ht="25" hidden="1" customHeight="1">
      <c r="A192" s="40"/>
      <c r="B192" s="651">
        <v>2</v>
      </c>
      <c r="C192" s="712"/>
      <c r="D192" s="712"/>
      <c r="E192" s="712"/>
      <c r="F192" s="712"/>
      <c r="G192" s="715"/>
      <c r="H192" s="684"/>
      <c r="I192" s="709"/>
      <c r="J192" s="183"/>
      <c r="K192" s="38">
        <f>+$K$13</f>
        <v>0</v>
      </c>
      <c r="L192" s="183"/>
      <c r="M192" s="38">
        <f>+$M$13</f>
        <v>0</v>
      </c>
      <c r="N192" s="690"/>
      <c r="O192" s="690"/>
      <c r="P192" s="693"/>
      <c r="Q192" s="544"/>
      <c r="R192" s="544"/>
      <c r="S192" s="671">
        <f>IF(COUNTIF(J192:K194,"CUMPLE")&gt;=1,(G192*I192),0)* (IF(N192="PRESENTÓ CERTIFICADO",1,0))* (IF(O192="ACORDE A ITEM 5.2.2 (T.R.)",1,0) )* ( IF(OR(Q192="SIN OBSERVACIÓN", Q192="REQUERIMIENTOS SUBSANADOS"),1,0)) *(IF(OR(R192="NINGUNO", R192="CUMPLEN CON LO SOLICITADO"),1,0))</f>
        <v>0</v>
      </c>
      <c r="T192" s="675"/>
      <c r="U192" s="677">
        <f>IF(COUNTIF(L192:M194,"CUMPLE")&gt;=1,1,0)</f>
        <v>0</v>
      </c>
      <c r="W192" s="29"/>
      <c r="X192" s="29"/>
      <c r="Y192" s="29"/>
      <c r="Z192" s="29"/>
      <c r="AD192" s="13"/>
      <c r="AE192" s="13"/>
      <c r="AF192" s="13"/>
      <c r="AG192" s="13"/>
      <c r="AH192" s="13"/>
      <c r="AI192" s="13"/>
    </row>
    <row r="193" spans="1:35" s="41" customFormat="1" ht="25" hidden="1" customHeight="1">
      <c r="A193" s="40"/>
      <c r="B193" s="652"/>
      <c r="C193" s="713"/>
      <c r="D193" s="713"/>
      <c r="E193" s="713"/>
      <c r="F193" s="713"/>
      <c r="G193" s="716"/>
      <c r="H193" s="685"/>
      <c r="I193" s="710"/>
      <c r="J193" s="183"/>
      <c r="K193" s="38">
        <f>+$K$14</f>
        <v>0</v>
      </c>
      <c r="L193" s="696"/>
      <c r="M193" s="678">
        <f>+$M$14</f>
        <v>0</v>
      </c>
      <c r="N193" s="691"/>
      <c r="O193" s="691"/>
      <c r="P193" s="694"/>
      <c r="Q193" s="567"/>
      <c r="R193" s="567"/>
      <c r="S193" s="672"/>
      <c r="T193" s="675"/>
      <c r="U193" s="677"/>
      <c r="W193" s="29"/>
      <c r="X193" s="29"/>
      <c r="Y193" s="29"/>
      <c r="Z193" s="29"/>
      <c r="AD193" s="13"/>
      <c r="AE193" s="13"/>
      <c r="AF193" s="13"/>
      <c r="AG193" s="13"/>
      <c r="AH193" s="13"/>
      <c r="AI193" s="13"/>
    </row>
    <row r="194" spans="1:35" s="41" customFormat="1" ht="25" hidden="1" customHeight="1">
      <c r="A194" s="40"/>
      <c r="B194" s="653"/>
      <c r="C194" s="714"/>
      <c r="D194" s="714"/>
      <c r="E194" s="714"/>
      <c r="F194" s="714"/>
      <c r="G194" s="717"/>
      <c r="H194" s="686"/>
      <c r="I194" s="711"/>
      <c r="J194" s="183"/>
      <c r="K194" s="38">
        <f>+$K$15</f>
        <v>0</v>
      </c>
      <c r="L194" s="697"/>
      <c r="M194" s="680"/>
      <c r="N194" s="692"/>
      <c r="O194" s="692"/>
      <c r="P194" s="695"/>
      <c r="Q194" s="545"/>
      <c r="R194" s="545"/>
      <c r="S194" s="673"/>
      <c r="T194" s="675"/>
      <c r="U194" s="677"/>
      <c r="W194" s="29"/>
      <c r="X194" s="29"/>
      <c r="Y194" s="29"/>
      <c r="Z194" s="29"/>
      <c r="AD194" s="13"/>
      <c r="AE194" s="13"/>
      <c r="AF194" s="13"/>
      <c r="AG194" s="13"/>
      <c r="AH194" s="13"/>
      <c r="AI194" s="13"/>
    </row>
    <row r="195" spans="1:35" s="41" customFormat="1" ht="25" hidden="1" customHeight="1">
      <c r="A195" s="40"/>
      <c r="B195" s="651">
        <v>3</v>
      </c>
      <c r="C195" s="654"/>
      <c r="D195" s="654"/>
      <c r="E195" s="654"/>
      <c r="F195" s="654"/>
      <c r="G195" s="681"/>
      <c r="H195" s="684"/>
      <c r="I195" s="687"/>
      <c r="J195" s="183"/>
      <c r="K195" s="38">
        <f>+$K$13</f>
        <v>0</v>
      </c>
      <c r="L195" s="183"/>
      <c r="M195" s="38">
        <f>+$M$13</f>
        <v>0</v>
      </c>
      <c r="N195" s="690"/>
      <c r="O195" s="690"/>
      <c r="P195" s="693"/>
      <c r="Q195" s="544"/>
      <c r="R195" s="544"/>
      <c r="S195" s="671">
        <f>IF(COUNTIF(J195:K197,"CUMPLE")&gt;=1,(G195*I195),0)* (IF(N195="PRESENTÓ CERTIFICADO",1,0))* (IF(O195="ACORDE A ITEM 5.2.2 (T.R.)",1,0) )* ( IF(OR(Q195="SIN OBSERVACIÓN", Q195="REQUERIMIENTOS SUBSANADOS"),1,0)) *(IF(OR(R195="NINGUNO", R195="CUMPLEN CON LO SOLICITADO"),1,0))</f>
        <v>0</v>
      </c>
      <c r="T195" s="675"/>
      <c r="U195" s="677">
        <f>IF(COUNTIF(L195:M197,"CUMPLE")&gt;=1,1,0)</f>
        <v>0</v>
      </c>
      <c r="W195" s="29"/>
      <c r="X195" s="29"/>
      <c r="Y195" s="29"/>
      <c r="Z195" s="29"/>
      <c r="AA195" s="28"/>
      <c r="AB195" s="28"/>
      <c r="AC195" s="28"/>
      <c r="AD195" s="13"/>
      <c r="AE195" s="13"/>
      <c r="AF195" s="13"/>
      <c r="AG195" s="13"/>
      <c r="AH195" s="13"/>
      <c r="AI195" s="13"/>
    </row>
    <row r="196" spans="1:35" s="41" customFormat="1" ht="25" hidden="1" customHeight="1">
      <c r="A196" s="40"/>
      <c r="B196" s="652"/>
      <c r="C196" s="655"/>
      <c r="D196" s="655"/>
      <c r="E196" s="655"/>
      <c r="F196" s="655"/>
      <c r="G196" s="682"/>
      <c r="H196" s="685"/>
      <c r="I196" s="688"/>
      <c r="J196" s="183"/>
      <c r="K196" s="38">
        <f>+$K$14</f>
        <v>0</v>
      </c>
      <c r="L196" s="696"/>
      <c r="M196" s="678">
        <f>+$M$14</f>
        <v>0</v>
      </c>
      <c r="N196" s="691"/>
      <c r="O196" s="691"/>
      <c r="P196" s="694"/>
      <c r="Q196" s="567"/>
      <c r="R196" s="567"/>
      <c r="S196" s="672"/>
      <c r="T196" s="675"/>
      <c r="U196" s="677"/>
      <c r="W196" s="29"/>
      <c r="X196" s="29"/>
      <c r="Y196" s="29"/>
      <c r="Z196" s="29"/>
      <c r="AH196" s="13"/>
      <c r="AI196" s="13"/>
    </row>
    <row r="197" spans="1:35" s="41" customFormat="1" ht="25" hidden="1" customHeight="1">
      <c r="A197" s="40"/>
      <c r="B197" s="653"/>
      <c r="C197" s="656"/>
      <c r="D197" s="656"/>
      <c r="E197" s="656"/>
      <c r="F197" s="656"/>
      <c r="G197" s="683"/>
      <c r="H197" s="686"/>
      <c r="I197" s="689"/>
      <c r="J197" s="183"/>
      <c r="K197" s="38">
        <f>+$K$15</f>
        <v>0</v>
      </c>
      <c r="L197" s="697"/>
      <c r="M197" s="680"/>
      <c r="N197" s="692"/>
      <c r="O197" s="692"/>
      <c r="P197" s="695"/>
      <c r="Q197" s="545"/>
      <c r="R197" s="545"/>
      <c r="S197" s="673"/>
      <c r="T197" s="675"/>
      <c r="U197" s="677"/>
      <c r="W197" s="29"/>
      <c r="X197" s="29"/>
      <c r="Y197" s="29"/>
      <c r="Z197" s="29"/>
    </row>
    <row r="198" spans="1:35" s="41" customFormat="1" ht="25" hidden="1" customHeight="1">
      <c r="A198" s="40"/>
      <c r="B198" s="651">
        <v>4</v>
      </c>
      <c r="C198" s="712"/>
      <c r="D198" s="712"/>
      <c r="E198" s="712"/>
      <c r="F198" s="712"/>
      <c r="G198" s="715"/>
      <c r="H198" s="684"/>
      <c r="I198" s="709"/>
      <c r="J198" s="183"/>
      <c r="K198" s="38">
        <f>+$K$13</f>
        <v>0</v>
      </c>
      <c r="L198" s="183"/>
      <c r="M198" s="38">
        <f>+$M$13</f>
        <v>0</v>
      </c>
      <c r="N198" s="690"/>
      <c r="O198" s="690"/>
      <c r="P198" s="693"/>
      <c r="Q198" s="544"/>
      <c r="R198" s="544"/>
      <c r="S198" s="671">
        <f>IF(COUNTIF(J198:K200,"CUMPLE")&gt;=1,(G198*I198),0)* (IF(N198="PRESENTÓ CERTIFICADO",1,0))* (IF(O198="ACORDE A ITEM 5.2.2 (T.R.)",1,0) )* ( IF(OR(Q198="SIN OBSERVACIÓN", Q198="REQUERIMIENTOS SUBSANADOS"),1,0)) *(IF(OR(R198="NINGUNO", R198="CUMPLEN CON LO SOLICITADO"),1,0))</f>
        <v>0</v>
      </c>
      <c r="T198" s="675"/>
      <c r="U198" s="677">
        <f>IF(COUNTIF(L198:M200,"CUMPLE")&gt;=1,1,0)</f>
        <v>0</v>
      </c>
      <c r="W198" s="29"/>
      <c r="X198" s="29"/>
      <c r="Y198" s="29"/>
      <c r="Z198" s="29"/>
      <c r="AA198" s="13"/>
      <c r="AB198" s="13"/>
      <c r="AC198" s="13"/>
      <c r="AD198" s="13"/>
      <c r="AE198" s="13"/>
      <c r="AF198" s="13"/>
      <c r="AG198" s="13"/>
    </row>
    <row r="199" spans="1:35" s="41" customFormat="1" ht="25" hidden="1" customHeight="1">
      <c r="A199" s="40"/>
      <c r="B199" s="652"/>
      <c r="C199" s="713"/>
      <c r="D199" s="713"/>
      <c r="E199" s="713"/>
      <c r="F199" s="713"/>
      <c r="G199" s="716"/>
      <c r="H199" s="685"/>
      <c r="I199" s="710"/>
      <c r="J199" s="183"/>
      <c r="K199" s="38">
        <f>+$K$14</f>
        <v>0</v>
      </c>
      <c r="L199" s="696"/>
      <c r="M199" s="678">
        <f>+$M$14</f>
        <v>0</v>
      </c>
      <c r="N199" s="691"/>
      <c r="O199" s="691"/>
      <c r="P199" s="694"/>
      <c r="Q199" s="567"/>
      <c r="R199" s="567"/>
      <c r="S199" s="672"/>
      <c r="T199" s="675"/>
      <c r="U199" s="677"/>
      <c r="W199" s="29"/>
      <c r="X199" s="29"/>
      <c r="Y199" s="29"/>
      <c r="Z199" s="29"/>
      <c r="AA199" s="13"/>
      <c r="AB199" s="13"/>
      <c r="AC199" s="13"/>
      <c r="AD199" s="13"/>
      <c r="AE199" s="13"/>
      <c r="AF199" s="13"/>
      <c r="AG199" s="13"/>
    </row>
    <row r="200" spans="1:35" s="41" customFormat="1" ht="25" hidden="1" customHeight="1">
      <c r="A200" s="40"/>
      <c r="B200" s="653"/>
      <c r="C200" s="714"/>
      <c r="D200" s="714"/>
      <c r="E200" s="714"/>
      <c r="F200" s="714"/>
      <c r="G200" s="717"/>
      <c r="H200" s="686"/>
      <c r="I200" s="711"/>
      <c r="J200" s="183"/>
      <c r="K200" s="38">
        <f>+$K$15</f>
        <v>0</v>
      </c>
      <c r="L200" s="697"/>
      <c r="M200" s="680"/>
      <c r="N200" s="692"/>
      <c r="O200" s="692"/>
      <c r="P200" s="695"/>
      <c r="Q200" s="545"/>
      <c r="R200" s="545"/>
      <c r="S200" s="673"/>
      <c r="T200" s="675"/>
      <c r="U200" s="677"/>
      <c r="W200" s="29"/>
      <c r="X200" s="29"/>
      <c r="Y200" s="29"/>
      <c r="Z200" s="29"/>
      <c r="AA200" s="29"/>
      <c r="AB200" s="29"/>
      <c r="AC200" s="29"/>
      <c r="AD200" s="42"/>
      <c r="AE200" s="42"/>
      <c r="AF200" s="42"/>
      <c r="AG200" s="42"/>
    </row>
    <row r="201" spans="1:35" s="41" customFormat="1" ht="25" hidden="1" customHeight="1">
      <c r="A201" s="40"/>
      <c r="B201" s="651">
        <v>5</v>
      </c>
      <c r="C201" s="654"/>
      <c r="D201" s="654"/>
      <c r="E201" s="654"/>
      <c r="F201" s="654"/>
      <c r="G201" s="681"/>
      <c r="H201" s="684"/>
      <c r="I201" s="687"/>
      <c r="J201" s="183"/>
      <c r="K201" s="38">
        <f>+$K$13</f>
        <v>0</v>
      </c>
      <c r="L201" s="183"/>
      <c r="M201" s="38">
        <f>+$M$13</f>
        <v>0</v>
      </c>
      <c r="N201" s="690"/>
      <c r="O201" s="690"/>
      <c r="P201" s="693"/>
      <c r="Q201" s="544"/>
      <c r="R201" s="544"/>
      <c r="S201" s="671">
        <f>IF(COUNTIF(J201:K203,"CUMPLE")&gt;=1,(G201*I201),0)* (IF(N201="PRESENTÓ CERTIFICADO",1,0))* (IF(O201="ACORDE A ITEM 5.2.2 (T.R.)",1,0) )* ( IF(OR(Q201="SIN OBSERVACIÓN", Q201="REQUERIMIENTOS SUBSANADOS"),1,0)) *(IF(OR(R201="NINGUNO", R201="CUMPLEN CON LO SOLICITADO"),1,0))</f>
        <v>0</v>
      </c>
      <c r="T201" s="675"/>
      <c r="U201" s="677">
        <f>IF(COUNTIF(L201:M203,"CUMPLE")&gt;=1,1,0)</f>
        <v>0</v>
      </c>
      <c r="W201" s="29"/>
      <c r="X201" s="29"/>
      <c r="Y201" s="29"/>
      <c r="Z201" s="29"/>
      <c r="AA201" s="29"/>
      <c r="AB201" s="29"/>
      <c r="AC201" s="29"/>
      <c r="AD201" s="42"/>
      <c r="AE201" s="42"/>
      <c r="AF201" s="42"/>
      <c r="AG201" s="42"/>
    </row>
    <row r="202" spans="1:35" s="41" customFormat="1" ht="25" hidden="1" customHeight="1">
      <c r="A202" s="40"/>
      <c r="B202" s="652"/>
      <c r="C202" s="655"/>
      <c r="D202" s="655"/>
      <c r="E202" s="655"/>
      <c r="F202" s="655"/>
      <c r="G202" s="682"/>
      <c r="H202" s="685"/>
      <c r="I202" s="688"/>
      <c r="J202" s="183"/>
      <c r="K202" s="38">
        <f>+$K$14</f>
        <v>0</v>
      </c>
      <c r="L202" s="696"/>
      <c r="M202" s="678">
        <f>+$M$14</f>
        <v>0</v>
      </c>
      <c r="N202" s="691"/>
      <c r="O202" s="691"/>
      <c r="P202" s="694"/>
      <c r="Q202" s="567"/>
      <c r="R202" s="567"/>
      <c r="S202" s="672"/>
      <c r="T202" s="675"/>
      <c r="U202" s="677"/>
      <c r="W202" s="29"/>
      <c r="X202" s="29"/>
      <c r="Y202" s="29"/>
      <c r="Z202" s="29"/>
      <c r="AA202" s="29"/>
      <c r="AB202" s="29"/>
      <c r="AC202" s="29"/>
    </row>
    <row r="203" spans="1:35" s="41" customFormat="1" ht="25" hidden="1" customHeight="1">
      <c r="A203" s="40"/>
      <c r="B203" s="653"/>
      <c r="C203" s="656"/>
      <c r="D203" s="656"/>
      <c r="E203" s="656"/>
      <c r="F203" s="656"/>
      <c r="G203" s="683"/>
      <c r="H203" s="686"/>
      <c r="I203" s="689"/>
      <c r="J203" s="183"/>
      <c r="K203" s="38">
        <f>+$K$15</f>
        <v>0</v>
      </c>
      <c r="L203" s="697"/>
      <c r="M203" s="680"/>
      <c r="N203" s="692"/>
      <c r="O203" s="692"/>
      <c r="P203" s="695"/>
      <c r="Q203" s="545"/>
      <c r="R203" s="545"/>
      <c r="S203" s="673"/>
      <c r="T203" s="676"/>
      <c r="U203" s="677"/>
      <c r="W203" s="29"/>
      <c r="X203" s="29"/>
      <c r="Y203" s="29"/>
      <c r="Z203" s="29"/>
      <c r="AA203" s="29"/>
      <c r="AB203" s="29"/>
      <c r="AC203" s="29"/>
    </row>
    <row r="204" spans="1:35" s="28" customFormat="1" ht="25" hidden="1" customHeight="1">
      <c r="B204" s="698" t="str">
        <f>IF(S205=" "," ",IF(S205&gt;=$H$6,"CUMPLE CON LA EXPERIENCIA REQUERIDA","NO CUMPLE CON LA EXPERIENCIA REQUERIDA"))</f>
        <v>CUMPLE CON LA EXPERIENCIA REQUERIDA</v>
      </c>
      <c r="C204" s="699"/>
      <c r="D204" s="699"/>
      <c r="E204" s="699"/>
      <c r="F204" s="699"/>
      <c r="G204" s="699"/>
      <c r="H204" s="699"/>
      <c r="I204" s="699"/>
      <c r="J204" s="699"/>
      <c r="K204" s="699"/>
      <c r="L204" s="699"/>
      <c r="M204" s="699"/>
      <c r="N204" s="699"/>
      <c r="O204" s="700"/>
      <c r="P204" s="704" t="s">
        <v>46</v>
      </c>
      <c r="Q204" s="705"/>
      <c r="R204" s="706"/>
      <c r="S204" s="44">
        <f>IF(T189="SI",SUM(S189:S203),0)</f>
        <v>3077.78</v>
      </c>
      <c r="T204" s="707" t="str">
        <f>IF(S205=" "," ",IF(S205&gt;=$H$6,"CUMPLE","NO CUMPLE"))</f>
        <v>CUMPLE</v>
      </c>
      <c r="W204" s="29"/>
      <c r="X204" s="29"/>
      <c r="Y204" s="29"/>
      <c r="Z204" s="29"/>
      <c r="AA204" s="29"/>
      <c r="AB204" s="29"/>
      <c r="AC204" s="29"/>
      <c r="AD204" s="41"/>
      <c r="AE204" s="41"/>
      <c r="AF204" s="41"/>
      <c r="AG204" s="41"/>
      <c r="AH204" s="41"/>
    </row>
    <row r="205" spans="1:35" s="41" customFormat="1" ht="25" hidden="1" customHeight="1">
      <c r="B205" s="701"/>
      <c r="C205" s="702"/>
      <c r="D205" s="702"/>
      <c r="E205" s="702"/>
      <c r="F205" s="702"/>
      <c r="G205" s="702"/>
      <c r="H205" s="702"/>
      <c r="I205" s="702"/>
      <c r="J205" s="702"/>
      <c r="K205" s="702"/>
      <c r="L205" s="702"/>
      <c r="M205" s="702"/>
      <c r="N205" s="702"/>
      <c r="O205" s="703"/>
      <c r="P205" s="704" t="s">
        <v>47</v>
      </c>
      <c r="Q205" s="705"/>
      <c r="R205" s="706"/>
      <c r="S205" s="44">
        <f>IFERROR((S204/$P$6)," ")</f>
        <v>4.1591621621621622</v>
      </c>
      <c r="T205" s="708"/>
      <c r="W205" s="29"/>
      <c r="X205" s="29"/>
      <c r="Y205" s="29"/>
      <c r="Z205" s="29"/>
      <c r="AA205" s="29"/>
      <c r="AB205" s="29"/>
      <c r="AC205" s="29"/>
    </row>
    <row r="206" spans="1:35" ht="30" hidden="1" customHeight="1">
      <c r="AA206" s="29"/>
      <c r="AB206" s="29"/>
      <c r="AC206" s="29"/>
      <c r="AD206" s="41"/>
      <c r="AE206" s="41"/>
      <c r="AF206" s="41"/>
      <c r="AG206" s="41"/>
      <c r="AH206" s="28"/>
    </row>
    <row r="207" spans="1:35" ht="30" hidden="1" customHeight="1">
      <c r="AA207" s="29"/>
      <c r="AB207" s="29"/>
      <c r="AC207" s="29"/>
      <c r="AD207" s="41"/>
      <c r="AE207" s="41"/>
      <c r="AF207" s="41"/>
      <c r="AG207" s="41"/>
      <c r="AH207" s="41"/>
    </row>
    <row r="208" spans="1:35" ht="34" hidden="1">
      <c r="B208" s="26">
        <v>10</v>
      </c>
      <c r="C208" s="660" t="s">
        <v>25</v>
      </c>
      <c r="D208" s="661"/>
      <c r="E208" s="662"/>
      <c r="F208" s="663">
        <f>IFERROR(VLOOKUP(B208,LISTA_OFERENTES,2,FALSE)," ")</f>
        <v>0</v>
      </c>
      <c r="G208" s="664"/>
      <c r="H208" s="664"/>
      <c r="I208" s="664"/>
      <c r="J208" s="664"/>
      <c r="K208" s="664"/>
      <c r="L208" s="664"/>
      <c r="M208" s="664"/>
      <c r="N208" s="664"/>
      <c r="O208" s="665"/>
      <c r="P208" s="666" t="s">
        <v>26</v>
      </c>
      <c r="Q208" s="667"/>
      <c r="R208" s="668"/>
      <c r="S208" s="27">
        <f>5-(INT(COUNTBLANK(C211:C225))-10)</f>
        <v>0</v>
      </c>
      <c r="T208" s="28"/>
    </row>
    <row r="209" spans="2:21" ht="54" hidden="1" customHeight="1">
      <c r="B209" s="669" t="s">
        <v>27</v>
      </c>
      <c r="C209" s="643" t="s">
        <v>28</v>
      </c>
      <c r="D209" s="643" t="s">
        <v>29</v>
      </c>
      <c r="E209" s="643" t="s">
        <v>30</v>
      </c>
      <c r="F209" s="643" t="s">
        <v>31</v>
      </c>
      <c r="G209" s="643" t="s">
        <v>32</v>
      </c>
      <c r="H209" s="643" t="s">
        <v>33</v>
      </c>
      <c r="I209" s="643" t="s">
        <v>34</v>
      </c>
      <c r="J209" s="657" t="s">
        <v>35</v>
      </c>
      <c r="K209" s="658"/>
      <c r="L209" s="658"/>
      <c r="M209" s="659"/>
      <c r="N209" s="643" t="s">
        <v>36</v>
      </c>
      <c r="O209" s="643" t="s">
        <v>37</v>
      </c>
      <c r="P209" s="657" t="s">
        <v>38</v>
      </c>
      <c r="Q209" s="659"/>
      <c r="R209" s="643" t="s">
        <v>39</v>
      </c>
      <c r="S209" s="643" t="s">
        <v>40</v>
      </c>
      <c r="T209" s="643" t="str">
        <f>+$T$11</f>
        <v>Cumple con el requerimiento del numeral 6.2.2.2.1</v>
      </c>
      <c r="U209" s="643" t="str">
        <f>+$U$11</f>
        <v xml:space="preserve">VERIFICACIÓN CONDICIÓN DE EXPERIENCIA  </v>
      </c>
    </row>
    <row r="210" spans="2:21" ht="51" hidden="1" customHeight="1">
      <c r="B210" s="670"/>
      <c r="C210" s="644"/>
      <c r="D210" s="644"/>
      <c r="E210" s="644"/>
      <c r="F210" s="644"/>
      <c r="G210" s="644"/>
      <c r="H210" s="644"/>
      <c r="I210" s="644"/>
      <c r="J210" s="648" t="s">
        <v>43</v>
      </c>
      <c r="K210" s="649"/>
      <c r="L210" s="649"/>
      <c r="M210" s="650"/>
      <c r="N210" s="644"/>
      <c r="O210" s="644"/>
      <c r="P210" s="33" t="s">
        <v>10</v>
      </c>
      <c r="Q210" s="33" t="s">
        <v>44</v>
      </c>
      <c r="R210" s="644"/>
      <c r="S210" s="644"/>
      <c r="T210" s="644"/>
      <c r="U210" s="644"/>
    </row>
    <row r="211" spans="2:21" ht="25.5" hidden="1" customHeight="1">
      <c r="B211" s="651">
        <v>1</v>
      </c>
      <c r="C211" s="654"/>
      <c r="D211" s="654"/>
      <c r="E211" s="654"/>
      <c r="F211" s="654"/>
      <c r="G211" s="681"/>
      <c r="H211" s="684"/>
      <c r="I211" s="687"/>
      <c r="J211" s="183"/>
      <c r="K211" s="38">
        <f>+$K$13</f>
        <v>0</v>
      </c>
      <c r="L211" s="183"/>
      <c r="M211" s="38">
        <f>+$M$13</f>
        <v>0</v>
      </c>
      <c r="N211" s="690"/>
      <c r="O211" s="690"/>
      <c r="P211" s="693"/>
      <c r="Q211" s="544"/>
      <c r="R211" s="544"/>
      <c r="S211" s="671">
        <f>IF(COUNTIF(J211:K213,"CUMPLE")&gt;=1,(G211*I211),0)* (IF(N211="PRESENTÓ CERTIFICADO",1,0))* (IF(O211="ACORDE A ITEM 5.2.2 (T.R.)",1,0) )* ( IF(OR(Q211="SIN OBSERVACIÓN", Q211="REQUERIMIENTOS SUBSANADOS"),1,0)) *(IF(OR(R211="NINGUNO", R211="CUMPLEN CON LO SOLICITADO"),1,0))</f>
        <v>0</v>
      </c>
      <c r="T211" s="674"/>
      <c r="U211" s="677">
        <f>IF(COUNTIF(J211:K213,"CUMPLE")&gt;=1,1,0)</f>
        <v>0</v>
      </c>
    </row>
    <row r="212" spans="2:21" ht="25.5" hidden="1" customHeight="1">
      <c r="B212" s="652"/>
      <c r="C212" s="655"/>
      <c r="D212" s="655"/>
      <c r="E212" s="655"/>
      <c r="F212" s="655"/>
      <c r="G212" s="682"/>
      <c r="H212" s="685"/>
      <c r="I212" s="688"/>
      <c r="J212" s="183"/>
      <c r="K212" s="38">
        <f>+$K$14</f>
        <v>0</v>
      </c>
      <c r="L212" s="696"/>
      <c r="M212" s="678">
        <f>+$M$14</f>
        <v>0</v>
      </c>
      <c r="N212" s="691"/>
      <c r="O212" s="691"/>
      <c r="P212" s="694"/>
      <c r="Q212" s="567"/>
      <c r="R212" s="567"/>
      <c r="S212" s="672"/>
      <c r="T212" s="675"/>
      <c r="U212" s="677"/>
    </row>
    <row r="213" spans="2:21" ht="25.5" hidden="1" customHeight="1">
      <c r="B213" s="653"/>
      <c r="C213" s="656"/>
      <c r="D213" s="656"/>
      <c r="E213" s="656"/>
      <c r="F213" s="656"/>
      <c r="G213" s="683"/>
      <c r="H213" s="686"/>
      <c r="I213" s="689"/>
      <c r="J213" s="183"/>
      <c r="K213" s="38">
        <f>+$K$15</f>
        <v>0</v>
      </c>
      <c r="L213" s="697"/>
      <c r="M213" s="680"/>
      <c r="N213" s="692"/>
      <c r="O213" s="692"/>
      <c r="P213" s="695"/>
      <c r="Q213" s="545"/>
      <c r="R213" s="545"/>
      <c r="S213" s="673"/>
      <c r="T213" s="675"/>
      <c r="U213" s="677"/>
    </row>
    <row r="214" spans="2:21" ht="25.5" hidden="1" customHeight="1">
      <c r="B214" s="651">
        <v>2</v>
      </c>
      <c r="C214" s="712"/>
      <c r="D214" s="712"/>
      <c r="E214" s="712"/>
      <c r="F214" s="712"/>
      <c r="G214" s="715"/>
      <c r="H214" s="684"/>
      <c r="I214" s="709"/>
      <c r="J214" s="183"/>
      <c r="K214" s="38">
        <f>+$K$13</f>
        <v>0</v>
      </c>
      <c r="L214" s="183"/>
      <c r="M214" s="38">
        <f>+$M$13</f>
        <v>0</v>
      </c>
      <c r="N214" s="690"/>
      <c r="O214" s="690"/>
      <c r="P214" s="693"/>
      <c r="Q214" s="544"/>
      <c r="R214" s="544"/>
      <c r="S214" s="671">
        <f>IF(COUNTIF(J214:K216,"CUMPLE")&gt;=1,(G214*I214),0)* (IF(N214="PRESENTÓ CERTIFICADO",1,0))* (IF(O214="ACORDE A ITEM 5.2.2 (T.R.)",1,0) )* ( IF(OR(Q214="SIN OBSERVACIÓN", Q214="REQUERIMIENTOS SUBSANADOS"),1,0)) *(IF(OR(R214="NINGUNO", R214="CUMPLEN CON LO SOLICITADO"),1,0))</f>
        <v>0</v>
      </c>
      <c r="T214" s="675"/>
      <c r="U214" s="677">
        <f>IF(COUNTIF(L214:M216,"CUMPLE")&gt;=1,1,0)</f>
        <v>0</v>
      </c>
    </row>
    <row r="215" spans="2:21" ht="25.5" hidden="1" customHeight="1">
      <c r="B215" s="652"/>
      <c r="C215" s="713"/>
      <c r="D215" s="713"/>
      <c r="E215" s="713"/>
      <c r="F215" s="713"/>
      <c r="G215" s="716"/>
      <c r="H215" s="685"/>
      <c r="I215" s="710"/>
      <c r="J215" s="183"/>
      <c r="K215" s="38">
        <f>+$K$14</f>
        <v>0</v>
      </c>
      <c r="L215" s="696"/>
      <c r="M215" s="678">
        <f>+$M$14</f>
        <v>0</v>
      </c>
      <c r="N215" s="691"/>
      <c r="O215" s="691"/>
      <c r="P215" s="694"/>
      <c r="Q215" s="567"/>
      <c r="R215" s="567"/>
      <c r="S215" s="672"/>
      <c r="T215" s="675"/>
      <c r="U215" s="677"/>
    </row>
    <row r="216" spans="2:21" ht="25.5" hidden="1" customHeight="1">
      <c r="B216" s="653"/>
      <c r="C216" s="714"/>
      <c r="D216" s="714"/>
      <c r="E216" s="714"/>
      <c r="F216" s="714"/>
      <c r="G216" s="717"/>
      <c r="H216" s="686"/>
      <c r="I216" s="711"/>
      <c r="J216" s="183"/>
      <c r="K216" s="38">
        <f>+$K$15</f>
        <v>0</v>
      </c>
      <c r="L216" s="697"/>
      <c r="M216" s="680"/>
      <c r="N216" s="692"/>
      <c r="O216" s="692"/>
      <c r="P216" s="695"/>
      <c r="Q216" s="545"/>
      <c r="R216" s="545"/>
      <c r="S216" s="673"/>
      <c r="T216" s="675"/>
      <c r="U216" s="677"/>
    </row>
    <row r="217" spans="2:21" ht="25.5" hidden="1" customHeight="1">
      <c r="B217" s="651">
        <v>3</v>
      </c>
      <c r="C217" s="654"/>
      <c r="D217" s="654"/>
      <c r="E217" s="654"/>
      <c r="F217" s="654"/>
      <c r="G217" s="681"/>
      <c r="H217" s="684"/>
      <c r="I217" s="687"/>
      <c r="J217" s="183"/>
      <c r="K217" s="38">
        <f>+$K$13</f>
        <v>0</v>
      </c>
      <c r="L217" s="183"/>
      <c r="M217" s="38">
        <f>+$M$13</f>
        <v>0</v>
      </c>
      <c r="N217" s="690"/>
      <c r="O217" s="690"/>
      <c r="P217" s="693"/>
      <c r="Q217" s="544"/>
      <c r="R217" s="544"/>
      <c r="S217" s="671">
        <f>IF(COUNTIF(J217:K219,"CUMPLE")&gt;=1,(G217*I217),0)* (IF(N217="PRESENTÓ CERTIFICADO",1,0))* (IF(O217="ACORDE A ITEM 5.2.2 (T.R.)",1,0) )* ( IF(OR(Q217="SIN OBSERVACIÓN", Q217="REQUERIMIENTOS SUBSANADOS"),1,0)) *(IF(OR(R217="NINGUNO", R217="CUMPLEN CON LO SOLICITADO"),1,0))</f>
        <v>0</v>
      </c>
      <c r="T217" s="675"/>
      <c r="U217" s="677">
        <f>IF(COUNTIF(L217:M219,"CUMPLE")&gt;=1,1,0)</f>
        <v>0</v>
      </c>
    </row>
    <row r="218" spans="2:21" ht="25.5" hidden="1" customHeight="1">
      <c r="B218" s="652"/>
      <c r="C218" s="655"/>
      <c r="D218" s="655"/>
      <c r="E218" s="655"/>
      <c r="F218" s="655"/>
      <c r="G218" s="682"/>
      <c r="H218" s="685"/>
      <c r="I218" s="688"/>
      <c r="J218" s="183"/>
      <c r="K218" s="38">
        <f>+$K$14</f>
        <v>0</v>
      </c>
      <c r="L218" s="696"/>
      <c r="M218" s="678">
        <f>+$M$14</f>
        <v>0</v>
      </c>
      <c r="N218" s="691"/>
      <c r="O218" s="691"/>
      <c r="P218" s="694"/>
      <c r="Q218" s="567"/>
      <c r="R218" s="567"/>
      <c r="S218" s="672"/>
      <c r="T218" s="675"/>
      <c r="U218" s="677"/>
    </row>
    <row r="219" spans="2:21" ht="25.5" hidden="1" customHeight="1">
      <c r="B219" s="653"/>
      <c r="C219" s="656"/>
      <c r="D219" s="656"/>
      <c r="E219" s="656"/>
      <c r="F219" s="656"/>
      <c r="G219" s="683"/>
      <c r="H219" s="686"/>
      <c r="I219" s="689"/>
      <c r="J219" s="183"/>
      <c r="K219" s="38">
        <f>+$K$15</f>
        <v>0</v>
      </c>
      <c r="L219" s="697"/>
      <c r="M219" s="680"/>
      <c r="N219" s="692"/>
      <c r="O219" s="692"/>
      <c r="P219" s="695"/>
      <c r="Q219" s="545"/>
      <c r="R219" s="545"/>
      <c r="S219" s="673"/>
      <c r="T219" s="675"/>
      <c r="U219" s="677"/>
    </row>
    <row r="220" spans="2:21" ht="25.5" hidden="1" customHeight="1">
      <c r="B220" s="651">
        <v>4</v>
      </c>
      <c r="C220" s="712"/>
      <c r="D220" s="712"/>
      <c r="E220" s="712"/>
      <c r="F220" s="712"/>
      <c r="G220" s="715"/>
      <c r="H220" s="684"/>
      <c r="I220" s="709"/>
      <c r="J220" s="183"/>
      <c r="K220" s="38">
        <f>+$K$13</f>
        <v>0</v>
      </c>
      <c r="L220" s="183"/>
      <c r="M220" s="38">
        <f>+$M$13</f>
        <v>0</v>
      </c>
      <c r="N220" s="690"/>
      <c r="O220" s="690"/>
      <c r="P220" s="693"/>
      <c r="Q220" s="544"/>
      <c r="R220" s="544"/>
      <c r="S220" s="671">
        <f>IF(COUNTIF(J220:K222,"CUMPLE")&gt;=1,(G220*I220),0)* (IF(N220="PRESENTÓ CERTIFICADO",1,0))* (IF(O220="ACORDE A ITEM 5.2.2 (T.R.)",1,0) )* ( IF(OR(Q220="SIN OBSERVACIÓN", Q220="REQUERIMIENTOS SUBSANADOS"),1,0)) *(IF(OR(R220="NINGUNO", R220="CUMPLEN CON LO SOLICITADO"),1,0))</f>
        <v>0</v>
      </c>
      <c r="T220" s="675"/>
      <c r="U220" s="677">
        <f>IF(COUNTIF(L220:M222,"CUMPLE")&gt;=1,1,0)</f>
        <v>0</v>
      </c>
    </row>
    <row r="221" spans="2:21" ht="25.5" hidden="1" customHeight="1">
      <c r="B221" s="652"/>
      <c r="C221" s="713"/>
      <c r="D221" s="713"/>
      <c r="E221" s="713"/>
      <c r="F221" s="713"/>
      <c r="G221" s="716"/>
      <c r="H221" s="685"/>
      <c r="I221" s="710"/>
      <c r="J221" s="183"/>
      <c r="K221" s="38">
        <f>+$K$14</f>
        <v>0</v>
      </c>
      <c r="L221" s="696"/>
      <c r="M221" s="678">
        <f>+$M$14</f>
        <v>0</v>
      </c>
      <c r="N221" s="691"/>
      <c r="O221" s="691"/>
      <c r="P221" s="694"/>
      <c r="Q221" s="567"/>
      <c r="R221" s="567"/>
      <c r="S221" s="672"/>
      <c r="T221" s="675"/>
      <c r="U221" s="677"/>
    </row>
    <row r="222" spans="2:21" ht="25.5" hidden="1" customHeight="1">
      <c r="B222" s="653"/>
      <c r="C222" s="714"/>
      <c r="D222" s="714"/>
      <c r="E222" s="714"/>
      <c r="F222" s="714"/>
      <c r="G222" s="717"/>
      <c r="H222" s="686"/>
      <c r="I222" s="711"/>
      <c r="J222" s="183"/>
      <c r="K222" s="38">
        <f>+$K$15</f>
        <v>0</v>
      </c>
      <c r="L222" s="697"/>
      <c r="M222" s="680"/>
      <c r="N222" s="692"/>
      <c r="O222" s="692"/>
      <c r="P222" s="695"/>
      <c r="Q222" s="545"/>
      <c r="R222" s="545"/>
      <c r="S222" s="673"/>
      <c r="T222" s="675"/>
      <c r="U222" s="677"/>
    </row>
    <row r="223" spans="2:21" ht="25.5" hidden="1" customHeight="1">
      <c r="B223" s="651">
        <v>5</v>
      </c>
      <c r="C223" s="654"/>
      <c r="D223" s="654"/>
      <c r="E223" s="654"/>
      <c r="F223" s="654"/>
      <c r="G223" s="681"/>
      <c r="H223" s="684"/>
      <c r="I223" s="687"/>
      <c r="J223" s="183"/>
      <c r="K223" s="38">
        <f>+$K$13</f>
        <v>0</v>
      </c>
      <c r="L223" s="183"/>
      <c r="M223" s="38">
        <f>+$M$13</f>
        <v>0</v>
      </c>
      <c r="N223" s="690"/>
      <c r="O223" s="690"/>
      <c r="P223" s="693"/>
      <c r="Q223" s="544"/>
      <c r="R223" s="544"/>
      <c r="S223" s="671">
        <f>IF(COUNTIF(J223:K225,"CUMPLE")&gt;=1,(G223*I223),0)* (IF(N223="PRESENTÓ CERTIFICADO",1,0))* (IF(O223="ACORDE A ITEM 5.2.2 (T.R.)",1,0) )* ( IF(OR(Q223="SIN OBSERVACIÓN", Q223="REQUERIMIENTOS SUBSANADOS"),1,0)) *(IF(OR(R223="NINGUNO", R223="CUMPLEN CON LO SOLICITADO"),1,0))</f>
        <v>0</v>
      </c>
      <c r="T223" s="675"/>
      <c r="U223" s="677">
        <f>IF(COUNTIF(L223:M225,"CUMPLE")&gt;=1,1,0)</f>
        <v>0</v>
      </c>
    </row>
    <row r="224" spans="2:21" ht="25.5" hidden="1" customHeight="1">
      <c r="B224" s="652"/>
      <c r="C224" s="655"/>
      <c r="D224" s="655"/>
      <c r="E224" s="655"/>
      <c r="F224" s="655"/>
      <c r="G224" s="682"/>
      <c r="H224" s="685"/>
      <c r="I224" s="688"/>
      <c r="J224" s="183"/>
      <c r="K224" s="38">
        <f>+$K$14</f>
        <v>0</v>
      </c>
      <c r="L224" s="696"/>
      <c r="M224" s="678">
        <f>+$M$14</f>
        <v>0</v>
      </c>
      <c r="N224" s="691"/>
      <c r="O224" s="691"/>
      <c r="P224" s="694"/>
      <c r="Q224" s="567"/>
      <c r="R224" s="567"/>
      <c r="S224" s="672"/>
      <c r="T224" s="675"/>
      <c r="U224" s="677"/>
    </row>
    <row r="225" spans="2:21" ht="25.5" hidden="1" customHeight="1">
      <c r="B225" s="653"/>
      <c r="C225" s="656"/>
      <c r="D225" s="656"/>
      <c r="E225" s="656"/>
      <c r="F225" s="656"/>
      <c r="G225" s="683"/>
      <c r="H225" s="686"/>
      <c r="I225" s="689"/>
      <c r="J225" s="183"/>
      <c r="K225" s="38">
        <f>+$K$15</f>
        <v>0</v>
      </c>
      <c r="L225" s="697"/>
      <c r="M225" s="680"/>
      <c r="N225" s="692"/>
      <c r="O225" s="692"/>
      <c r="P225" s="695"/>
      <c r="Q225" s="545"/>
      <c r="R225" s="545"/>
      <c r="S225" s="673"/>
      <c r="T225" s="676"/>
      <c r="U225" s="677"/>
    </row>
    <row r="226" spans="2:21" ht="18" hidden="1" customHeight="1">
      <c r="B226" s="698" t="str">
        <f>IF(S227=" "," ",IF(S227&gt;=$H$6,"CUMPLE CON LA EXPERIENCIA REQUERIDA","NO CUMPLE CON LA EXPERIENCIA REQUERIDA"))</f>
        <v>NO CUMPLE CON LA EXPERIENCIA REQUERIDA</v>
      </c>
      <c r="C226" s="699"/>
      <c r="D226" s="699"/>
      <c r="E226" s="699"/>
      <c r="F226" s="699"/>
      <c r="G226" s="699"/>
      <c r="H226" s="699"/>
      <c r="I226" s="699"/>
      <c r="J226" s="699"/>
      <c r="K226" s="699"/>
      <c r="L226" s="699"/>
      <c r="M226" s="699"/>
      <c r="N226" s="699"/>
      <c r="O226" s="700"/>
      <c r="P226" s="704" t="s">
        <v>46</v>
      </c>
      <c r="Q226" s="705"/>
      <c r="R226" s="706"/>
      <c r="S226" s="44">
        <f>IF(T211="SI",SUM(S211:S225),0)</f>
        <v>0</v>
      </c>
      <c r="T226" s="707" t="str">
        <f>IF(S227=" "," ",IF(S227&gt;=$H$6,"CUMPLE","NO CUMPLE"))</f>
        <v>NO CUMPLE</v>
      </c>
      <c r="U226" s="28"/>
    </row>
    <row r="227" spans="2:21" ht="18" hidden="1" customHeight="1">
      <c r="B227" s="701"/>
      <c r="C227" s="702"/>
      <c r="D227" s="702"/>
      <c r="E227" s="702"/>
      <c r="F227" s="702"/>
      <c r="G227" s="702"/>
      <c r="H227" s="702"/>
      <c r="I227" s="702"/>
      <c r="J227" s="702"/>
      <c r="K227" s="702"/>
      <c r="L227" s="702"/>
      <c r="M227" s="702"/>
      <c r="N227" s="702"/>
      <c r="O227" s="703"/>
      <c r="P227" s="704" t="s">
        <v>47</v>
      </c>
      <c r="Q227" s="705"/>
      <c r="R227" s="706"/>
      <c r="S227" s="44">
        <f>IFERROR((S226/$P$6)," ")</f>
        <v>0</v>
      </c>
      <c r="T227" s="708"/>
      <c r="U227" s="41"/>
    </row>
    <row r="228" spans="2:21" hidden="1"/>
    <row r="229" spans="2:21" hidden="1"/>
    <row r="230" spans="2:21" ht="34" hidden="1">
      <c r="B230" s="26">
        <v>11</v>
      </c>
      <c r="C230" s="660" t="s">
        <v>25</v>
      </c>
      <c r="D230" s="661"/>
      <c r="E230" s="662"/>
      <c r="F230" s="663">
        <f>IFERROR(VLOOKUP(B230,LISTA_OFERENTES,2,FALSE)," ")</f>
        <v>0</v>
      </c>
      <c r="G230" s="664"/>
      <c r="H230" s="664"/>
      <c r="I230" s="664"/>
      <c r="J230" s="664"/>
      <c r="K230" s="664"/>
      <c r="L230" s="664"/>
      <c r="M230" s="664"/>
      <c r="N230" s="664"/>
      <c r="O230" s="665"/>
      <c r="P230" s="666" t="s">
        <v>26</v>
      </c>
      <c r="Q230" s="667"/>
      <c r="R230" s="668"/>
      <c r="S230" s="27">
        <f>5-(INT(COUNTBLANK(C233:C247))-10)</f>
        <v>0</v>
      </c>
      <c r="T230" s="28"/>
    </row>
    <row r="231" spans="2:21" ht="41.25" hidden="1" customHeight="1">
      <c r="B231" s="669" t="s">
        <v>27</v>
      </c>
      <c r="C231" s="643" t="s">
        <v>28</v>
      </c>
      <c r="D231" s="643" t="s">
        <v>29</v>
      </c>
      <c r="E231" s="643" t="s">
        <v>30</v>
      </c>
      <c r="F231" s="643" t="s">
        <v>31</v>
      </c>
      <c r="G231" s="643" t="s">
        <v>32</v>
      </c>
      <c r="H231" s="643" t="s">
        <v>33</v>
      </c>
      <c r="I231" s="643" t="s">
        <v>34</v>
      </c>
      <c r="J231" s="657" t="s">
        <v>35</v>
      </c>
      <c r="K231" s="658"/>
      <c r="L231" s="658"/>
      <c r="M231" s="659"/>
      <c r="N231" s="643" t="s">
        <v>36</v>
      </c>
      <c r="O231" s="643" t="s">
        <v>37</v>
      </c>
      <c r="P231" s="657" t="s">
        <v>38</v>
      </c>
      <c r="Q231" s="659"/>
      <c r="R231" s="643" t="s">
        <v>39</v>
      </c>
      <c r="S231" s="643" t="s">
        <v>40</v>
      </c>
      <c r="T231" s="643" t="str">
        <f>+$T$11</f>
        <v>Cumple con el requerimiento del numeral 6.2.2.2.1</v>
      </c>
      <c r="U231" s="643" t="str">
        <f>+$U$11</f>
        <v xml:space="preserve">VERIFICACIÓN CONDICIÓN DE EXPERIENCIA  </v>
      </c>
    </row>
    <row r="232" spans="2:21" ht="63" hidden="1" customHeight="1">
      <c r="B232" s="670"/>
      <c r="C232" s="644"/>
      <c r="D232" s="644"/>
      <c r="E232" s="644"/>
      <c r="F232" s="644"/>
      <c r="G232" s="644"/>
      <c r="H232" s="644"/>
      <c r="I232" s="644"/>
      <c r="J232" s="648" t="s">
        <v>43</v>
      </c>
      <c r="K232" s="649"/>
      <c r="L232" s="649"/>
      <c r="M232" s="650"/>
      <c r="N232" s="644"/>
      <c r="O232" s="644"/>
      <c r="P232" s="33" t="s">
        <v>10</v>
      </c>
      <c r="Q232" s="33" t="s">
        <v>44</v>
      </c>
      <c r="R232" s="644"/>
      <c r="S232" s="644"/>
      <c r="T232" s="644"/>
      <c r="U232" s="644"/>
    </row>
    <row r="233" spans="2:21" ht="21.75" hidden="1" customHeight="1">
      <c r="B233" s="651">
        <v>1</v>
      </c>
      <c r="C233" s="654"/>
      <c r="D233" s="654"/>
      <c r="E233" s="654"/>
      <c r="F233" s="654"/>
      <c r="G233" s="681"/>
      <c r="H233" s="684"/>
      <c r="I233" s="687"/>
      <c r="J233" s="183"/>
      <c r="K233" s="38">
        <f>+$K$13</f>
        <v>0</v>
      </c>
      <c r="L233" s="183"/>
      <c r="M233" s="38">
        <f>+$M$13</f>
        <v>0</v>
      </c>
      <c r="N233" s="690"/>
      <c r="O233" s="690"/>
      <c r="P233" s="693"/>
      <c r="Q233" s="544"/>
      <c r="R233" s="544"/>
      <c r="S233" s="671">
        <f>IF(COUNTIF(J233:K235,"CUMPLE")&gt;=1,(G233*I233),0)* (IF(N233="PRESENTÓ CERTIFICADO",1,0))* (IF(O233="ACORDE A ITEM 5.2.2 (T.R.)",1,0) )* ( IF(OR(Q233="SIN OBSERVACIÓN", Q233="REQUERIMIENTOS SUBSANADOS"),1,0)) *(IF(OR(R233="NINGUNO", R233="CUMPLEN CON LO SOLICITADO"),1,0))</f>
        <v>0</v>
      </c>
      <c r="T233" s="674"/>
      <c r="U233" s="677">
        <f>IF(COUNTIF(J233:K235,"CUMPLE")&gt;=1,1,0)</f>
        <v>0</v>
      </c>
    </row>
    <row r="234" spans="2:21" ht="21.75" hidden="1" customHeight="1">
      <c r="B234" s="652"/>
      <c r="C234" s="655"/>
      <c r="D234" s="655"/>
      <c r="E234" s="655"/>
      <c r="F234" s="655"/>
      <c r="G234" s="682"/>
      <c r="H234" s="685"/>
      <c r="I234" s="688"/>
      <c r="J234" s="183"/>
      <c r="K234" s="38">
        <f>+$K$14</f>
        <v>0</v>
      </c>
      <c r="L234" s="696"/>
      <c r="M234" s="678">
        <f>+$M$14</f>
        <v>0</v>
      </c>
      <c r="N234" s="691"/>
      <c r="O234" s="691"/>
      <c r="P234" s="694"/>
      <c r="Q234" s="567"/>
      <c r="R234" s="567"/>
      <c r="S234" s="672"/>
      <c r="T234" s="675"/>
      <c r="U234" s="677"/>
    </row>
    <row r="235" spans="2:21" ht="21.75" hidden="1" customHeight="1">
      <c r="B235" s="653"/>
      <c r="C235" s="656"/>
      <c r="D235" s="656"/>
      <c r="E235" s="656"/>
      <c r="F235" s="656"/>
      <c r="G235" s="683"/>
      <c r="H235" s="686"/>
      <c r="I235" s="689"/>
      <c r="J235" s="183"/>
      <c r="K235" s="38">
        <f>+$K$15</f>
        <v>0</v>
      </c>
      <c r="L235" s="697"/>
      <c r="M235" s="680"/>
      <c r="N235" s="692"/>
      <c r="O235" s="692"/>
      <c r="P235" s="695"/>
      <c r="Q235" s="545"/>
      <c r="R235" s="545"/>
      <c r="S235" s="673"/>
      <c r="T235" s="675"/>
      <c r="U235" s="677"/>
    </row>
    <row r="236" spans="2:21" ht="23.25" hidden="1" customHeight="1">
      <c r="B236" s="651">
        <v>2</v>
      </c>
      <c r="C236" s="712"/>
      <c r="D236" s="712"/>
      <c r="E236" s="712"/>
      <c r="F236" s="712"/>
      <c r="G236" s="715"/>
      <c r="H236" s="684"/>
      <c r="I236" s="687"/>
      <c r="J236" s="183"/>
      <c r="K236" s="38">
        <f>+$K$13</f>
        <v>0</v>
      </c>
      <c r="L236" s="183"/>
      <c r="M236" s="38">
        <f>+$M$13</f>
        <v>0</v>
      </c>
      <c r="N236" s="690"/>
      <c r="O236" s="690"/>
      <c r="P236" s="693"/>
      <c r="Q236" s="544"/>
      <c r="R236" s="544"/>
      <c r="S236" s="671">
        <f>IF(COUNTIF(J236:K238,"CUMPLE")&gt;=1,(G236*I236),0)* (IF(N236="PRESENTÓ CERTIFICADO",1,0))* (IF(O236="ACORDE A ITEM 5.2.2 (T.R.)",1,0) )* ( IF(OR(Q236="SIN OBSERVACIÓN", Q236="REQUERIMIENTOS SUBSANADOS"),1,0)) *(IF(OR(R236="NINGUNO", R236="CUMPLEN CON LO SOLICITADO"),1,0))</f>
        <v>0</v>
      </c>
      <c r="T236" s="675"/>
      <c r="U236" s="677">
        <f>IF(COUNTIF(J236:K238,"CUMPLE")&gt;=1,1,0)</f>
        <v>0</v>
      </c>
    </row>
    <row r="237" spans="2:21" ht="23.25" hidden="1" customHeight="1">
      <c r="B237" s="652"/>
      <c r="C237" s="713"/>
      <c r="D237" s="713"/>
      <c r="E237" s="713"/>
      <c r="F237" s="713"/>
      <c r="G237" s="716"/>
      <c r="H237" s="685"/>
      <c r="I237" s="688"/>
      <c r="J237" s="183"/>
      <c r="K237" s="38">
        <f>+$K$14</f>
        <v>0</v>
      </c>
      <c r="L237" s="696"/>
      <c r="M237" s="678">
        <f>+$M$14</f>
        <v>0</v>
      </c>
      <c r="N237" s="691"/>
      <c r="O237" s="691"/>
      <c r="P237" s="694"/>
      <c r="Q237" s="567"/>
      <c r="R237" s="567"/>
      <c r="S237" s="672"/>
      <c r="T237" s="675"/>
      <c r="U237" s="677"/>
    </row>
    <row r="238" spans="2:21" ht="23.25" hidden="1" customHeight="1">
      <c r="B238" s="653"/>
      <c r="C238" s="714"/>
      <c r="D238" s="714"/>
      <c r="E238" s="714"/>
      <c r="F238" s="714"/>
      <c r="G238" s="717"/>
      <c r="H238" s="686"/>
      <c r="I238" s="689"/>
      <c r="J238" s="183"/>
      <c r="K238" s="38">
        <f>+$K$15</f>
        <v>0</v>
      </c>
      <c r="L238" s="697"/>
      <c r="M238" s="680"/>
      <c r="N238" s="692"/>
      <c r="O238" s="692"/>
      <c r="P238" s="695"/>
      <c r="Q238" s="545"/>
      <c r="R238" s="545"/>
      <c r="S238" s="673"/>
      <c r="T238" s="675"/>
      <c r="U238" s="677"/>
    </row>
    <row r="239" spans="2:21" ht="23.25" hidden="1" customHeight="1">
      <c r="B239" s="651">
        <v>3</v>
      </c>
      <c r="C239" s="654"/>
      <c r="D239" s="654"/>
      <c r="E239" s="654"/>
      <c r="F239" s="654"/>
      <c r="G239" s="681"/>
      <c r="H239" s="684"/>
      <c r="I239" s="687"/>
      <c r="J239" s="183"/>
      <c r="K239" s="38">
        <f>+$K$13</f>
        <v>0</v>
      </c>
      <c r="L239" s="183"/>
      <c r="M239" s="38">
        <f>+$M$13</f>
        <v>0</v>
      </c>
      <c r="N239" s="690"/>
      <c r="O239" s="690"/>
      <c r="P239" s="693"/>
      <c r="Q239" s="544"/>
      <c r="R239" s="544"/>
      <c r="S239" s="671">
        <f>IF(COUNTIF(J239:K241,"CUMPLE")&gt;=1,(G239*I239),0)* (IF(N239="PRESENTÓ CERTIFICADO",1,0))* (IF(O239="ACORDE A ITEM 5.2.2 (T.R.)",1,0) )* ( IF(OR(Q239="SIN OBSERVACIÓN", Q239="REQUERIMIENTOS SUBSANADOS"),1,0)) *(IF(OR(R239="NINGUNO", R239="CUMPLEN CON LO SOLICITADO"),1,0))</f>
        <v>0</v>
      </c>
      <c r="T239" s="675"/>
      <c r="U239" s="677">
        <f>IF(COUNTIF(J239:K241,"CUMPLE")&gt;=1,1,0)</f>
        <v>0</v>
      </c>
    </row>
    <row r="240" spans="2:21" ht="23.25" hidden="1" customHeight="1">
      <c r="B240" s="652"/>
      <c r="C240" s="655"/>
      <c r="D240" s="655"/>
      <c r="E240" s="655"/>
      <c r="F240" s="655"/>
      <c r="G240" s="682"/>
      <c r="H240" s="685"/>
      <c r="I240" s="688"/>
      <c r="J240" s="183"/>
      <c r="K240" s="38">
        <f>+$K$14</f>
        <v>0</v>
      </c>
      <c r="L240" s="696"/>
      <c r="M240" s="678">
        <f>+$M$14</f>
        <v>0</v>
      </c>
      <c r="N240" s="691"/>
      <c r="O240" s="691"/>
      <c r="P240" s="694"/>
      <c r="Q240" s="567"/>
      <c r="R240" s="567"/>
      <c r="S240" s="672"/>
      <c r="T240" s="675"/>
      <c r="U240" s="677"/>
    </row>
    <row r="241" spans="2:21" ht="23.25" hidden="1" customHeight="1">
      <c r="B241" s="653"/>
      <c r="C241" s="656"/>
      <c r="D241" s="656"/>
      <c r="E241" s="656"/>
      <c r="F241" s="656"/>
      <c r="G241" s="683"/>
      <c r="H241" s="686"/>
      <c r="I241" s="689"/>
      <c r="J241" s="183"/>
      <c r="K241" s="38">
        <f>+$K$15</f>
        <v>0</v>
      </c>
      <c r="L241" s="697"/>
      <c r="M241" s="680"/>
      <c r="N241" s="692"/>
      <c r="O241" s="692"/>
      <c r="P241" s="695"/>
      <c r="Q241" s="545"/>
      <c r="R241" s="545"/>
      <c r="S241" s="673"/>
      <c r="T241" s="675"/>
      <c r="U241" s="677"/>
    </row>
    <row r="242" spans="2:21" ht="23.25" hidden="1" customHeight="1">
      <c r="B242" s="651">
        <v>4</v>
      </c>
      <c r="C242" s="712"/>
      <c r="D242" s="712"/>
      <c r="E242" s="712"/>
      <c r="F242" s="712"/>
      <c r="G242" s="715"/>
      <c r="H242" s="684"/>
      <c r="I242" s="709"/>
      <c r="J242" s="183"/>
      <c r="K242" s="38">
        <f>+$K$13</f>
        <v>0</v>
      </c>
      <c r="L242" s="183"/>
      <c r="M242" s="38">
        <f>+$M$13</f>
        <v>0</v>
      </c>
      <c r="N242" s="690"/>
      <c r="O242" s="690"/>
      <c r="P242" s="693"/>
      <c r="Q242" s="544"/>
      <c r="R242" s="544"/>
      <c r="S242" s="671">
        <f>IF(COUNTIF(J242:K244,"CUMPLE")&gt;=1,(G242*I242),0)* (IF(N242="PRESENTÓ CERTIFICADO",1,0))* (IF(O242="ACORDE A ITEM 5.2.2 (T.R.)",1,0) )* ( IF(OR(Q242="SIN OBSERVACIÓN", Q242="REQUERIMIENTOS SUBSANADOS"),1,0)) *(IF(OR(R242="NINGUNO", R242="CUMPLEN CON LO SOLICITADO"),1,0))</f>
        <v>0</v>
      </c>
      <c r="T242" s="675"/>
      <c r="U242" s="677">
        <f>IF(COUNTIF(L242:M244,"CUMPLE")&gt;=1,1,0)</f>
        <v>0</v>
      </c>
    </row>
    <row r="243" spans="2:21" ht="23.25" hidden="1" customHeight="1">
      <c r="B243" s="652"/>
      <c r="C243" s="713"/>
      <c r="D243" s="713"/>
      <c r="E243" s="713"/>
      <c r="F243" s="713"/>
      <c r="G243" s="716"/>
      <c r="H243" s="685"/>
      <c r="I243" s="710"/>
      <c r="J243" s="183"/>
      <c r="K243" s="38">
        <f>+$K$14</f>
        <v>0</v>
      </c>
      <c r="L243" s="696"/>
      <c r="M243" s="678">
        <f>+$M$14</f>
        <v>0</v>
      </c>
      <c r="N243" s="691"/>
      <c r="O243" s="691"/>
      <c r="P243" s="694"/>
      <c r="Q243" s="567"/>
      <c r="R243" s="567"/>
      <c r="S243" s="672"/>
      <c r="T243" s="675"/>
      <c r="U243" s="677"/>
    </row>
    <row r="244" spans="2:21" ht="23.25" hidden="1" customHeight="1">
      <c r="B244" s="653"/>
      <c r="C244" s="714"/>
      <c r="D244" s="714"/>
      <c r="E244" s="714"/>
      <c r="F244" s="714"/>
      <c r="G244" s="717"/>
      <c r="H244" s="686"/>
      <c r="I244" s="711"/>
      <c r="J244" s="183"/>
      <c r="K244" s="38">
        <f>+$K$15</f>
        <v>0</v>
      </c>
      <c r="L244" s="697"/>
      <c r="M244" s="680"/>
      <c r="N244" s="692"/>
      <c r="O244" s="692"/>
      <c r="P244" s="695"/>
      <c r="Q244" s="545"/>
      <c r="R244" s="545"/>
      <c r="S244" s="673"/>
      <c r="T244" s="675"/>
      <c r="U244" s="677"/>
    </row>
    <row r="245" spans="2:21" ht="23.25" hidden="1" customHeight="1">
      <c r="B245" s="651">
        <v>5</v>
      </c>
      <c r="C245" s="654"/>
      <c r="D245" s="654"/>
      <c r="E245" s="654"/>
      <c r="F245" s="654"/>
      <c r="G245" s="681"/>
      <c r="H245" s="684"/>
      <c r="I245" s="687"/>
      <c r="J245" s="183"/>
      <c r="K245" s="38">
        <f>+$K$13</f>
        <v>0</v>
      </c>
      <c r="L245" s="183"/>
      <c r="M245" s="38">
        <f>+$M$13</f>
        <v>0</v>
      </c>
      <c r="N245" s="690"/>
      <c r="O245" s="690"/>
      <c r="P245" s="693"/>
      <c r="Q245" s="544"/>
      <c r="R245" s="544"/>
      <c r="S245" s="671">
        <f>IF(COUNTIF(J245:K247,"CUMPLE")&gt;=1,(G245*I245),0)* (IF(N245="PRESENTÓ CERTIFICADO",1,0))* (IF(O245="ACORDE A ITEM 5.2.2 (T.R.)",1,0) )* ( IF(OR(Q245="SIN OBSERVACIÓN", Q245="REQUERIMIENTOS SUBSANADOS"),1,0)) *(IF(OR(R245="NINGUNO", R245="CUMPLEN CON LO SOLICITADO"),1,0))</f>
        <v>0</v>
      </c>
      <c r="T245" s="675"/>
      <c r="U245" s="677">
        <f>IF(COUNTIF(L245:M247,"CUMPLE")&gt;=1,1,0)</f>
        <v>0</v>
      </c>
    </row>
    <row r="246" spans="2:21" ht="23.25" hidden="1" customHeight="1">
      <c r="B246" s="652"/>
      <c r="C246" s="655"/>
      <c r="D246" s="655"/>
      <c r="E246" s="655"/>
      <c r="F246" s="655"/>
      <c r="G246" s="682"/>
      <c r="H246" s="685"/>
      <c r="I246" s="688"/>
      <c r="J246" s="183"/>
      <c r="K246" s="38">
        <f>+$K$14</f>
        <v>0</v>
      </c>
      <c r="L246" s="696"/>
      <c r="M246" s="678">
        <f>+$M$14</f>
        <v>0</v>
      </c>
      <c r="N246" s="691"/>
      <c r="O246" s="691"/>
      <c r="P246" s="694"/>
      <c r="Q246" s="567"/>
      <c r="R246" s="567"/>
      <c r="S246" s="672"/>
      <c r="T246" s="675"/>
      <c r="U246" s="677"/>
    </row>
    <row r="247" spans="2:21" ht="23.25" hidden="1" customHeight="1">
      <c r="B247" s="653"/>
      <c r="C247" s="656"/>
      <c r="D247" s="656"/>
      <c r="E247" s="656"/>
      <c r="F247" s="656"/>
      <c r="G247" s="683"/>
      <c r="H247" s="686"/>
      <c r="I247" s="689"/>
      <c r="J247" s="183"/>
      <c r="K247" s="38">
        <f>+$K$15</f>
        <v>0</v>
      </c>
      <c r="L247" s="697"/>
      <c r="M247" s="680"/>
      <c r="N247" s="692"/>
      <c r="O247" s="692"/>
      <c r="P247" s="695"/>
      <c r="Q247" s="545"/>
      <c r="R247" s="545"/>
      <c r="S247" s="673"/>
      <c r="T247" s="676"/>
      <c r="U247" s="677"/>
    </row>
    <row r="248" spans="2:21" ht="18" hidden="1" customHeight="1">
      <c r="B248" s="698" t="str">
        <f>IF(S249=" "," ",IF(S249&gt;=$H$6,"CUMPLE CON LA EXPERIENCIA REQUERIDA","NO CUMPLE CON LA EXPERIENCIA REQUERIDA"))</f>
        <v>NO CUMPLE CON LA EXPERIENCIA REQUERIDA</v>
      </c>
      <c r="C248" s="699"/>
      <c r="D248" s="699"/>
      <c r="E248" s="699"/>
      <c r="F248" s="699"/>
      <c r="G248" s="699"/>
      <c r="H248" s="699"/>
      <c r="I248" s="699"/>
      <c r="J248" s="699"/>
      <c r="K248" s="699"/>
      <c r="L248" s="699"/>
      <c r="M248" s="699"/>
      <c r="N248" s="699"/>
      <c r="O248" s="700"/>
      <c r="P248" s="704" t="s">
        <v>46</v>
      </c>
      <c r="Q248" s="705"/>
      <c r="R248" s="706"/>
      <c r="S248" s="44">
        <f>IF(T233="SI",SUM(S233:S247),0)</f>
        <v>0</v>
      </c>
      <c r="T248" s="707" t="str">
        <f>IF(S249=" "," ",IF(S249&gt;=$H$6,"CUMPLE","NO CUMPLE"))</f>
        <v>NO CUMPLE</v>
      </c>
      <c r="U248" s="28"/>
    </row>
    <row r="249" spans="2:21" ht="18" hidden="1" customHeight="1">
      <c r="B249" s="701"/>
      <c r="C249" s="702"/>
      <c r="D249" s="702"/>
      <c r="E249" s="702"/>
      <c r="F249" s="702"/>
      <c r="G249" s="702"/>
      <c r="H249" s="702"/>
      <c r="I249" s="702"/>
      <c r="J249" s="702"/>
      <c r="K249" s="702"/>
      <c r="L249" s="702"/>
      <c r="M249" s="702"/>
      <c r="N249" s="702"/>
      <c r="O249" s="703"/>
      <c r="P249" s="704" t="s">
        <v>47</v>
      </c>
      <c r="Q249" s="705"/>
      <c r="R249" s="706"/>
      <c r="S249" s="44">
        <f>IFERROR((S248/$P$6)," ")</f>
        <v>0</v>
      </c>
      <c r="T249" s="708"/>
      <c r="U249" s="41"/>
    </row>
    <row r="250" spans="2:21" hidden="1"/>
    <row r="251" spans="2:21" hidden="1"/>
    <row r="252" spans="2:21" ht="34" hidden="1">
      <c r="B252" s="26">
        <v>12</v>
      </c>
      <c r="C252" s="660" t="s">
        <v>25</v>
      </c>
      <c r="D252" s="661"/>
      <c r="E252" s="662"/>
      <c r="F252" s="663">
        <f>IFERROR(VLOOKUP(B252,LISTA_OFERENTES,2,FALSE)," ")</f>
        <v>0</v>
      </c>
      <c r="G252" s="664"/>
      <c r="H252" s="664"/>
      <c r="I252" s="664"/>
      <c r="J252" s="664"/>
      <c r="K252" s="664"/>
      <c r="L252" s="664"/>
      <c r="M252" s="664"/>
      <c r="N252" s="664"/>
      <c r="O252" s="665"/>
      <c r="P252" s="666" t="s">
        <v>26</v>
      </c>
      <c r="Q252" s="667"/>
      <c r="R252" s="668"/>
      <c r="S252" s="27">
        <f>5-(INT(COUNTBLANK(C255:C269))-10)</f>
        <v>0</v>
      </c>
      <c r="T252" s="28"/>
    </row>
    <row r="253" spans="2:21" ht="39.75" hidden="1" customHeight="1">
      <c r="B253" s="669" t="s">
        <v>27</v>
      </c>
      <c r="C253" s="643" t="s">
        <v>28</v>
      </c>
      <c r="D253" s="643" t="s">
        <v>29</v>
      </c>
      <c r="E253" s="643" t="s">
        <v>30</v>
      </c>
      <c r="F253" s="643" t="s">
        <v>31</v>
      </c>
      <c r="G253" s="643" t="s">
        <v>32</v>
      </c>
      <c r="H253" s="643" t="s">
        <v>33</v>
      </c>
      <c r="I253" s="643" t="s">
        <v>34</v>
      </c>
      <c r="J253" s="657" t="s">
        <v>35</v>
      </c>
      <c r="K253" s="658"/>
      <c r="L253" s="658"/>
      <c r="M253" s="659"/>
      <c r="N253" s="643" t="s">
        <v>36</v>
      </c>
      <c r="O253" s="643" t="s">
        <v>37</v>
      </c>
      <c r="P253" s="657" t="s">
        <v>38</v>
      </c>
      <c r="Q253" s="659"/>
      <c r="R253" s="643" t="s">
        <v>39</v>
      </c>
      <c r="S253" s="643" t="s">
        <v>40</v>
      </c>
      <c r="T253" s="643" t="str">
        <f>+$T$11</f>
        <v>Cumple con el requerimiento del numeral 6.2.2.2.1</v>
      </c>
      <c r="U253" s="643" t="str">
        <f>+$U$11</f>
        <v xml:space="preserve">VERIFICACIÓN CONDICIÓN DE EXPERIENCIA  </v>
      </c>
    </row>
    <row r="254" spans="2:21" ht="51.75" hidden="1" customHeight="1">
      <c r="B254" s="670"/>
      <c r="C254" s="644"/>
      <c r="D254" s="644"/>
      <c r="E254" s="644"/>
      <c r="F254" s="644"/>
      <c r="G254" s="644"/>
      <c r="H254" s="644"/>
      <c r="I254" s="644"/>
      <c r="J254" s="648" t="s">
        <v>43</v>
      </c>
      <c r="K254" s="649"/>
      <c r="L254" s="649"/>
      <c r="M254" s="650"/>
      <c r="N254" s="644"/>
      <c r="O254" s="644"/>
      <c r="P254" s="33" t="s">
        <v>10</v>
      </c>
      <c r="Q254" s="33" t="s">
        <v>44</v>
      </c>
      <c r="R254" s="644"/>
      <c r="S254" s="644"/>
      <c r="T254" s="644"/>
      <c r="U254" s="644"/>
    </row>
    <row r="255" spans="2:21" ht="28.5" hidden="1" customHeight="1">
      <c r="B255" s="651">
        <v>1</v>
      </c>
      <c r="C255" s="654"/>
      <c r="D255" s="654"/>
      <c r="E255" s="654"/>
      <c r="F255" s="654"/>
      <c r="G255" s="681"/>
      <c r="H255" s="684"/>
      <c r="I255" s="687"/>
      <c r="J255" s="183"/>
      <c r="K255" s="38">
        <f>+$K$13</f>
        <v>0</v>
      </c>
      <c r="L255" s="183"/>
      <c r="M255" s="38">
        <f>+$M$13</f>
        <v>0</v>
      </c>
      <c r="N255" s="690"/>
      <c r="O255" s="690"/>
      <c r="P255" s="693"/>
      <c r="Q255" s="544"/>
      <c r="R255" s="544"/>
      <c r="S255" s="671">
        <f>IF(COUNTIF(J255:K257,"CUMPLE")&gt;=1,(G255*I255),0)* (IF(N255="PRESENTÓ CERTIFICADO",1,0))* (IF(O255="ACORDE A ITEM 5.2.2 (T.R.)",1,0) )* ( IF(OR(Q255="SIN OBSERVACIÓN", Q255="REQUERIMIENTOS SUBSANADOS"),1,0)) *(IF(OR(R255="NINGUNO", R255="CUMPLEN CON LO SOLICITADO"),1,0))</f>
        <v>0</v>
      </c>
      <c r="T255" s="674" t="s">
        <v>155</v>
      </c>
      <c r="U255" s="677">
        <f>IF(COUNTIF(J255:K257,"CUMPLE")&gt;=1,1,0)</f>
        <v>0</v>
      </c>
    </row>
    <row r="256" spans="2:21" ht="28.5" hidden="1" customHeight="1">
      <c r="B256" s="652"/>
      <c r="C256" s="655"/>
      <c r="D256" s="655"/>
      <c r="E256" s="655"/>
      <c r="F256" s="655"/>
      <c r="G256" s="682"/>
      <c r="H256" s="685"/>
      <c r="I256" s="688"/>
      <c r="J256" s="183"/>
      <c r="K256" s="38">
        <f>+$K$14</f>
        <v>0</v>
      </c>
      <c r="L256" s="696"/>
      <c r="M256" s="678">
        <f>+$M$14</f>
        <v>0</v>
      </c>
      <c r="N256" s="691"/>
      <c r="O256" s="691"/>
      <c r="P256" s="694"/>
      <c r="Q256" s="567"/>
      <c r="R256" s="567"/>
      <c r="S256" s="672"/>
      <c r="T256" s="675"/>
      <c r="U256" s="677"/>
    </row>
    <row r="257" spans="2:21" ht="28.5" hidden="1" customHeight="1">
      <c r="B257" s="653"/>
      <c r="C257" s="656"/>
      <c r="D257" s="656"/>
      <c r="E257" s="656"/>
      <c r="F257" s="656"/>
      <c r="G257" s="683"/>
      <c r="H257" s="686"/>
      <c r="I257" s="689"/>
      <c r="J257" s="183"/>
      <c r="K257" s="38">
        <f>+$K$15</f>
        <v>0</v>
      </c>
      <c r="L257" s="697"/>
      <c r="M257" s="680"/>
      <c r="N257" s="692"/>
      <c r="O257" s="692"/>
      <c r="P257" s="695"/>
      <c r="Q257" s="545"/>
      <c r="R257" s="545"/>
      <c r="S257" s="673"/>
      <c r="T257" s="675"/>
      <c r="U257" s="677"/>
    </row>
    <row r="258" spans="2:21" ht="28.5" hidden="1" customHeight="1">
      <c r="B258" s="651">
        <v>2</v>
      </c>
      <c r="C258" s="712"/>
      <c r="D258" s="712"/>
      <c r="E258" s="712"/>
      <c r="F258" s="712"/>
      <c r="G258" s="715"/>
      <c r="H258" s="684"/>
      <c r="I258" s="687"/>
      <c r="J258" s="183"/>
      <c r="K258" s="38">
        <f>+$K$13</f>
        <v>0</v>
      </c>
      <c r="L258" s="183"/>
      <c r="M258" s="38">
        <f>+$M$13</f>
        <v>0</v>
      </c>
      <c r="N258" s="690"/>
      <c r="O258" s="690"/>
      <c r="P258" s="693"/>
      <c r="Q258" s="544"/>
      <c r="R258" s="544"/>
      <c r="S258" s="671">
        <f>IF(COUNTIF(J258:K260,"CUMPLE")&gt;=1,(G258*I258),0)* (IF(N258="PRESENTÓ CERTIFICADO",1,0))* (IF(O258="ACORDE A ITEM 5.2.2 (T.R.)",1,0) )* ( IF(OR(Q258="SIN OBSERVACIÓN", Q258="REQUERIMIENTOS SUBSANADOS"),1,0)) *(IF(OR(R258="NINGUNO", R258="CUMPLEN CON LO SOLICITADO"),1,0))</f>
        <v>0</v>
      </c>
      <c r="T258" s="675"/>
      <c r="U258" s="677">
        <f t="shared" ref="U258" si="50">IF(COUNTIF(J258:K260,"CUMPLE")&gt;=1,1,0)</f>
        <v>0</v>
      </c>
    </row>
    <row r="259" spans="2:21" ht="28.5" hidden="1" customHeight="1">
      <c r="B259" s="652"/>
      <c r="C259" s="713"/>
      <c r="D259" s="713"/>
      <c r="E259" s="713"/>
      <c r="F259" s="713"/>
      <c r="G259" s="716"/>
      <c r="H259" s="685"/>
      <c r="I259" s="688"/>
      <c r="J259" s="183"/>
      <c r="K259" s="38">
        <f>+$K$14</f>
        <v>0</v>
      </c>
      <c r="L259" s="696"/>
      <c r="M259" s="678">
        <f>+$M$14</f>
        <v>0</v>
      </c>
      <c r="N259" s="691"/>
      <c r="O259" s="691"/>
      <c r="P259" s="694"/>
      <c r="Q259" s="567"/>
      <c r="R259" s="567"/>
      <c r="S259" s="672"/>
      <c r="T259" s="675"/>
      <c r="U259" s="677"/>
    </row>
    <row r="260" spans="2:21" ht="28.5" hidden="1" customHeight="1">
      <c r="B260" s="653"/>
      <c r="C260" s="714"/>
      <c r="D260" s="714"/>
      <c r="E260" s="714"/>
      <c r="F260" s="714"/>
      <c r="G260" s="717"/>
      <c r="H260" s="686"/>
      <c r="I260" s="689"/>
      <c r="J260" s="183"/>
      <c r="K260" s="38">
        <f>+$K$15</f>
        <v>0</v>
      </c>
      <c r="L260" s="697"/>
      <c r="M260" s="680"/>
      <c r="N260" s="692"/>
      <c r="O260" s="692"/>
      <c r="P260" s="695"/>
      <c r="Q260" s="545"/>
      <c r="R260" s="545"/>
      <c r="S260" s="673"/>
      <c r="T260" s="675"/>
      <c r="U260" s="677"/>
    </row>
    <row r="261" spans="2:21" ht="28.5" hidden="1" customHeight="1">
      <c r="B261" s="651">
        <v>3</v>
      </c>
      <c r="C261" s="654"/>
      <c r="D261" s="654"/>
      <c r="E261" s="654"/>
      <c r="F261" s="654"/>
      <c r="G261" s="681"/>
      <c r="H261" s="684"/>
      <c r="I261" s="687"/>
      <c r="J261" s="183"/>
      <c r="K261" s="38">
        <f>+$K$13</f>
        <v>0</v>
      </c>
      <c r="L261" s="183"/>
      <c r="M261" s="38">
        <f>+$M$13</f>
        <v>0</v>
      </c>
      <c r="N261" s="690"/>
      <c r="O261" s="690"/>
      <c r="P261" s="693"/>
      <c r="Q261" s="544"/>
      <c r="R261" s="544"/>
      <c r="S261" s="671">
        <f>IF(COUNTIF(J261:K263,"CUMPLE")&gt;=1,(G261*I261),0)* (IF(N261="PRESENTÓ CERTIFICADO",1,0))* (IF(O261="ACORDE A ITEM 5.2.2 (T.R.)",1,0) )* ( IF(OR(Q261="SIN OBSERVACIÓN", Q261="REQUERIMIENTOS SUBSANADOS"),1,0)) *(IF(OR(R261="NINGUNO", R261="CUMPLEN CON LO SOLICITADO"),1,0))</f>
        <v>0</v>
      </c>
      <c r="T261" s="675"/>
      <c r="U261" s="677">
        <f t="shared" ref="U261" si="51">IF(COUNTIF(J261:K263,"CUMPLE")&gt;=1,1,0)</f>
        <v>0</v>
      </c>
    </row>
    <row r="262" spans="2:21" ht="28.5" hidden="1" customHeight="1">
      <c r="B262" s="652"/>
      <c r="C262" s="655"/>
      <c r="D262" s="655"/>
      <c r="E262" s="655"/>
      <c r="F262" s="655"/>
      <c r="G262" s="682"/>
      <c r="H262" s="685"/>
      <c r="I262" s="688"/>
      <c r="J262" s="183"/>
      <c r="K262" s="38">
        <f>+$K$14</f>
        <v>0</v>
      </c>
      <c r="L262" s="696"/>
      <c r="M262" s="678">
        <f>+$M$14</f>
        <v>0</v>
      </c>
      <c r="N262" s="691"/>
      <c r="O262" s="691"/>
      <c r="P262" s="694"/>
      <c r="Q262" s="567"/>
      <c r="R262" s="567"/>
      <c r="S262" s="672"/>
      <c r="T262" s="675"/>
      <c r="U262" s="677"/>
    </row>
    <row r="263" spans="2:21" ht="28.5" hidden="1" customHeight="1">
      <c r="B263" s="653"/>
      <c r="C263" s="656"/>
      <c r="D263" s="656"/>
      <c r="E263" s="656"/>
      <c r="F263" s="656"/>
      <c r="G263" s="683"/>
      <c r="H263" s="686"/>
      <c r="I263" s="689"/>
      <c r="J263" s="183"/>
      <c r="K263" s="38">
        <f>+$K$15</f>
        <v>0</v>
      </c>
      <c r="L263" s="697"/>
      <c r="M263" s="680"/>
      <c r="N263" s="692"/>
      <c r="O263" s="692"/>
      <c r="P263" s="695"/>
      <c r="Q263" s="545"/>
      <c r="R263" s="545"/>
      <c r="S263" s="673"/>
      <c r="T263" s="675"/>
      <c r="U263" s="677"/>
    </row>
    <row r="264" spans="2:21" ht="28.5" hidden="1" customHeight="1">
      <c r="B264" s="651">
        <v>4</v>
      </c>
      <c r="C264" s="712"/>
      <c r="D264" s="712"/>
      <c r="E264" s="712"/>
      <c r="F264" s="712"/>
      <c r="G264" s="715"/>
      <c r="H264" s="684"/>
      <c r="I264" s="687"/>
      <c r="J264" s="183"/>
      <c r="K264" s="38">
        <f>+$K$13</f>
        <v>0</v>
      </c>
      <c r="L264" s="183"/>
      <c r="M264" s="38">
        <f>+$M$13</f>
        <v>0</v>
      </c>
      <c r="N264" s="690"/>
      <c r="O264" s="690"/>
      <c r="P264" s="693"/>
      <c r="Q264" s="544"/>
      <c r="R264" s="544"/>
      <c r="S264" s="671">
        <f>IF(COUNTIF(J264:K266,"CUMPLE")&gt;=1,(G264*I264),0)* (IF(N264="PRESENTÓ CERTIFICADO",1,0))* (IF(O264="ACORDE A ITEM 5.2.2 (T.R.)",1,0) )* ( IF(OR(Q264="SIN OBSERVACIÓN", Q264="REQUERIMIENTOS SUBSANADOS"),1,0)) *(IF(OR(R264="NINGUNO", R264="CUMPLEN CON LO SOLICITADO"),1,0))</f>
        <v>0</v>
      </c>
      <c r="T264" s="675"/>
      <c r="U264" s="677">
        <f t="shared" ref="U264" si="52">IF(COUNTIF(J264:K266,"CUMPLE")&gt;=1,1,0)</f>
        <v>0</v>
      </c>
    </row>
    <row r="265" spans="2:21" ht="28.5" hidden="1" customHeight="1">
      <c r="B265" s="652"/>
      <c r="C265" s="713"/>
      <c r="D265" s="713"/>
      <c r="E265" s="713"/>
      <c r="F265" s="713"/>
      <c r="G265" s="716"/>
      <c r="H265" s="685"/>
      <c r="I265" s="688"/>
      <c r="J265" s="183"/>
      <c r="K265" s="38">
        <f>+$K$14</f>
        <v>0</v>
      </c>
      <c r="L265" s="696"/>
      <c r="M265" s="678">
        <f>+$M$14</f>
        <v>0</v>
      </c>
      <c r="N265" s="691"/>
      <c r="O265" s="691"/>
      <c r="P265" s="694"/>
      <c r="Q265" s="567"/>
      <c r="R265" s="567"/>
      <c r="S265" s="672"/>
      <c r="T265" s="675"/>
      <c r="U265" s="677"/>
    </row>
    <row r="266" spans="2:21" ht="28.5" hidden="1" customHeight="1">
      <c r="B266" s="653"/>
      <c r="C266" s="714"/>
      <c r="D266" s="714"/>
      <c r="E266" s="714"/>
      <c r="F266" s="714"/>
      <c r="G266" s="717"/>
      <c r="H266" s="686"/>
      <c r="I266" s="689"/>
      <c r="J266" s="183"/>
      <c r="K266" s="38">
        <f>+$K$15</f>
        <v>0</v>
      </c>
      <c r="L266" s="697"/>
      <c r="M266" s="680"/>
      <c r="N266" s="692"/>
      <c r="O266" s="692"/>
      <c r="P266" s="695"/>
      <c r="Q266" s="545"/>
      <c r="R266" s="545"/>
      <c r="S266" s="673"/>
      <c r="T266" s="675"/>
      <c r="U266" s="677"/>
    </row>
    <row r="267" spans="2:21" ht="28.5" hidden="1" customHeight="1">
      <c r="B267" s="651">
        <v>5</v>
      </c>
      <c r="C267" s="654"/>
      <c r="D267" s="654"/>
      <c r="E267" s="654"/>
      <c r="F267" s="654"/>
      <c r="G267" s="681"/>
      <c r="H267" s="684"/>
      <c r="I267" s="687"/>
      <c r="J267" s="183"/>
      <c r="K267" s="38">
        <f>+$K$13</f>
        <v>0</v>
      </c>
      <c r="L267" s="183"/>
      <c r="M267" s="38">
        <f>+$M$13</f>
        <v>0</v>
      </c>
      <c r="N267" s="690"/>
      <c r="O267" s="690"/>
      <c r="P267" s="693"/>
      <c r="Q267" s="544"/>
      <c r="R267" s="544"/>
      <c r="S267" s="671">
        <f>IF(COUNTIF(J267:K269,"CUMPLE")&gt;=1,(G267*I267),0)* (IF(N267="PRESENTÓ CERTIFICADO",1,0))* (IF(O267="ACORDE A ITEM 5.2.2 (T.R.)",1,0) )* ( IF(OR(Q267="SIN OBSERVACIÓN", Q267="REQUERIMIENTOS SUBSANADOS"),1,0)) *(IF(OR(R267="NINGUNO", R267="CUMPLEN CON LO SOLICITADO"),1,0))</f>
        <v>0</v>
      </c>
      <c r="T267" s="675"/>
      <c r="U267" s="677">
        <f t="shared" ref="U267" si="53">IF(COUNTIF(J267:K269,"CUMPLE")&gt;=1,1,0)</f>
        <v>0</v>
      </c>
    </row>
    <row r="268" spans="2:21" ht="28.5" hidden="1" customHeight="1">
      <c r="B268" s="652"/>
      <c r="C268" s="655"/>
      <c r="D268" s="655"/>
      <c r="E268" s="655"/>
      <c r="F268" s="655"/>
      <c r="G268" s="682"/>
      <c r="H268" s="685"/>
      <c r="I268" s="688"/>
      <c r="J268" s="183"/>
      <c r="K268" s="38">
        <f>+$K$14</f>
        <v>0</v>
      </c>
      <c r="L268" s="696"/>
      <c r="M268" s="678">
        <f>+$M$14</f>
        <v>0</v>
      </c>
      <c r="N268" s="691"/>
      <c r="O268" s="691"/>
      <c r="P268" s="694"/>
      <c r="Q268" s="567"/>
      <c r="R268" s="567"/>
      <c r="S268" s="672"/>
      <c r="T268" s="675"/>
      <c r="U268" s="677"/>
    </row>
    <row r="269" spans="2:21" ht="28.5" hidden="1" customHeight="1">
      <c r="B269" s="653"/>
      <c r="C269" s="656"/>
      <c r="D269" s="656"/>
      <c r="E269" s="656"/>
      <c r="F269" s="656"/>
      <c r="G269" s="683"/>
      <c r="H269" s="686"/>
      <c r="I269" s="689"/>
      <c r="J269" s="183"/>
      <c r="K269" s="38">
        <f>+$K$15</f>
        <v>0</v>
      </c>
      <c r="L269" s="697"/>
      <c r="M269" s="680"/>
      <c r="N269" s="692"/>
      <c r="O269" s="692"/>
      <c r="P269" s="695"/>
      <c r="Q269" s="545"/>
      <c r="R269" s="545"/>
      <c r="S269" s="673"/>
      <c r="T269" s="676"/>
      <c r="U269" s="677"/>
    </row>
    <row r="270" spans="2:21" ht="18" hidden="1" customHeight="1">
      <c r="B270" s="698" t="str">
        <f>IF(S271=" "," ",IF(S271&gt;=$H$6,"CUMPLE CON LA EXPERIENCIA REQUERIDA","NO CUMPLE CON LA EXPERIENCIA REQUERIDA"))</f>
        <v>NO CUMPLE CON LA EXPERIENCIA REQUERIDA</v>
      </c>
      <c r="C270" s="699"/>
      <c r="D270" s="699"/>
      <c r="E270" s="699"/>
      <c r="F270" s="699"/>
      <c r="G270" s="699"/>
      <c r="H270" s="699"/>
      <c r="I270" s="699"/>
      <c r="J270" s="699"/>
      <c r="K270" s="699"/>
      <c r="L270" s="699"/>
      <c r="M270" s="699"/>
      <c r="N270" s="699"/>
      <c r="O270" s="700"/>
      <c r="P270" s="704" t="s">
        <v>46</v>
      </c>
      <c r="Q270" s="705"/>
      <c r="R270" s="706"/>
      <c r="S270" s="44">
        <f>IF(T255="SI",SUM(S255:S269),0)</f>
        <v>0</v>
      </c>
      <c r="T270" s="707" t="str">
        <f>IF(S271=" "," ",IF(S271&gt;=$H$6,"CUMPLE","NO CUMPLE"))</f>
        <v>NO CUMPLE</v>
      </c>
      <c r="U270" s="28"/>
    </row>
    <row r="271" spans="2:21" ht="18" hidden="1" customHeight="1">
      <c r="B271" s="701"/>
      <c r="C271" s="702"/>
      <c r="D271" s="702"/>
      <c r="E271" s="702"/>
      <c r="F271" s="702"/>
      <c r="G271" s="702"/>
      <c r="H271" s="702"/>
      <c r="I271" s="702"/>
      <c r="J271" s="702"/>
      <c r="K271" s="702"/>
      <c r="L271" s="702"/>
      <c r="M271" s="702"/>
      <c r="N271" s="702"/>
      <c r="O271" s="703"/>
      <c r="P271" s="704" t="s">
        <v>47</v>
      </c>
      <c r="Q271" s="705"/>
      <c r="R271" s="706"/>
      <c r="S271" s="44">
        <f>IFERROR((S270/$P$6)," ")</f>
        <v>0</v>
      </c>
      <c r="T271" s="708"/>
      <c r="U271" s="41"/>
    </row>
    <row r="272" spans="2:21" hidden="1"/>
    <row r="273" spans="2:21" hidden="1"/>
    <row r="274" spans="2:21" ht="34" hidden="1">
      <c r="B274" s="26">
        <v>13</v>
      </c>
      <c r="C274" s="660" t="s">
        <v>25</v>
      </c>
      <c r="D274" s="661"/>
      <c r="E274" s="662"/>
      <c r="F274" s="663">
        <f>IFERROR(VLOOKUP(B274,LISTA_OFERENTES,2,FALSE)," ")</f>
        <v>0</v>
      </c>
      <c r="G274" s="664"/>
      <c r="H274" s="664"/>
      <c r="I274" s="664"/>
      <c r="J274" s="664"/>
      <c r="K274" s="664"/>
      <c r="L274" s="664"/>
      <c r="M274" s="664"/>
      <c r="N274" s="664"/>
      <c r="O274" s="665"/>
      <c r="P274" s="666" t="s">
        <v>26</v>
      </c>
      <c r="Q274" s="667"/>
      <c r="R274" s="668"/>
      <c r="S274" s="27">
        <f>5-(INT(COUNTBLANK(C277:C291))-10)</f>
        <v>0</v>
      </c>
      <c r="T274" s="28"/>
    </row>
    <row r="275" spans="2:21" ht="46.5" hidden="1" customHeight="1">
      <c r="B275" s="669" t="s">
        <v>27</v>
      </c>
      <c r="C275" s="643" t="s">
        <v>28</v>
      </c>
      <c r="D275" s="643" t="s">
        <v>29</v>
      </c>
      <c r="E275" s="643" t="s">
        <v>30</v>
      </c>
      <c r="F275" s="643" t="s">
        <v>31</v>
      </c>
      <c r="G275" s="643" t="s">
        <v>32</v>
      </c>
      <c r="H275" s="643" t="s">
        <v>33</v>
      </c>
      <c r="I275" s="643" t="s">
        <v>34</v>
      </c>
      <c r="J275" s="657" t="s">
        <v>35</v>
      </c>
      <c r="K275" s="658"/>
      <c r="L275" s="658"/>
      <c r="M275" s="659"/>
      <c r="N275" s="643" t="s">
        <v>36</v>
      </c>
      <c r="O275" s="643" t="s">
        <v>37</v>
      </c>
      <c r="P275" s="657" t="s">
        <v>38</v>
      </c>
      <c r="Q275" s="659"/>
      <c r="R275" s="643" t="s">
        <v>39</v>
      </c>
      <c r="S275" s="643" t="s">
        <v>40</v>
      </c>
      <c r="T275" s="643" t="str">
        <f>+$T$11</f>
        <v>Cumple con el requerimiento del numeral 6.2.2.2.1</v>
      </c>
      <c r="U275" s="643" t="str">
        <f>+$U$11</f>
        <v xml:space="preserve">VERIFICACIÓN CONDICIÓN DE EXPERIENCIA  </v>
      </c>
    </row>
    <row r="276" spans="2:21" ht="46.5" hidden="1" customHeight="1">
      <c r="B276" s="670"/>
      <c r="C276" s="644"/>
      <c r="D276" s="644"/>
      <c r="E276" s="644"/>
      <c r="F276" s="644"/>
      <c r="G276" s="644"/>
      <c r="H276" s="644"/>
      <c r="I276" s="644"/>
      <c r="J276" s="648" t="s">
        <v>43</v>
      </c>
      <c r="K276" s="649"/>
      <c r="L276" s="649"/>
      <c r="M276" s="650"/>
      <c r="N276" s="644"/>
      <c r="O276" s="644"/>
      <c r="P276" s="33" t="s">
        <v>10</v>
      </c>
      <c r="Q276" s="33" t="s">
        <v>44</v>
      </c>
      <c r="R276" s="644"/>
      <c r="S276" s="644"/>
      <c r="T276" s="644"/>
      <c r="U276" s="644"/>
    </row>
    <row r="277" spans="2:21" ht="29.25" hidden="1" customHeight="1">
      <c r="B277" s="651">
        <v>1</v>
      </c>
      <c r="C277" s="654"/>
      <c r="D277" s="654"/>
      <c r="E277" s="654"/>
      <c r="F277" s="654"/>
      <c r="G277" s="681"/>
      <c r="H277" s="684"/>
      <c r="I277" s="687"/>
      <c r="J277" s="183"/>
      <c r="K277" s="38">
        <f>+$K$13</f>
        <v>0</v>
      </c>
      <c r="L277" s="183"/>
      <c r="M277" s="38">
        <f>+$M$13</f>
        <v>0</v>
      </c>
      <c r="N277" s="690"/>
      <c r="O277" s="690"/>
      <c r="P277" s="693"/>
      <c r="Q277" s="544"/>
      <c r="R277" s="544"/>
      <c r="S277" s="671">
        <f>IF(COUNTIF(J277:K279,"CUMPLE")&gt;=1,(G277*I277),0)* (IF(N277="PRESENTÓ CERTIFICADO",1,0))* (IF(O277="ACORDE A ITEM 5.2.2 (T.R.)",1,0) )* ( IF(OR(Q277="SIN OBSERVACIÓN", Q277="REQUERIMIENTOS SUBSANADOS"),1,0)) *(IF(OR(R277="NINGUNO", R277="CUMPLEN CON LO SOLICITADO"),1,0))</f>
        <v>0</v>
      </c>
      <c r="T277" s="674"/>
      <c r="U277" s="677">
        <f>IF(COUNTIF(J277:K279,"CUMPLE")&gt;=1,1,0)</f>
        <v>0</v>
      </c>
    </row>
    <row r="278" spans="2:21" ht="29.25" hidden="1" customHeight="1">
      <c r="B278" s="652"/>
      <c r="C278" s="655"/>
      <c r="D278" s="655"/>
      <c r="E278" s="655"/>
      <c r="F278" s="655"/>
      <c r="G278" s="682"/>
      <c r="H278" s="685"/>
      <c r="I278" s="688"/>
      <c r="J278" s="183"/>
      <c r="K278" s="38">
        <f>+$K$14</f>
        <v>0</v>
      </c>
      <c r="L278" s="696"/>
      <c r="M278" s="678">
        <f>+$M$14</f>
        <v>0</v>
      </c>
      <c r="N278" s="691"/>
      <c r="O278" s="691"/>
      <c r="P278" s="694"/>
      <c r="Q278" s="567"/>
      <c r="R278" s="567"/>
      <c r="S278" s="672"/>
      <c r="T278" s="675"/>
      <c r="U278" s="677"/>
    </row>
    <row r="279" spans="2:21" ht="29.25" hidden="1" customHeight="1">
      <c r="B279" s="653"/>
      <c r="C279" s="656"/>
      <c r="D279" s="656"/>
      <c r="E279" s="656"/>
      <c r="F279" s="656"/>
      <c r="G279" s="683"/>
      <c r="H279" s="686"/>
      <c r="I279" s="689"/>
      <c r="J279" s="183"/>
      <c r="K279" s="38">
        <f>+$K$15</f>
        <v>0</v>
      </c>
      <c r="L279" s="697"/>
      <c r="M279" s="680"/>
      <c r="N279" s="692"/>
      <c r="O279" s="692"/>
      <c r="P279" s="695"/>
      <c r="Q279" s="545"/>
      <c r="R279" s="545"/>
      <c r="S279" s="673"/>
      <c r="T279" s="675"/>
      <c r="U279" s="677"/>
    </row>
    <row r="280" spans="2:21" ht="29.25" hidden="1" customHeight="1">
      <c r="B280" s="651">
        <v>2</v>
      </c>
      <c r="C280" s="712"/>
      <c r="D280" s="712"/>
      <c r="E280" s="712"/>
      <c r="F280" s="712"/>
      <c r="G280" s="715"/>
      <c r="H280" s="684"/>
      <c r="I280" s="709"/>
      <c r="J280" s="183"/>
      <c r="K280" s="38">
        <f>+$K$13</f>
        <v>0</v>
      </c>
      <c r="L280" s="183"/>
      <c r="M280" s="38">
        <f>+$M$13</f>
        <v>0</v>
      </c>
      <c r="N280" s="690"/>
      <c r="O280" s="690"/>
      <c r="P280" s="693"/>
      <c r="Q280" s="544"/>
      <c r="R280" s="544"/>
      <c r="S280" s="671">
        <f>IF(COUNTIF(J280:K282,"CUMPLE")&gt;=1,(G280*I280),0)* (IF(N280="PRESENTÓ CERTIFICADO",1,0))* (IF(O280="ACORDE A ITEM 5.2.2 (T.R.)",1,0) )* ( IF(OR(Q280="SIN OBSERVACIÓN", Q280="REQUERIMIENTOS SUBSANADOS"),1,0)) *(IF(OR(R280="NINGUNO", R280="CUMPLEN CON LO SOLICITADO"),1,0))</f>
        <v>0</v>
      </c>
      <c r="T280" s="675"/>
      <c r="U280" s="677">
        <f t="shared" ref="U280" si="54">IF(COUNTIF(J280:K282,"CUMPLE")&gt;=1,1,0)</f>
        <v>0</v>
      </c>
    </row>
    <row r="281" spans="2:21" ht="29.25" hidden="1" customHeight="1">
      <c r="B281" s="652"/>
      <c r="C281" s="713"/>
      <c r="D281" s="713"/>
      <c r="E281" s="713"/>
      <c r="F281" s="713"/>
      <c r="G281" s="716"/>
      <c r="H281" s="685"/>
      <c r="I281" s="710"/>
      <c r="J281" s="183"/>
      <c r="K281" s="38">
        <f>+$K$14</f>
        <v>0</v>
      </c>
      <c r="L281" s="696"/>
      <c r="M281" s="678">
        <f>+$M$14</f>
        <v>0</v>
      </c>
      <c r="N281" s="691"/>
      <c r="O281" s="691"/>
      <c r="P281" s="694"/>
      <c r="Q281" s="567"/>
      <c r="R281" s="567"/>
      <c r="S281" s="672"/>
      <c r="T281" s="675"/>
      <c r="U281" s="677"/>
    </row>
    <row r="282" spans="2:21" ht="29.25" hidden="1" customHeight="1">
      <c r="B282" s="653"/>
      <c r="C282" s="714"/>
      <c r="D282" s="714"/>
      <c r="E282" s="714"/>
      <c r="F282" s="714"/>
      <c r="G282" s="717"/>
      <c r="H282" s="686"/>
      <c r="I282" s="711"/>
      <c r="J282" s="183"/>
      <c r="K282" s="38">
        <f>+$K$15</f>
        <v>0</v>
      </c>
      <c r="L282" s="697"/>
      <c r="M282" s="680"/>
      <c r="N282" s="692"/>
      <c r="O282" s="692"/>
      <c r="P282" s="695"/>
      <c r="Q282" s="545"/>
      <c r="R282" s="545"/>
      <c r="S282" s="673"/>
      <c r="T282" s="675"/>
      <c r="U282" s="677"/>
    </row>
    <row r="283" spans="2:21" ht="29.25" hidden="1" customHeight="1">
      <c r="B283" s="651">
        <v>3</v>
      </c>
      <c r="C283" s="654"/>
      <c r="D283" s="654"/>
      <c r="E283" s="654"/>
      <c r="F283" s="654"/>
      <c r="G283" s="681"/>
      <c r="H283" s="684"/>
      <c r="I283" s="687"/>
      <c r="J283" s="183"/>
      <c r="K283" s="38">
        <f>+$K$13</f>
        <v>0</v>
      </c>
      <c r="L283" s="183"/>
      <c r="M283" s="38">
        <f>+$M$13</f>
        <v>0</v>
      </c>
      <c r="N283" s="690"/>
      <c r="O283" s="690"/>
      <c r="P283" s="693"/>
      <c r="Q283" s="544"/>
      <c r="R283" s="544"/>
      <c r="S283" s="671">
        <f>IF(COUNTIF(J283:K285,"CUMPLE")&gt;=1,(G283*I283),0)* (IF(N283="PRESENTÓ CERTIFICADO",1,0))* (IF(O283="ACORDE A ITEM 5.2.2 (T.R.)",1,0) )* ( IF(OR(Q283="SIN OBSERVACIÓN", Q283="REQUERIMIENTOS SUBSANADOS"),1,0)) *(IF(OR(R283="NINGUNO", R283="CUMPLEN CON LO SOLICITADO"),1,0))</f>
        <v>0</v>
      </c>
      <c r="T283" s="675"/>
      <c r="U283" s="677">
        <f t="shared" ref="U283" si="55">IF(COUNTIF(J283:K285,"CUMPLE")&gt;=1,1,0)</f>
        <v>0</v>
      </c>
    </row>
    <row r="284" spans="2:21" ht="29.25" hidden="1" customHeight="1">
      <c r="B284" s="652"/>
      <c r="C284" s="655"/>
      <c r="D284" s="655"/>
      <c r="E284" s="655"/>
      <c r="F284" s="655"/>
      <c r="G284" s="682"/>
      <c r="H284" s="685"/>
      <c r="I284" s="688"/>
      <c r="J284" s="183"/>
      <c r="K284" s="38">
        <f>+$K$14</f>
        <v>0</v>
      </c>
      <c r="L284" s="696"/>
      <c r="M284" s="678">
        <f>+$M$14</f>
        <v>0</v>
      </c>
      <c r="N284" s="691"/>
      <c r="O284" s="691"/>
      <c r="P284" s="694"/>
      <c r="Q284" s="567"/>
      <c r="R284" s="567"/>
      <c r="S284" s="672"/>
      <c r="T284" s="675"/>
      <c r="U284" s="677"/>
    </row>
    <row r="285" spans="2:21" ht="29.25" hidden="1" customHeight="1">
      <c r="B285" s="653"/>
      <c r="C285" s="656"/>
      <c r="D285" s="656"/>
      <c r="E285" s="656"/>
      <c r="F285" s="656"/>
      <c r="G285" s="683"/>
      <c r="H285" s="686"/>
      <c r="I285" s="689"/>
      <c r="J285" s="183"/>
      <c r="K285" s="38">
        <f>+$K$15</f>
        <v>0</v>
      </c>
      <c r="L285" s="697"/>
      <c r="M285" s="680"/>
      <c r="N285" s="692"/>
      <c r="O285" s="692"/>
      <c r="P285" s="695"/>
      <c r="Q285" s="545"/>
      <c r="R285" s="545"/>
      <c r="S285" s="673"/>
      <c r="T285" s="675"/>
      <c r="U285" s="677"/>
    </row>
    <row r="286" spans="2:21" ht="29.25" hidden="1" customHeight="1">
      <c r="B286" s="651">
        <v>4</v>
      </c>
      <c r="C286" s="712"/>
      <c r="D286" s="712"/>
      <c r="E286" s="712"/>
      <c r="F286" s="712"/>
      <c r="G286" s="715"/>
      <c r="H286" s="684"/>
      <c r="I286" s="709"/>
      <c r="J286" s="183"/>
      <c r="K286" s="38">
        <f>+$K$13</f>
        <v>0</v>
      </c>
      <c r="L286" s="183"/>
      <c r="M286" s="38">
        <f>+$M$13</f>
        <v>0</v>
      </c>
      <c r="N286" s="690"/>
      <c r="O286" s="690"/>
      <c r="P286" s="693"/>
      <c r="Q286" s="544"/>
      <c r="R286" s="544"/>
      <c r="S286" s="671">
        <f>IF(COUNTIF(J286:K288,"CUMPLE")&gt;=1,(G286*I286),0)* (IF(N286="PRESENTÓ CERTIFICADO",1,0))* (IF(O286="ACORDE A ITEM 5.2.2 (T.R.)",1,0) )* ( IF(OR(Q286="SIN OBSERVACIÓN", Q286="REQUERIMIENTOS SUBSANADOS"),1,0)) *(IF(OR(R286="NINGUNO", R286="CUMPLEN CON LO SOLICITADO"),1,0))</f>
        <v>0</v>
      </c>
      <c r="T286" s="675"/>
      <c r="U286" s="677">
        <f>IF(COUNTIF(L286:M288,"CUMPLE")&gt;=1,1,0)</f>
        <v>0</v>
      </c>
    </row>
    <row r="287" spans="2:21" ht="29.25" hidden="1" customHeight="1">
      <c r="B287" s="652"/>
      <c r="C287" s="713"/>
      <c r="D287" s="713"/>
      <c r="E287" s="713"/>
      <c r="F287" s="713"/>
      <c r="G287" s="716"/>
      <c r="H287" s="685"/>
      <c r="I287" s="710"/>
      <c r="J287" s="183"/>
      <c r="K287" s="38">
        <f>+$K$14</f>
        <v>0</v>
      </c>
      <c r="L287" s="696"/>
      <c r="M287" s="678">
        <f>+$M$14</f>
        <v>0</v>
      </c>
      <c r="N287" s="691"/>
      <c r="O287" s="691"/>
      <c r="P287" s="694"/>
      <c r="Q287" s="567"/>
      <c r="R287" s="567"/>
      <c r="S287" s="672"/>
      <c r="T287" s="675"/>
      <c r="U287" s="677"/>
    </row>
    <row r="288" spans="2:21" ht="29.25" hidden="1" customHeight="1">
      <c r="B288" s="653"/>
      <c r="C288" s="714"/>
      <c r="D288" s="714"/>
      <c r="E288" s="714"/>
      <c r="F288" s="714"/>
      <c r="G288" s="717"/>
      <c r="H288" s="686"/>
      <c r="I288" s="711"/>
      <c r="J288" s="183"/>
      <c r="K288" s="38">
        <f>+$K$15</f>
        <v>0</v>
      </c>
      <c r="L288" s="697"/>
      <c r="M288" s="680"/>
      <c r="N288" s="692"/>
      <c r="O288" s="692"/>
      <c r="P288" s="695"/>
      <c r="Q288" s="545"/>
      <c r="R288" s="545"/>
      <c r="S288" s="673"/>
      <c r="T288" s="675"/>
      <c r="U288" s="677"/>
    </row>
    <row r="289" spans="2:21" ht="29.25" hidden="1" customHeight="1">
      <c r="B289" s="651">
        <v>5</v>
      </c>
      <c r="C289" s="654"/>
      <c r="D289" s="654"/>
      <c r="E289" s="654"/>
      <c r="F289" s="654"/>
      <c r="G289" s="681"/>
      <c r="H289" s="684"/>
      <c r="I289" s="687"/>
      <c r="J289" s="183"/>
      <c r="K289" s="38">
        <f>+$K$13</f>
        <v>0</v>
      </c>
      <c r="L289" s="183"/>
      <c r="M289" s="38">
        <f>+$M$13</f>
        <v>0</v>
      </c>
      <c r="N289" s="690"/>
      <c r="O289" s="690"/>
      <c r="P289" s="693"/>
      <c r="Q289" s="544"/>
      <c r="R289" s="544"/>
      <c r="S289" s="671">
        <f>IF(COUNTIF(J289:K291,"CUMPLE")&gt;=1,(G289*I289),0)* (IF(N289="PRESENTÓ CERTIFICADO",1,0))* (IF(O289="ACORDE A ITEM 5.2.2 (T.R.)",1,0) )* ( IF(OR(Q289="SIN OBSERVACIÓN", Q289="REQUERIMIENTOS SUBSANADOS"),1,0)) *(IF(OR(R289="NINGUNO", R289="CUMPLEN CON LO SOLICITADO"),1,0))</f>
        <v>0</v>
      </c>
      <c r="T289" s="675"/>
      <c r="U289" s="677">
        <f>IF(COUNTIF(L289:M291,"CUMPLE")&gt;=1,1,0)</f>
        <v>0</v>
      </c>
    </row>
    <row r="290" spans="2:21" ht="29.25" hidden="1" customHeight="1">
      <c r="B290" s="652"/>
      <c r="C290" s="655"/>
      <c r="D290" s="655"/>
      <c r="E290" s="655"/>
      <c r="F290" s="655"/>
      <c r="G290" s="682"/>
      <c r="H290" s="685"/>
      <c r="I290" s="688"/>
      <c r="J290" s="183"/>
      <c r="K290" s="38">
        <f>+$K$14</f>
        <v>0</v>
      </c>
      <c r="L290" s="696"/>
      <c r="M290" s="678">
        <f>+$M$14</f>
        <v>0</v>
      </c>
      <c r="N290" s="691"/>
      <c r="O290" s="691"/>
      <c r="P290" s="694"/>
      <c r="Q290" s="567"/>
      <c r="R290" s="567"/>
      <c r="S290" s="672"/>
      <c r="T290" s="675"/>
      <c r="U290" s="677"/>
    </row>
    <row r="291" spans="2:21" ht="29.25" hidden="1" customHeight="1">
      <c r="B291" s="653"/>
      <c r="C291" s="656"/>
      <c r="D291" s="656"/>
      <c r="E291" s="656"/>
      <c r="F291" s="656"/>
      <c r="G291" s="683"/>
      <c r="H291" s="686"/>
      <c r="I291" s="689"/>
      <c r="J291" s="183"/>
      <c r="K291" s="38">
        <f>+$K$15</f>
        <v>0</v>
      </c>
      <c r="L291" s="697"/>
      <c r="M291" s="680"/>
      <c r="N291" s="692"/>
      <c r="O291" s="692"/>
      <c r="P291" s="695"/>
      <c r="Q291" s="545"/>
      <c r="R291" s="545"/>
      <c r="S291" s="673"/>
      <c r="T291" s="676"/>
      <c r="U291" s="677"/>
    </row>
    <row r="292" spans="2:21" ht="18" hidden="1" customHeight="1">
      <c r="B292" s="698" t="str">
        <f>IF(S293=" "," ",IF(S293&gt;=$H$6,"CUMPLE CON LA EXPERIENCIA REQUERIDA","NO CUMPLE CON LA EXPERIENCIA REQUERIDA"))</f>
        <v>NO CUMPLE CON LA EXPERIENCIA REQUERIDA</v>
      </c>
      <c r="C292" s="699"/>
      <c r="D292" s="699"/>
      <c r="E292" s="699"/>
      <c r="F292" s="699"/>
      <c r="G292" s="699"/>
      <c r="H292" s="699"/>
      <c r="I292" s="699"/>
      <c r="J292" s="699"/>
      <c r="K292" s="699"/>
      <c r="L292" s="699"/>
      <c r="M292" s="699"/>
      <c r="N292" s="699"/>
      <c r="O292" s="700"/>
      <c r="P292" s="704" t="s">
        <v>46</v>
      </c>
      <c r="Q292" s="705"/>
      <c r="R292" s="706"/>
      <c r="S292" s="44">
        <f>IF(T277="SI",SUM(S277:S291),0)</f>
        <v>0</v>
      </c>
      <c r="T292" s="707" t="str">
        <f>IF(S293=" "," ",IF(S293&gt;=$H$6,"CUMPLE","NO CUMPLE"))</f>
        <v>NO CUMPLE</v>
      </c>
      <c r="U292" s="28"/>
    </row>
    <row r="293" spans="2:21" ht="18" hidden="1" customHeight="1">
      <c r="B293" s="701"/>
      <c r="C293" s="702"/>
      <c r="D293" s="702"/>
      <c r="E293" s="702"/>
      <c r="F293" s="702"/>
      <c r="G293" s="702"/>
      <c r="H293" s="702"/>
      <c r="I293" s="702"/>
      <c r="J293" s="702"/>
      <c r="K293" s="702"/>
      <c r="L293" s="702"/>
      <c r="M293" s="702"/>
      <c r="N293" s="702"/>
      <c r="O293" s="703"/>
      <c r="P293" s="704" t="s">
        <v>47</v>
      </c>
      <c r="Q293" s="705"/>
      <c r="R293" s="706"/>
      <c r="S293" s="44">
        <f>IFERROR((S292/$P$6)," ")</f>
        <v>0</v>
      </c>
      <c r="T293" s="708"/>
      <c r="U293" s="41"/>
    </row>
    <row r="294" spans="2:21" hidden="1"/>
    <row r="295" spans="2:21" hidden="1"/>
    <row r="296" spans="2:21" ht="34" hidden="1">
      <c r="B296" s="26">
        <v>14</v>
      </c>
      <c r="C296" s="660" t="s">
        <v>25</v>
      </c>
      <c r="D296" s="661"/>
      <c r="E296" s="662"/>
      <c r="F296" s="663">
        <f>IFERROR(VLOOKUP(B296,LISTA_OFERENTES,2,FALSE)," ")</f>
        <v>0</v>
      </c>
      <c r="G296" s="664"/>
      <c r="H296" s="664"/>
      <c r="I296" s="664"/>
      <c r="J296" s="664"/>
      <c r="K296" s="664"/>
      <c r="L296" s="664"/>
      <c r="M296" s="664"/>
      <c r="N296" s="664"/>
      <c r="O296" s="665"/>
      <c r="P296" s="666" t="s">
        <v>26</v>
      </c>
      <c r="Q296" s="667"/>
      <c r="R296" s="668"/>
      <c r="S296" s="27">
        <f>5-(INT(COUNTBLANK(C299:C313))-10)</f>
        <v>0</v>
      </c>
      <c r="T296" s="28"/>
    </row>
    <row r="297" spans="2:21" ht="51" hidden="1" customHeight="1">
      <c r="B297" s="669" t="s">
        <v>27</v>
      </c>
      <c r="C297" s="643" t="s">
        <v>28</v>
      </c>
      <c r="D297" s="643" t="s">
        <v>29</v>
      </c>
      <c r="E297" s="643" t="s">
        <v>30</v>
      </c>
      <c r="F297" s="643" t="s">
        <v>31</v>
      </c>
      <c r="G297" s="643" t="s">
        <v>32</v>
      </c>
      <c r="H297" s="643" t="s">
        <v>33</v>
      </c>
      <c r="I297" s="643" t="s">
        <v>34</v>
      </c>
      <c r="J297" s="657" t="s">
        <v>35</v>
      </c>
      <c r="K297" s="658"/>
      <c r="L297" s="658"/>
      <c r="M297" s="659"/>
      <c r="N297" s="643" t="s">
        <v>36</v>
      </c>
      <c r="O297" s="643" t="s">
        <v>37</v>
      </c>
      <c r="P297" s="657" t="s">
        <v>38</v>
      </c>
      <c r="Q297" s="659"/>
      <c r="R297" s="643" t="s">
        <v>39</v>
      </c>
      <c r="S297" s="643" t="s">
        <v>40</v>
      </c>
      <c r="T297" s="643" t="str">
        <f>+$T$11</f>
        <v>Cumple con el requerimiento del numeral 6.2.2.2.1</v>
      </c>
      <c r="U297" s="643" t="str">
        <f>+$U$11</f>
        <v xml:space="preserve">VERIFICACIÓN CONDICIÓN DE EXPERIENCIA  </v>
      </c>
    </row>
    <row r="298" spans="2:21" ht="54.75" hidden="1" customHeight="1">
      <c r="B298" s="670"/>
      <c r="C298" s="644"/>
      <c r="D298" s="644"/>
      <c r="E298" s="644"/>
      <c r="F298" s="644"/>
      <c r="G298" s="644"/>
      <c r="H298" s="644"/>
      <c r="I298" s="644"/>
      <c r="J298" s="648" t="s">
        <v>43</v>
      </c>
      <c r="K298" s="649"/>
      <c r="L298" s="649"/>
      <c r="M298" s="650"/>
      <c r="N298" s="644"/>
      <c r="O298" s="644"/>
      <c r="P298" s="33" t="s">
        <v>10</v>
      </c>
      <c r="Q298" s="33" t="s">
        <v>44</v>
      </c>
      <c r="R298" s="644"/>
      <c r="S298" s="644"/>
      <c r="T298" s="644"/>
      <c r="U298" s="644"/>
    </row>
    <row r="299" spans="2:21" ht="33" hidden="1" customHeight="1">
      <c r="B299" s="651">
        <v>1</v>
      </c>
      <c r="C299" s="654"/>
      <c r="D299" s="654"/>
      <c r="E299" s="654"/>
      <c r="F299" s="654"/>
      <c r="G299" s="681"/>
      <c r="H299" s="684"/>
      <c r="I299" s="687"/>
      <c r="J299" s="183"/>
      <c r="K299" s="38">
        <f>+$K$13</f>
        <v>0</v>
      </c>
      <c r="L299" s="183"/>
      <c r="M299" s="38">
        <f>+$M$13</f>
        <v>0</v>
      </c>
      <c r="N299" s="690"/>
      <c r="O299" s="690"/>
      <c r="P299" s="693"/>
      <c r="Q299" s="544"/>
      <c r="R299" s="544"/>
      <c r="S299" s="671">
        <f>IF(COUNTIF(J299:K301,"CUMPLE")&gt;=1,(G299*I299),0)* (IF(N299="PRESENTÓ CERTIFICADO",1,0))* (IF(O299="ACORDE A ITEM 5.2.2 (T.R.)",1,0) )* ( IF(OR(Q299="SIN OBSERVACIÓN", Q299="REQUERIMIENTOS SUBSANADOS"),1,0)) *(IF(OR(R299="NINGUNO", R299="CUMPLEN CON LO SOLICITADO"),1,0))</f>
        <v>0</v>
      </c>
      <c r="T299" s="674"/>
      <c r="U299" s="677">
        <f>IF(COUNTIF(L299:M301,"CUMPLE")&gt;=1,1,0)</f>
        <v>0</v>
      </c>
    </row>
    <row r="300" spans="2:21" ht="33" hidden="1" customHeight="1">
      <c r="B300" s="652"/>
      <c r="C300" s="655"/>
      <c r="D300" s="655"/>
      <c r="E300" s="655"/>
      <c r="F300" s="655"/>
      <c r="G300" s="682"/>
      <c r="H300" s="685"/>
      <c r="I300" s="688"/>
      <c r="J300" s="183"/>
      <c r="K300" s="38">
        <f>+$K$14</f>
        <v>0</v>
      </c>
      <c r="L300" s="696"/>
      <c r="M300" s="678">
        <f>+$M$14</f>
        <v>0</v>
      </c>
      <c r="N300" s="691"/>
      <c r="O300" s="691"/>
      <c r="P300" s="694"/>
      <c r="Q300" s="567"/>
      <c r="R300" s="567"/>
      <c r="S300" s="672"/>
      <c r="T300" s="675"/>
      <c r="U300" s="677"/>
    </row>
    <row r="301" spans="2:21" ht="33" hidden="1" customHeight="1">
      <c r="B301" s="653"/>
      <c r="C301" s="656"/>
      <c r="D301" s="656"/>
      <c r="E301" s="656"/>
      <c r="F301" s="656"/>
      <c r="G301" s="683"/>
      <c r="H301" s="686"/>
      <c r="I301" s="689"/>
      <c r="J301" s="183"/>
      <c r="K301" s="38">
        <f>+$K$15</f>
        <v>0</v>
      </c>
      <c r="L301" s="697"/>
      <c r="M301" s="680"/>
      <c r="N301" s="692"/>
      <c r="O301" s="692"/>
      <c r="P301" s="695"/>
      <c r="Q301" s="545"/>
      <c r="R301" s="545"/>
      <c r="S301" s="673"/>
      <c r="T301" s="675"/>
      <c r="U301" s="677"/>
    </row>
    <row r="302" spans="2:21" ht="33" hidden="1" customHeight="1">
      <c r="B302" s="651">
        <v>2</v>
      </c>
      <c r="C302" s="712"/>
      <c r="D302" s="712"/>
      <c r="E302" s="712"/>
      <c r="F302" s="712"/>
      <c r="G302" s="715"/>
      <c r="H302" s="684"/>
      <c r="I302" s="709"/>
      <c r="J302" s="183"/>
      <c r="K302" s="38">
        <f>+$K$13</f>
        <v>0</v>
      </c>
      <c r="L302" s="183"/>
      <c r="M302" s="38">
        <f>+$M$13</f>
        <v>0</v>
      </c>
      <c r="N302" s="690"/>
      <c r="O302" s="690"/>
      <c r="P302" s="693"/>
      <c r="Q302" s="544"/>
      <c r="R302" s="544"/>
      <c r="S302" s="671">
        <f>IF(COUNTIF(J302:K304,"CUMPLE")&gt;=1,(G302*I302),0)* (IF(N302="PRESENTÓ CERTIFICADO",1,0))* (IF(O302="ACORDE A ITEM 5.2.2 (T.R.)",1,0) )* ( IF(OR(Q302="SIN OBSERVACIÓN", Q302="REQUERIMIENTOS SUBSANADOS"),1,0)) *(IF(OR(R302="NINGUNO", R302="CUMPLEN CON LO SOLICITADO"),1,0))</f>
        <v>0</v>
      </c>
      <c r="T302" s="675"/>
      <c r="U302" s="677">
        <f>IF(COUNTIF(L302:M304,"CUMPLE")&gt;=1,1,0)</f>
        <v>0</v>
      </c>
    </row>
    <row r="303" spans="2:21" ht="33" hidden="1" customHeight="1">
      <c r="B303" s="652"/>
      <c r="C303" s="713"/>
      <c r="D303" s="713"/>
      <c r="E303" s="713"/>
      <c r="F303" s="713"/>
      <c r="G303" s="716"/>
      <c r="H303" s="685"/>
      <c r="I303" s="710"/>
      <c r="J303" s="183"/>
      <c r="K303" s="38">
        <f>+$K$14</f>
        <v>0</v>
      </c>
      <c r="L303" s="696"/>
      <c r="M303" s="678">
        <f>+$M$14</f>
        <v>0</v>
      </c>
      <c r="N303" s="691"/>
      <c r="O303" s="691"/>
      <c r="P303" s="694"/>
      <c r="Q303" s="567"/>
      <c r="R303" s="567"/>
      <c r="S303" s="672"/>
      <c r="T303" s="675"/>
      <c r="U303" s="677"/>
    </row>
    <row r="304" spans="2:21" ht="33" hidden="1" customHeight="1">
      <c r="B304" s="653"/>
      <c r="C304" s="714"/>
      <c r="D304" s="714"/>
      <c r="E304" s="714"/>
      <c r="F304" s="714"/>
      <c r="G304" s="717"/>
      <c r="H304" s="686"/>
      <c r="I304" s="711"/>
      <c r="J304" s="183"/>
      <c r="K304" s="38">
        <f>+$K$15</f>
        <v>0</v>
      </c>
      <c r="L304" s="697"/>
      <c r="M304" s="680"/>
      <c r="N304" s="692"/>
      <c r="O304" s="692"/>
      <c r="P304" s="695"/>
      <c r="Q304" s="545"/>
      <c r="R304" s="545"/>
      <c r="S304" s="673"/>
      <c r="T304" s="675"/>
      <c r="U304" s="677"/>
    </row>
    <row r="305" spans="2:21" ht="33" hidden="1" customHeight="1">
      <c r="B305" s="651">
        <v>3</v>
      </c>
      <c r="C305" s="654"/>
      <c r="D305" s="654"/>
      <c r="E305" s="654"/>
      <c r="F305" s="654"/>
      <c r="G305" s="681"/>
      <c r="H305" s="684"/>
      <c r="I305" s="687"/>
      <c r="J305" s="183"/>
      <c r="K305" s="38">
        <f>+$K$13</f>
        <v>0</v>
      </c>
      <c r="L305" s="183"/>
      <c r="M305" s="38">
        <f>+$M$13</f>
        <v>0</v>
      </c>
      <c r="N305" s="690"/>
      <c r="O305" s="690"/>
      <c r="P305" s="693"/>
      <c r="Q305" s="544"/>
      <c r="R305" s="544"/>
      <c r="S305" s="671">
        <f>IF(COUNTIF(J305:K307,"CUMPLE")&gt;=1,(G305*I305),0)* (IF(N305="PRESENTÓ CERTIFICADO",1,0))* (IF(O305="ACORDE A ITEM 5.2.2 (T.R.)",1,0) )* ( IF(OR(Q305="SIN OBSERVACIÓN", Q305="REQUERIMIENTOS SUBSANADOS"),1,0)) *(IF(OR(R305="NINGUNO", R305="CUMPLEN CON LO SOLICITADO"),1,0))</f>
        <v>0</v>
      </c>
      <c r="T305" s="675"/>
      <c r="U305" s="677">
        <f>IF(COUNTIF(L305:M307,"CUMPLE")&gt;=1,1,0)</f>
        <v>0</v>
      </c>
    </row>
    <row r="306" spans="2:21" ht="33" hidden="1" customHeight="1">
      <c r="B306" s="652"/>
      <c r="C306" s="655"/>
      <c r="D306" s="655"/>
      <c r="E306" s="655"/>
      <c r="F306" s="655"/>
      <c r="G306" s="682"/>
      <c r="H306" s="685"/>
      <c r="I306" s="688"/>
      <c r="J306" s="183"/>
      <c r="K306" s="38">
        <f>+$K$14</f>
        <v>0</v>
      </c>
      <c r="L306" s="696"/>
      <c r="M306" s="678">
        <f>+$M$14</f>
        <v>0</v>
      </c>
      <c r="N306" s="691"/>
      <c r="O306" s="691"/>
      <c r="P306" s="694"/>
      <c r="Q306" s="567"/>
      <c r="R306" s="567"/>
      <c r="S306" s="672"/>
      <c r="T306" s="675"/>
      <c r="U306" s="677"/>
    </row>
    <row r="307" spans="2:21" ht="33" hidden="1" customHeight="1">
      <c r="B307" s="653"/>
      <c r="C307" s="656"/>
      <c r="D307" s="656"/>
      <c r="E307" s="656"/>
      <c r="F307" s="656"/>
      <c r="G307" s="683"/>
      <c r="H307" s="686"/>
      <c r="I307" s="689"/>
      <c r="J307" s="183"/>
      <c r="K307" s="38">
        <f>+$K$15</f>
        <v>0</v>
      </c>
      <c r="L307" s="697"/>
      <c r="M307" s="680"/>
      <c r="N307" s="692"/>
      <c r="O307" s="692"/>
      <c r="P307" s="695"/>
      <c r="Q307" s="545"/>
      <c r="R307" s="545"/>
      <c r="S307" s="673"/>
      <c r="T307" s="675"/>
      <c r="U307" s="677"/>
    </row>
    <row r="308" spans="2:21" ht="33" hidden="1" customHeight="1">
      <c r="B308" s="651">
        <v>4</v>
      </c>
      <c r="C308" s="712"/>
      <c r="D308" s="712"/>
      <c r="E308" s="712"/>
      <c r="F308" s="712"/>
      <c r="G308" s="715"/>
      <c r="H308" s="684"/>
      <c r="I308" s="709"/>
      <c r="J308" s="183"/>
      <c r="K308" s="38">
        <f>+$K$13</f>
        <v>0</v>
      </c>
      <c r="L308" s="183"/>
      <c r="M308" s="38">
        <f>+$M$13</f>
        <v>0</v>
      </c>
      <c r="N308" s="690"/>
      <c r="O308" s="690"/>
      <c r="P308" s="693"/>
      <c r="Q308" s="544"/>
      <c r="R308" s="544"/>
      <c r="S308" s="671">
        <f>IF(COUNTIF(J308:K310,"CUMPLE")&gt;=1,(G308*I308),0)* (IF(N308="PRESENTÓ CERTIFICADO",1,0))* (IF(O308="ACORDE A ITEM 5.2.2 (T.R.)",1,0) )* ( IF(OR(Q308="SIN OBSERVACIÓN", Q308="REQUERIMIENTOS SUBSANADOS"),1,0)) *(IF(OR(R308="NINGUNO", R308="CUMPLEN CON LO SOLICITADO"),1,0))</f>
        <v>0</v>
      </c>
      <c r="T308" s="675"/>
      <c r="U308" s="677">
        <f>IF(COUNTIF(L308:M310,"CUMPLE")&gt;=1,1,0)</f>
        <v>0</v>
      </c>
    </row>
    <row r="309" spans="2:21" ht="33" hidden="1" customHeight="1">
      <c r="B309" s="652"/>
      <c r="C309" s="713"/>
      <c r="D309" s="713"/>
      <c r="E309" s="713"/>
      <c r="F309" s="713"/>
      <c r="G309" s="716"/>
      <c r="H309" s="685"/>
      <c r="I309" s="710"/>
      <c r="J309" s="183"/>
      <c r="K309" s="38">
        <f>+$K$14</f>
        <v>0</v>
      </c>
      <c r="L309" s="696"/>
      <c r="M309" s="678">
        <f>+$M$14</f>
        <v>0</v>
      </c>
      <c r="N309" s="691"/>
      <c r="O309" s="691"/>
      <c r="P309" s="694"/>
      <c r="Q309" s="567"/>
      <c r="R309" s="567"/>
      <c r="S309" s="672"/>
      <c r="T309" s="675"/>
      <c r="U309" s="677"/>
    </row>
    <row r="310" spans="2:21" ht="33" hidden="1" customHeight="1">
      <c r="B310" s="653"/>
      <c r="C310" s="714"/>
      <c r="D310" s="714"/>
      <c r="E310" s="714"/>
      <c r="F310" s="714"/>
      <c r="G310" s="717"/>
      <c r="H310" s="686"/>
      <c r="I310" s="711"/>
      <c r="J310" s="183"/>
      <c r="K310" s="38">
        <f>+$K$15</f>
        <v>0</v>
      </c>
      <c r="L310" s="697"/>
      <c r="M310" s="680"/>
      <c r="N310" s="692"/>
      <c r="O310" s="692"/>
      <c r="P310" s="695"/>
      <c r="Q310" s="545"/>
      <c r="R310" s="545"/>
      <c r="S310" s="673"/>
      <c r="T310" s="675"/>
      <c r="U310" s="677"/>
    </row>
    <row r="311" spans="2:21" ht="33" hidden="1" customHeight="1">
      <c r="B311" s="651">
        <v>5</v>
      </c>
      <c r="C311" s="654"/>
      <c r="D311" s="654"/>
      <c r="E311" s="654"/>
      <c r="F311" s="654"/>
      <c r="G311" s="681"/>
      <c r="H311" s="684"/>
      <c r="I311" s="687"/>
      <c r="J311" s="183"/>
      <c r="K311" s="38">
        <f>+$K$13</f>
        <v>0</v>
      </c>
      <c r="L311" s="183"/>
      <c r="M311" s="38">
        <f>+$M$13</f>
        <v>0</v>
      </c>
      <c r="N311" s="690"/>
      <c r="O311" s="690"/>
      <c r="P311" s="693"/>
      <c r="Q311" s="544"/>
      <c r="R311" s="544"/>
      <c r="S311" s="671">
        <f>IF(COUNTIF(J311:K313,"CUMPLE")&gt;=1,(G311*I311),0)* (IF(N311="PRESENTÓ CERTIFICADO",1,0))* (IF(O311="ACORDE A ITEM 5.2.2 (T.R.)",1,0) )* ( IF(OR(Q311="SIN OBSERVACIÓN", Q311="REQUERIMIENTOS SUBSANADOS"),1,0)) *(IF(OR(R311="NINGUNO", R311="CUMPLEN CON LO SOLICITADO"),1,0))</f>
        <v>0</v>
      </c>
      <c r="T311" s="675"/>
      <c r="U311" s="677">
        <f>IF(COUNTIF(L311:M313,"CUMPLE")&gt;=1,1,0)</f>
        <v>0</v>
      </c>
    </row>
    <row r="312" spans="2:21" ht="33" hidden="1" customHeight="1">
      <c r="B312" s="652"/>
      <c r="C312" s="655"/>
      <c r="D312" s="655"/>
      <c r="E312" s="655"/>
      <c r="F312" s="655"/>
      <c r="G312" s="682"/>
      <c r="H312" s="685"/>
      <c r="I312" s="688"/>
      <c r="J312" s="183"/>
      <c r="K312" s="38">
        <f>+$K$14</f>
        <v>0</v>
      </c>
      <c r="L312" s="696"/>
      <c r="M312" s="678">
        <f>+$M$14</f>
        <v>0</v>
      </c>
      <c r="N312" s="691"/>
      <c r="O312" s="691"/>
      <c r="P312" s="694"/>
      <c r="Q312" s="567"/>
      <c r="R312" s="567"/>
      <c r="S312" s="672"/>
      <c r="T312" s="675"/>
      <c r="U312" s="677"/>
    </row>
    <row r="313" spans="2:21" ht="33" hidden="1" customHeight="1">
      <c r="B313" s="653"/>
      <c r="C313" s="656"/>
      <c r="D313" s="656"/>
      <c r="E313" s="656"/>
      <c r="F313" s="656"/>
      <c r="G313" s="683"/>
      <c r="H313" s="686"/>
      <c r="I313" s="689"/>
      <c r="J313" s="183"/>
      <c r="K313" s="38">
        <f>+$K$15</f>
        <v>0</v>
      </c>
      <c r="L313" s="697"/>
      <c r="M313" s="680"/>
      <c r="N313" s="692"/>
      <c r="O313" s="692"/>
      <c r="P313" s="695"/>
      <c r="Q313" s="545"/>
      <c r="R313" s="545"/>
      <c r="S313" s="673"/>
      <c r="T313" s="676"/>
      <c r="U313" s="677"/>
    </row>
    <row r="314" spans="2:21" ht="18" hidden="1" customHeight="1">
      <c r="B314" s="698" t="str">
        <f>IF(S315=" "," ",IF(S315&gt;=$H$6,"CUMPLE CON LA EXPERIENCIA REQUERIDA","NO CUMPLE CON LA EXPERIENCIA REQUERIDA"))</f>
        <v>NO CUMPLE CON LA EXPERIENCIA REQUERIDA</v>
      </c>
      <c r="C314" s="699"/>
      <c r="D314" s="699"/>
      <c r="E314" s="699"/>
      <c r="F314" s="699"/>
      <c r="G314" s="699"/>
      <c r="H314" s="699"/>
      <c r="I314" s="699"/>
      <c r="J314" s="699"/>
      <c r="K314" s="699"/>
      <c r="L314" s="699"/>
      <c r="M314" s="699"/>
      <c r="N314" s="699"/>
      <c r="O314" s="700"/>
      <c r="P314" s="704" t="s">
        <v>46</v>
      </c>
      <c r="Q314" s="705"/>
      <c r="R314" s="706"/>
      <c r="S314" s="44">
        <f>IF(T299="SI",SUM(S299:S313),0)</f>
        <v>0</v>
      </c>
      <c r="T314" s="707" t="str">
        <f>IF(S315=" "," ",IF(S315&gt;=$H$6,"CUMPLE","NO CUMPLE"))</f>
        <v>NO CUMPLE</v>
      </c>
      <c r="U314" s="28"/>
    </row>
    <row r="315" spans="2:21" ht="18" hidden="1" customHeight="1">
      <c r="B315" s="701"/>
      <c r="C315" s="702"/>
      <c r="D315" s="702"/>
      <c r="E315" s="702"/>
      <c r="F315" s="702"/>
      <c r="G315" s="702"/>
      <c r="H315" s="702"/>
      <c r="I315" s="702"/>
      <c r="J315" s="702"/>
      <c r="K315" s="702"/>
      <c r="L315" s="702"/>
      <c r="M315" s="702"/>
      <c r="N315" s="702"/>
      <c r="O315" s="703"/>
      <c r="P315" s="704" t="s">
        <v>47</v>
      </c>
      <c r="Q315" s="705"/>
      <c r="R315" s="706"/>
      <c r="S315" s="44">
        <f>IFERROR((S314/$P$6)," ")</f>
        <v>0</v>
      </c>
      <c r="T315" s="708"/>
      <c r="U315" s="41"/>
    </row>
    <row r="324" spans="8:8">
      <c r="H324" s="281"/>
    </row>
    <row r="325" spans="8:8">
      <c r="H325" s="305"/>
    </row>
  </sheetData>
  <sheetProtection algorithmName="SHA-512" hashValue="kj3RnGb0bMMfgzqfYmm26q4+aIgsHA0TwaESst2rRstF4sZesSus2Rzg+rnU5+d8MrU4+79dXij0ZN6zBqBAFw==" saltValue="qllw3tWHSR7ph8vaAs9UMA==" spinCount="100000" sheet="1" objects="1" scenarios="1"/>
  <mergeCells count="1550">
    <mergeCell ref="B314:O315"/>
    <mergeCell ref="P314:R314"/>
    <mergeCell ref="T314:T315"/>
    <mergeCell ref="P315:R315"/>
    <mergeCell ref="H311:H313"/>
    <mergeCell ref="I311:I313"/>
    <mergeCell ref="N311:N313"/>
    <mergeCell ref="O311:O313"/>
    <mergeCell ref="P311:P313"/>
    <mergeCell ref="Q311:Q313"/>
    <mergeCell ref="B311:B313"/>
    <mergeCell ref="C311:C313"/>
    <mergeCell ref="D311:D313"/>
    <mergeCell ref="E311:E313"/>
    <mergeCell ref="F311:F313"/>
    <mergeCell ref="G311:G313"/>
    <mergeCell ref="R308:R310"/>
    <mergeCell ref="S308:S310"/>
    <mergeCell ref="B308:B310"/>
    <mergeCell ref="C308:C310"/>
    <mergeCell ref="D308:D310"/>
    <mergeCell ref="E308:E310"/>
    <mergeCell ref="F308:F310"/>
    <mergeCell ref="U308:U310"/>
    <mergeCell ref="L309:L310"/>
    <mergeCell ref="M309:M310"/>
    <mergeCell ref="G308:G310"/>
    <mergeCell ref="H308:H310"/>
    <mergeCell ref="I308:I310"/>
    <mergeCell ref="N308:N310"/>
    <mergeCell ref="O308:O310"/>
    <mergeCell ref="P308:P310"/>
    <mergeCell ref="R305:R307"/>
    <mergeCell ref="S305:S307"/>
    <mergeCell ref="U305:U307"/>
    <mergeCell ref="L306:L307"/>
    <mergeCell ref="M306:M307"/>
    <mergeCell ref="T299:T313"/>
    <mergeCell ref="U299:U301"/>
    <mergeCell ref="U302:U304"/>
    <mergeCell ref="R311:R313"/>
    <mergeCell ref="S311:S313"/>
    <mergeCell ref="U311:U313"/>
    <mergeCell ref="L312:L313"/>
    <mergeCell ref="M312:M313"/>
    <mergeCell ref="H305:H307"/>
    <mergeCell ref="I305:I307"/>
    <mergeCell ref="N305:N307"/>
    <mergeCell ref="O305:O307"/>
    <mergeCell ref="P305:P307"/>
    <mergeCell ref="Q305:Q307"/>
    <mergeCell ref="Q299:Q301"/>
    <mergeCell ref="R299:R301"/>
    <mergeCell ref="S299:S301"/>
    <mergeCell ref="L300:L301"/>
    <mergeCell ref="B305:B307"/>
    <mergeCell ref="C305:C307"/>
    <mergeCell ref="D305:D307"/>
    <mergeCell ref="E305:E307"/>
    <mergeCell ref="F305:F307"/>
    <mergeCell ref="G305:G307"/>
    <mergeCell ref="Q308:Q310"/>
    <mergeCell ref="H302:H304"/>
    <mergeCell ref="I302:I304"/>
    <mergeCell ref="N302:N304"/>
    <mergeCell ref="O302:O304"/>
    <mergeCell ref="P302:P304"/>
    <mergeCell ref="Q302:Q304"/>
    <mergeCell ref="L303:L304"/>
    <mergeCell ref="M303:M304"/>
    <mergeCell ref="B302:B304"/>
    <mergeCell ref="C302:C304"/>
    <mergeCell ref="D302:D304"/>
    <mergeCell ref="E302:E304"/>
    <mergeCell ref="F302:F304"/>
    <mergeCell ref="G302:G304"/>
    <mergeCell ref="M300:M301"/>
    <mergeCell ref="R302:R304"/>
    <mergeCell ref="S302:S304"/>
    <mergeCell ref="G299:G301"/>
    <mergeCell ref="H299:H301"/>
    <mergeCell ref="I299:I301"/>
    <mergeCell ref="N299:N301"/>
    <mergeCell ref="O299:O301"/>
    <mergeCell ref="P299:P301"/>
    <mergeCell ref="R297:R298"/>
    <mergeCell ref="S297:S298"/>
    <mergeCell ref="T297:T298"/>
    <mergeCell ref="U297:U298"/>
    <mergeCell ref="J298:M298"/>
    <mergeCell ref="B299:B301"/>
    <mergeCell ref="C299:C301"/>
    <mergeCell ref="D299:D301"/>
    <mergeCell ref="E299:E301"/>
    <mergeCell ref="F299:F301"/>
    <mergeCell ref="H297:H298"/>
    <mergeCell ref="I297:I298"/>
    <mergeCell ref="J297:M297"/>
    <mergeCell ref="N297:N298"/>
    <mergeCell ref="O297:O298"/>
    <mergeCell ref="P297:Q297"/>
    <mergeCell ref="B297:B298"/>
    <mergeCell ref="C297:C298"/>
    <mergeCell ref="D297:D298"/>
    <mergeCell ref="E297:E298"/>
    <mergeCell ref="F297:F298"/>
    <mergeCell ref="G297:G298"/>
    <mergeCell ref="B292:O293"/>
    <mergeCell ref="P292:R292"/>
    <mergeCell ref="T292:T293"/>
    <mergeCell ref="P293:R293"/>
    <mergeCell ref="C296:E296"/>
    <mergeCell ref="F296:O296"/>
    <mergeCell ref="P296:R296"/>
    <mergeCell ref="Q289:Q291"/>
    <mergeCell ref="R289:R291"/>
    <mergeCell ref="S289:S291"/>
    <mergeCell ref="U289:U291"/>
    <mergeCell ref="L290:L291"/>
    <mergeCell ref="M290:M291"/>
    <mergeCell ref="G289:G291"/>
    <mergeCell ref="H289:H291"/>
    <mergeCell ref="I289:I291"/>
    <mergeCell ref="N289:N291"/>
    <mergeCell ref="O289:O291"/>
    <mergeCell ref="P289:P291"/>
    <mergeCell ref="B289:B291"/>
    <mergeCell ref="C289:C291"/>
    <mergeCell ref="D289:D291"/>
    <mergeCell ref="E289:E291"/>
    <mergeCell ref="F289:F291"/>
    <mergeCell ref="P286:P288"/>
    <mergeCell ref="Q286:Q288"/>
    <mergeCell ref="S283:S285"/>
    <mergeCell ref="U283:U285"/>
    <mergeCell ref="L284:L285"/>
    <mergeCell ref="M284:M285"/>
    <mergeCell ref="B286:B288"/>
    <mergeCell ref="C286:C288"/>
    <mergeCell ref="D286:D288"/>
    <mergeCell ref="E286:E288"/>
    <mergeCell ref="F286:F288"/>
    <mergeCell ref="G286:G288"/>
    <mergeCell ref="H283:H285"/>
    <mergeCell ref="I283:I285"/>
    <mergeCell ref="N283:N285"/>
    <mergeCell ref="O283:O285"/>
    <mergeCell ref="P283:P285"/>
    <mergeCell ref="Q283:Q285"/>
    <mergeCell ref="B283:B285"/>
    <mergeCell ref="C283:C285"/>
    <mergeCell ref="D283:D285"/>
    <mergeCell ref="E283:E285"/>
    <mergeCell ref="F283:F285"/>
    <mergeCell ref="G283:G285"/>
    <mergeCell ref="M281:M282"/>
    <mergeCell ref="B280:B282"/>
    <mergeCell ref="C280:C282"/>
    <mergeCell ref="D280:D282"/>
    <mergeCell ref="E280:E282"/>
    <mergeCell ref="F280:F282"/>
    <mergeCell ref="G280:G282"/>
    <mergeCell ref="C275:C276"/>
    <mergeCell ref="D275:D276"/>
    <mergeCell ref="E275:E276"/>
    <mergeCell ref="F275:F276"/>
    <mergeCell ref="G275:G276"/>
    <mergeCell ref="H275:H276"/>
    <mergeCell ref="H286:H288"/>
    <mergeCell ref="I286:I288"/>
    <mergeCell ref="N286:N288"/>
    <mergeCell ref="O286:O288"/>
    <mergeCell ref="R277:R279"/>
    <mergeCell ref="S277:S279"/>
    <mergeCell ref="T277:T291"/>
    <mergeCell ref="U277:U279"/>
    <mergeCell ref="L278:L279"/>
    <mergeCell ref="M278:M279"/>
    <mergeCell ref="R280:R282"/>
    <mergeCell ref="S280:S282"/>
    <mergeCell ref="U280:U282"/>
    <mergeCell ref="R283:R285"/>
    <mergeCell ref="H277:H279"/>
    <mergeCell ref="I277:I279"/>
    <mergeCell ref="N277:N279"/>
    <mergeCell ref="O277:O279"/>
    <mergeCell ref="P277:P279"/>
    <mergeCell ref="Q277:Q279"/>
    <mergeCell ref="S275:S276"/>
    <mergeCell ref="T275:T276"/>
    <mergeCell ref="U275:U276"/>
    <mergeCell ref="J276:M276"/>
    <mergeCell ref="R286:R288"/>
    <mergeCell ref="S286:S288"/>
    <mergeCell ref="U286:U288"/>
    <mergeCell ref="L287:L288"/>
    <mergeCell ref="M287:M288"/>
    <mergeCell ref="H280:H282"/>
    <mergeCell ref="I280:I282"/>
    <mergeCell ref="N280:N282"/>
    <mergeCell ref="O280:O282"/>
    <mergeCell ref="P280:P282"/>
    <mergeCell ref="Q280:Q282"/>
    <mergeCell ref="L281:L282"/>
    <mergeCell ref="B270:O271"/>
    <mergeCell ref="P270:R270"/>
    <mergeCell ref="T270:T271"/>
    <mergeCell ref="P271:R271"/>
    <mergeCell ref="H267:H269"/>
    <mergeCell ref="I267:I269"/>
    <mergeCell ref="N267:N269"/>
    <mergeCell ref="O267:O269"/>
    <mergeCell ref="P267:P269"/>
    <mergeCell ref="Q267:Q269"/>
    <mergeCell ref="B267:B269"/>
    <mergeCell ref="C267:C269"/>
    <mergeCell ref="D267:D269"/>
    <mergeCell ref="E267:E269"/>
    <mergeCell ref="F267:F269"/>
    <mergeCell ref="G267:G269"/>
    <mergeCell ref="B277:B279"/>
    <mergeCell ref="C277:C279"/>
    <mergeCell ref="D277:D279"/>
    <mergeCell ref="E277:E279"/>
    <mergeCell ref="F277:F279"/>
    <mergeCell ref="G277:G279"/>
    <mergeCell ref="I275:I276"/>
    <mergeCell ref="J275:M275"/>
    <mergeCell ref="N275:N276"/>
    <mergeCell ref="O275:O276"/>
    <mergeCell ref="P275:Q275"/>
    <mergeCell ref="R275:R276"/>
    <mergeCell ref="C274:E274"/>
    <mergeCell ref="F274:O274"/>
    <mergeCell ref="P274:R274"/>
    <mergeCell ref="B275:B276"/>
    <mergeCell ref="R264:R266"/>
    <mergeCell ref="S264:S266"/>
    <mergeCell ref="U264:U266"/>
    <mergeCell ref="L265:L266"/>
    <mergeCell ref="M265:M266"/>
    <mergeCell ref="G264:G266"/>
    <mergeCell ref="H264:H266"/>
    <mergeCell ref="I264:I266"/>
    <mergeCell ref="N264:N266"/>
    <mergeCell ref="O264:O266"/>
    <mergeCell ref="P264:P266"/>
    <mergeCell ref="R261:R263"/>
    <mergeCell ref="S261:S263"/>
    <mergeCell ref="U261:U263"/>
    <mergeCell ref="L262:L263"/>
    <mergeCell ref="M262:M263"/>
    <mergeCell ref="T255:T269"/>
    <mergeCell ref="U255:U257"/>
    <mergeCell ref="U258:U260"/>
    <mergeCell ref="R267:R269"/>
    <mergeCell ref="S267:S269"/>
    <mergeCell ref="U267:U269"/>
    <mergeCell ref="L268:L269"/>
    <mergeCell ref="M268:M269"/>
    <mergeCell ref="H258:H260"/>
    <mergeCell ref="I258:I260"/>
    <mergeCell ref="N258:N260"/>
    <mergeCell ref="O258:O260"/>
    <mergeCell ref="P258:P260"/>
    <mergeCell ref="Q258:Q260"/>
    <mergeCell ref="L259:L260"/>
    <mergeCell ref="M259:M260"/>
    <mergeCell ref="B264:B266"/>
    <mergeCell ref="C264:C266"/>
    <mergeCell ref="D264:D266"/>
    <mergeCell ref="E264:E266"/>
    <mergeCell ref="F264:F266"/>
    <mergeCell ref="H261:H263"/>
    <mergeCell ref="I261:I263"/>
    <mergeCell ref="N261:N263"/>
    <mergeCell ref="O261:O263"/>
    <mergeCell ref="P261:P263"/>
    <mergeCell ref="Q261:Q263"/>
    <mergeCell ref="B261:B263"/>
    <mergeCell ref="C261:C263"/>
    <mergeCell ref="D261:D263"/>
    <mergeCell ref="E261:E263"/>
    <mergeCell ref="F261:F263"/>
    <mergeCell ref="G261:G263"/>
    <mergeCell ref="Q264:Q266"/>
    <mergeCell ref="B258:B260"/>
    <mergeCell ref="C258:C260"/>
    <mergeCell ref="D258:D260"/>
    <mergeCell ref="E258:E260"/>
    <mergeCell ref="F258:F260"/>
    <mergeCell ref="G258:G260"/>
    <mergeCell ref="Q255:Q257"/>
    <mergeCell ref="R255:R257"/>
    <mergeCell ref="S255:S257"/>
    <mergeCell ref="L256:L257"/>
    <mergeCell ref="M256:M257"/>
    <mergeCell ref="R258:R260"/>
    <mergeCell ref="S258:S260"/>
    <mergeCell ref="G255:G257"/>
    <mergeCell ref="H255:H257"/>
    <mergeCell ref="I255:I257"/>
    <mergeCell ref="N255:N257"/>
    <mergeCell ref="O255:O257"/>
    <mergeCell ref="P255:P257"/>
    <mergeCell ref="R253:R254"/>
    <mergeCell ref="S253:S254"/>
    <mergeCell ref="T253:T254"/>
    <mergeCell ref="U253:U254"/>
    <mergeCell ref="J254:M254"/>
    <mergeCell ref="B255:B257"/>
    <mergeCell ref="C255:C257"/>
    <mergeCell ref="D255:D257"/>
    <mergeCell ref="E255:E257"/>
    <mergeCell ref="F255:F257"/>
    <mergeCell ref="H253:H254"/>
    <mergeCell ref="I253:I254"/>
    <mergeCell ref="J253:M253"/>
    <mergeCell ref="N253:N254"/>
    <mergeCell ref="O253:O254"/>
    <mergeCell ref="P253:Q253"/>
    <mergeCell ref="B253:B254"/>
    <mergeCell ref="C253:C254"/>
    <mergeCell ref="D253:D254"/>
    <mergeCell ref="E253:E254"/>
    <mergeCell ref="F253:F254"/>
    <mergeCell ref="G253:G254"/>
    <mergeCell ref="B248:O249"/>
    <mergeCell ref="P248:R248"/>
    <mergeCell ref="T248:T249"/>
    <mergeCell ref="P249:R249"/>
    <mergeCell ref="C252:E252"/>
    <mergeCell ref="F252:O252"/>
    <mergeCell ref="P252:R252"/>
    <mergeCell ref="Q245:Q247"/>
    <mergeCell ref="R245:R247"/>
    <mergeCell ref="S245:S247"/>
    <mergeCell ref="U245:U247"/>
    <mergeCell ref="L246:L247"/>
    <mergeCell ref="M246:M247"/>
    <mergeCell ref="G245:G247"/>
    <mergeCell ref="H245:H247"/>
    <mergeCell ref="I245:I247"/>
    <mergeCell ref="N245:N247"/>
    <mergeCell ref="O245:O247"/>
    <mergeCell ref="P245:P247"/>
    <mergeCell ref="B245:B247"/>
    <mergeCell ref="C245:C247"/>
    <mergeCell ref="D245:D247"/>
    <mergeCell ref="E245:E247"/>
    <mergeCell ref="F245:F247"/>
    <mergeCell ref="P242:P244"/>
    <mergeCell ref="Q242:Q244"/>
    <mergeCell ref="S239:S241"/>
    <mergeCell ref="U239:U241"/>
    <mergeCell ref="L240:L241"/>
    <mergeCell ref="M240:M241"/>
    <mergeCell ref="B242:B244"/>
    <mergeCell ref="C242:C244"/>
    <mergeCell ref="D242:D244"/>
    <mergeCell ref="E242:E244"/>
    <mergeCell ref="F242:F244"/>
    <mergeCell ref="G242:G244"/>
    <mergeCell ref="H239:H241"/>
    <mergeCell ref="I239:I241"/>
    <mergeCell ref="N239:N241"/>
    <mergeCell ref="O239:O241"/>
    <mergeCell ref="P239:P241"/>
    <mergeCell ref="Q239:Q241"/>
    <mergeCell ref="B239:B241"/>
    <mergeCell ref="C239:C241"/>
    <mergeCell ref="D239:D241"/>
    <mergeCell ref="E239:E241"/>
    <mergeCell ref="F239:F241"/>
    <mergeCell ref="G239:G241"/>
    <mergeCell ref="M237:M238"/>
    <mergeCell ref="B236:B238"/>
    <mergeCell ref="C236:C238"/>
    <mergeCell ref="D236:D238"/>
    <mergeCell ref="E236:E238"/>
    <mergeCell ref="F236:F238"/>
    <mergeCell ref="G236:G238"/>
    <mergeCell ref="C231:C232"/>
    <mergeCell ref="D231:D232"/>
    <mergeCell ref="E231:E232"/>
    <mergeCell ref="F231:F232"/>
    <mergeCell ref="G231:G232"/>
    <mergeCell ref="H231:H232"/>
    <mergeCell ref="H242:H244"/>
    <mergeCell ref="I242:I244"/>
    <mergeCell ref="N242:N244"/>
    <mergeCell ref="O242:O244"/>
    <mergeCell ref="R233:R235"/>
    <mergeCell ref="S233:S235"/>
    <mergeCell ref="T233:T247"/>
    <mergeCell ref="U233:U235"/>
    <mergeCell ref="L234:L235"/>
    <mergeCell ref="M234:M235"/>
    <mergeCell ref="R236:R238"/>
    <mergeCell ref="S236:S238"/>
    <mergeCell ref="U236:U238"/>
    <mergeCell ref="R239:R241"/>
    <mergeCell ref="H233:H235"/>
    <mergeCell ref="I233:I235"/>
    <mergeCell ref="N233:N235"/>
    <mergeCell ref="O233:O235"/>
    <mergeCell ref="P233:P235"/>
    <mergeCell ref="Q233:Q235"/>
    <mergeCell ref="S231:S232"/>
    <mergeCell ref="T231:T232"/>
    <mergeCell ref="U231:U232"/>
    <mergeCell ref="J232:M232"/>
    <mergeCell ref="R242:R244"/>
    <mergeCell ref="S242:S244"/>
    <mergeCell ref="U242:U244"/>
    <mergeCell ref="L243:L244"/>
    <mergeCell ref="M243:M244"/>
    <mergeCell ref="H236:H238"/>
    <mergeCell ref="I236:I238"/>
    <mergeCell ref="N236:N238"/>
    <mergeCell ref="O236:O238"/>
    <mergeCell ref="P236:P238"/>
    <mergeCell ref="Q236:Q238"/>
    <mergeCell ref="L237:L238"/>
    <mergeCell ref="B226:O227"/>
    <mergeCell ref="P226:R226"/>
    <mergeCell ref="T226:T227"/>
    <mergeCell ref="P227:R227"/>
    <mergeCell ref="H223:H225"/>
    <mergeCell ref="I223:I225"/>
    <mergeCell ref="N223:N225"/>
    <mergeCell ref="O223:O225"/>
    <mergeCell ref="P223:P225"/>
    <mergeCell ref="Q223:Q225"/>
    <mergeCell ref="B223:B225"/>
    <mergeCell ref="C223:C225"/>
    <mergeCell ref="D223:D225"/>
    <mergeCell ref="E223:E225"/>
    <mergeCell ref="F223:F225"/>
    <mergeCell ref="G223:G225"/>
    <mergeCell ref="B233:B235"/>
    <mergeCell ref="C233:C235"/>
    <mergeCell ref="D233:D235"/>
    <mergeCell ref="E233:E235"/>
    <mergeCell ref="F233:F235"/>
    <mergeCell ref="G233:G235"/>
    <mergeCell ref="I231:I232"/>
    <mergeCell ref="J231:M231"/>
    <mergeCell ref="N231:N232"/>
    <mergeCell ref="O231:O232"/>
    <mergeCell ref="P231:Q231"/>
    <mergeCell ref="R231:R232"/>
    <mergeCell ref="C230:E230"/>
    <mergeCell ref="F230:O230"/>
    <mergeCell ref="P230:R230"/>
    <mergeCell ref="B231:B232"/>
    <mergeCell ref="R220:R222"/>
    <mergeCell ref="S220:S222"/>
    <mergeCell ref="U220:U222"/>
    <mergeCell ref="L221:L222"/>
    <mergeCell ref="M221:M222"/>
    <mergeCell ref="G220:G222"/>
    <mergeCell ref="H220:H222"/>
    <mergeCell ref="I220:I222"/>
    <mergeCell ref="N220:N222"/>
    <mergeCell ref="O220:O222"/>
    <mergeCell ref="P220:P222"/>
    <mergeCell ref="R217:R219"/>
    <mergeCell ref="S217:S219"/>
    <mergeCell ref="U217:U219"/>
    <mergeCell ref="L218:L219"/>
    <mergeCell ref="M218:M219"/>
    <mergeCell ref="T211:T225"/>
    <mergeCell ref="U211:U213"/>
    <mergeCell ref="U214:U216"/>
    <mergeCell ref="R223:R225"/>
    <mergeCell ref="S223:S225"/>
    <mergeCell ref="U223:U225"/>
    <mergeCell ref="L224:L225"/>
    <mergeCell ref="M224:M225"/>
    <mergeCell ref="H214:H216"/>
    <mergeCell ref="I214:I216"/>
    <mergeCell ref="N214:N216"/>
    <mergeCell ref="O214:O216"/>
    <mergeCell ref="P214:P216"/>
    <mergeCell ref="Q214:Q216"/>
    <mergeCell ref="L215:L216"/>
    <mergeCell ref="M215:M216"/>
    <mergeCell ref="B220:B222"/>
    <mergeCell ref="C220:C222"/>
    <mergeCell ref="D220:D222"/>
    <mergeCell ref="E220:E222"/>
    <mergeCell ref="F220:F222"/>
    <mergeCell ref="H217:H219"/>
    <mergeCell ref="I217:I219"/>
    <mergeCell ref="N217:N219"/>
    <mergeCell ref="O217:O219"/>
    <mergeCell ref="P217:P219"/>
    <mergeCell ref="Q217:Q219"/>
    <mergeCell ref="B217:B219"/>
    <mergeCell ref="C217:C219"/>
    <mergeCell ref="D217:D219"/>
    <mergeCell ref="E217:E219"/>
    <mergeCell ref="F217:F219"/>
    <mergeCell ref="G217:G219"/>
    <mergeCell ref="Q220:Q222"/>
    <mergeCell ref="B214:B216"/>
    <mergeCell ref="C214:C216"/>
    <mergeCell ref="D214:D216"/>
    <mergeCell ref="E214:E216"/>
    <mergeCell ref="F214:F216"/>
    <mergeCell ref="G214:G216"/>
    <mergeCell ref="Q211:Q213"/>
    <mergeCell ref="R211:R213"/>
    <mergeCell ref="S211:S213"/>
    <mergeCell ref="L212:L213"/>
    <mergeCell ref="M212:M213"/>
    <mergeCell ref="R214:R216"/>
    <mergeCell ref="S214:S216"/>
    <mergeCell ref="G211:G213"/>
    <mergeCell ref="H211:H213"/>
    <mergeCell ref="I211:I213"/>
    <mergeCell ref="N211:N213"/>
    <mergeCell ref="O211:O213"/>
    <mergeCell ref="P211:P213"/>
    <mergeCell ref="R209:R210"/>
    <mergeCell ref="S209:S210"/>
    <mergeCell ref="T209:T210"/>
    <mergeCell ref="U209:U210"/>
    <mergeCell ref="J210:M210"/>
    <mergeCell ref="B211:B213"/>
    <mergeCell ref="C211:C213"/>
    <mergeCell ref="D211:D213"/>
    <mergeCell ref="E211:E213"/>
    <mergeCell ref="F211:F213"/>
    <mergeCell ref="H209:H210"/>
    <mergeCell ref="I209:I210"/>
    <mergeCell ref="J209:M209"/>
    <mergeCell ref="N209:N210"/>
    <mergeCell ref="O209:O210"/>
    <mergeCell ref="P209:Q209"/>
    <mergeCell ref="B209:B210"/>
    <mergeCell ref="C209:C210"/>
    <mergeCell ref="D209:D210"/>
    <mergeCell ref="E209:E210"/>
    <mergeCell ref="F209:F210"/>
    <mergeCell ref="G209:G210"/>
    <mergeCell ref="B204:O205"/>
    <mergeCell ref="P204:R204"/>
    <mergeCell ref="T204:T205"/>
    <mergeCell ref="P205:R205"/>
    <mergeCell ref="C208:E208"/>
    <mergeCell ref="F208:O208"/>
    <mergeCell ref="P208:R208"/>
    <mergeCell ref="Q201:Q203"/>
    <mergeCell ref="R201:R203"/>
    <mergeCell ref="S201:S203"/>
    <mergeCell ref="U201:U203"/>
    <mergeCell ref="L202:L203"/>
    <mergeCell ref="M202:M203"/>
    <mergeCell ref="G201:G203"/>
    <mergeCell ref="H201:H203"/>
    <mergeCell ref="I201:I203"/>
    <mergeCell ref="N201:N203"/>
    <mergeCell ref="O201:O203"/>
    <mergeCell ref="P201:P203"/>
    <mergeCell ref="B201:B203"/>
    <mergeCell ref="C201:C203"/>
    <mergeCell ref="D201:D203"/>
    <mergeCell ref="E201:E203"/>
    <mergeCell ref="F201:F203"/>
    <mergeCell ref="P198:P200"/>
    <mergeCell ref="Q198:Q200"/>
    <mergeCell ref="S195:S197"/>
    <mergeCell ref="U195:U197"/>
    <mergeCell ref="L196:L197"/>
    <mergeCell ref="M196:M197"/>
    <mergeCell ref="B198:B200"/>
    <mergeCell ref="C198:C200"/>
    <mergeCell ref="D198:D200"/>
    <mergeCell ref="E198:E200"/>
    <mergeCell ref="F198:F200"/>
    <mergeCell ref="G198:G200"/>
    <mergeCell ref="H195:H197"/>
    <mergeCell ref="I195:I197"/>
    <mergeCell ref="N195:N197"/>
    <mergeCell ref="O195:O197"/>
    <mergeCell ref="P195:P197"/>
    <mergeCell ref="Q195:Q197"/>
    <mergeCell ref="B195:B197"/>
    <mergeCell ref="C195:C197"/>
    <mergeCell ref="D195:D197"/>
    <mergeCell ref="E195:E197"/>
    <mergeCell ref="F195:F197"/>
    <mergeCell ref="G195:G197"/>
    <mergeCell ref="M193:M194"/>
    <mergeCell ref="B192:B194"/>
    <mergeCell ref="C192:C194"/>
    <mergeCell ref="D192:D194"/>
    <mergeCell ref="E192:E194"/>
    <mergeCell ref="F192:F194"/>
    <mergeCell ref="G192:G194"/>
    <mergeCell ref="C187:C188"/>
    <mergeCell ref="D187:D188"/>
    <mergeCell ref="E187:E188"/>
    <mergeCell ref="F187:F188"/>
    <mergeCell ref="G187:G188"/>
    <mergeCell ref="H187:H188"/>
    <mergeCell ref="H198:H200"/>
    <mergeCell ref="I198:I200"/>
    <mergeCell ref="N198:N200"/>
    <mergeCell ref="O198:O200"/>
    <mergeCell ref="R189:R191"/>
    <mergeCell ref="S189:S191"/>
    <mergeCell ref="T189:T203"/>
    <mergeCell ref="U189:U191"/>
    <mergeCell ref="L190:L191"/>
    <mergeCell ref="M190:M191"/>
    <mergeCell ref="R192:R194"/>
    <mergeCell ref="S192:S194"/>
    <mergeCell ref="U192:U194"/>
    <mergeCell ref="R195:R197"/>
    <mergeCell ref="H189:H191"/>
    <mergeCell ref="I189:I191"/>
    <mergeCell ref="N189:N191"/>
    <mergeCell ref="O189:O191"/>
    <mergeCell ref="P189:P191"/>
    <mergeCell ref="Q189:Q191"/>
    <mergeCell ref="S187:S188"/>
    <mergeCell ref="T187:T188"/>
    <mergeCell ref="U187:U188"/>
    <mergeCell ref="J188:M188"/>
    <mergeCell ref="R198:R200"/>
    <mergeCell ref="S198:S200"/>
    <mergeCell ref="U198:U200"/>
    <mergeCell ref="L199:L200"/>
    <mergeCell ref="M199:M200"/>
    <mergeCell ref="H192:H194"/>
    <mergeCell ref="I192:I194"/>
    <mergeCell ref="N192:N194"/>
    <mergeCell ref="O192:O194"/>
    <mergeCell ref="P192:P194"/>
    <mergeCell ref="Q192:Q194"/>
    <mergeCell ref="L193:L194"/>
    <mergeCell ref="B182:O183"/>
    <mergeCell ref="P182:R182"/>
    <mergeCell ref="T182:T183"/>
    <mergeCell ref="P183:R183"/>
    <mergeCell ref="H179:H181"/>
    <mergeCell ref="I179:I181"/>
    <mergeCell ref="N179:N181"/>
    <mergeCell ref="O179:O181"/>
    <mergeCell ref="P179:P181"/>
    <mergeCell ref="Q179:Q181"/>
    <mergeCell ref="B179:B181"/>
    <mergeCell ref="C179:C181"/>
    <mergeCell ref="D179:D181"/>
    <mergeCell ref="E179:E181"/>
    <mergeCell ref="F179:F181"/>
    <mergeCell ref="G179:G181"/>
    <mergeCell ref="B189:B191"/>
    <mergeCell ref="C189:C191"/>
    <mergeCell ref="D189:D191"/>
    <mergeCell ref="E189:E191"/>
    <mergeCell ref="F189:F191"/>
    <mergeCell ref="G189:G191"/>
    <mergeCell ref="I187:I188"/>
    <mergeCell ref="J187:M187"/>
    <mergeCell ref="N187:N188"/>
    <mergeCell ref="O187:O188"/>
    <mergeCell ref="P187:Q187"/>
    <mergeCell ref="R187:R188"/>
    <mergeCell ref="C186:E186"/>
    <mergeCell ref="F186:O186"/>
    <mergeCell ref="P186:R186"/>
    <mergeCell ref="B187:B188"/>
    <mergeCell ref="R176:R178"/>
    <mergeCell ref="S176:S178"/>
    <mergeCell ref="U176:U178"/>
    <mergeCell ref="L177:L178"/>
    <mergeCell ref="M177:M178"/>
    <mergeCell ref="G176:G178"/>
    <mergeCell ref="H176:H178"/>
    <mergeCell ref="I176:I178"/>
    <mergeCell ref="N176:N178"/>
    <mergeCell ref="O176:O178"/>
    <mergeCell ref="P176:P178"/>
    <mergeCell ref="R173:R175"/>
    <mergeCell ref="S173:S175"/>
    <mergeCell ref="U173:U175"/>
    <mergeCell ref="L174:L175"/>
    <mergeCell ref="M174:M175"/>
    <mergeCell ref="T167:T181"/>
    <mergeCell ref="U167:U169"/>
    <mergeCell ref="U170:U172"/>
    <mergeCell ref="R179:R181"/>
    <mergeCell ref="S179:S181"/>
    <mergeCell ref="U179:U181"/>
    <mergeCell ref="L180:L181"/>
    <mergeCell ref="M180:M181"/>
    <mergeCell ref="H170:H172"/>
    <mergeCell ref="I170:I172"/>
    <mergeCell ref="N170:N172"/>
    <mergeCell ref="O170:O172"/>
    <mergeCell ref="P170:P172"/>
    <mergeCell ref="Q170:Q172"/>
    <mergeCell ref="L171:L172"/>
    <mergeCell ref="M171:M172"/>
    <mergeCell ref="B176:B178"/>
    <mergeCell ref="C176:C178"/>
    <mergeCell ref="D176:D178"/>
    <mergeCell ref="E176:E178"/>
    <mergeCell ref="F176:F178"/>
    <mergeCell ref="H173:H175"/>
    <mergeCell ref="I173:I175"/>
    <mergeCell ref="N173:N175"/>
    <mergeCell ref="O173:O175"/>
    <mergeCell ref="P173:P175"/>
    <mergeCell ref="Q173:Q175"/>
    <mergeCell ref="B173:B175"/>
    <mergeCell ref="C173:C175"/>
    <mergeCell ref="D173:D175"/>
    <mergeCell ref="E173:E175"/>
    <mergeCell ref="F173:F175"/>
    <mergeCell ref="G173:G175"/>
    <mergeCell ref="Q176:Q178"/>
    <mergeCell ref="B170:B172"/>
    <mergeCell ref="C170:C172"/>
    <mergeCell ref="D170:D172"/>
    <mergeCell ref="E170:E172"/>
    <mergeCell ref="F170:F172"/>
    <mergeCell ref="G170:G172"/>
    <mergeCell ref="Q167:Q169"/>
    <mergeCell ref="R167:R169"/>
    <mergeCell ref="S167:S169"/>
    <mergeCell ref="L168:L169"/>
    <mergeCell ref="M168:M169"/>
    <mergeCell ref="R170:R172"/>
    <mergeCell ref="S170:S172"/>
    <mergeCell ref="G167:G169"/>
    <mergeCell ref="H167:H169"/>
    <mergeCell ref="I167:I169"/>
    <mergeCell ref="N167:N169"/>
    <mergeCell ref="O167:O169"/>
    <mergeCell ref="P167:P169"/>
    <mergeCell ref="R165:R166"/>
    <mergeCell ref="S165:S166"/>
    <mergeCell ref="T165:T166"/>
    <mergeCell ref="U165:U166"/>
    <mergeCell ref="J166:M166"/>
    <mergeCell ref="B167:B169"/>
    <mergeCell ref="C167:C169"/>
    <mergeCell ref="D167:D169"/>
    <mergeCell ref="E167:E169"/>
    <mergeCell ref="F167:F169"/>
    <mergeCell ref="H165:H166"/>
    <mergeCell ref="I165:I166"/>
    <mergeCell ref="J165:M165"/>
    <mergeCell ref="N165:N166"/>
    <mergeCell ref="O165:O166"/>
    <mergeCell ref="P165:Q165"/>
    <mergeCell ref="B165:B166"/>
    <mergeCell ref="C165:C166"/>
    <mergeCell ref="D165:D166"/>
    <mergeCell ref="E165:E166"/>
    <mergeCell ref="F165:F166"/>
    <mergeCell ref="G165:G166"/>
    <mergeCell ref="B160:O161"/>
    <mergeCell ref="P160:R160"/>
    <mergeCell ref="T160:T161"/>
    <mergeCell ref="P161:R161"/>
    <mergeCell ref="C164:E164"/>
    <mergeCell ref="F164:O164"/>
    <mergeCell ref="P164:R164"/>
    <mergeCell ref="Q157:Q159"/>
    <mergeCell ref="R157:R159"/>
    <mergeCell ref="S157:S159"/>
    <mergeCell ref="U157:U159"/>
    <mergeCell ref="L158:L159"/>
    <mergeCell ref="M158:M159"/>
    <mergeCell ref="G157:G159"/>
    <mergeCell ref="H157:H159"/>
    <mergeCell ref="I157:I159"/>
    <mergeCell ref="N157:N159"/>
    <mergeCell ref="O157:O159"/>
    <mergeCell ref="P157:P159"/>
    <mergeCell ref="B157:B159"/>
    <mergeCell ref="C157:C159"/>
    <mergeCell ref="D157:D159"/>
    <mergeCell ref="E157:E159"/>
    <mergeCell ref="F157:F159"/>
    <mergeCell ref="P154:P156"/>
    <mergeCell ref="Q154:Q156"/>
    <mergeCell ref="S151:S153"/>
    <mergeCell ref="U151:U153"/>
    <mergeCell ref="L152:L153"/>
    <mergeCell ref="M152:M153"/>
    <mergeCell ref="B154:B156"/>
    <mergeCell ref="C154:C156"/>
    <mergeCell ref="D154:D156"/>
    <mergeCell ref="E154:E156"/>
    <mergeCell ref="F154:F156"/>
    <mergeCell ref="G154:G156"/>
    <mergeCell ref="H151:H153"/>
    <mergeCell ref="I151:I153"/>
    <mergeCell ref="N151:N153"/>
    <mergeCell ref="O151:O153"/>
    <mergeCell ref="P151:P153"/>
    <mergeCell ref="Q151:Q153"/>
    <mergeCell ref="B151:B153"/>
    <mergeCell ref="C151:C153"/>
    <mergeCell ref="D151:D153"/>
    <mergeCell ref="E151:E153"/>
    <mergeCell ref="F151:F153"/>
    <mergeCell ref="G151:G153"/>
    <mergeCell ref="M149:M150"/>
    <mergeCell ref="B148:B150"/>
    <mergeCell ref="C148:C150"/>
    <mergeCell ref="D148:D150"/>
    <mergeCell ref="E148:E150"/>
    <mergeCell ref="F148:F150"/>
    <mergeCell ref="G148:G150"/>
    <mergeCell ref="C143:C144"/>
    <mergeCell ref="D143:D144"/>
    <mergeCell ref="E143:E144"/>
    <mergeCell ref="F143:F144"/>
    <mergeCell ref="G143:G144"/>
    <mergeCell ref="H143:H144"/>
    <mergeCell ref="H154:H156"/>
    <mergeCell ref="I154:I156"/>
    <mergeCell ref="N154:N156"/>
    <mergeCell ref="O154:O156"/>
    <mergeCell ref="R145:R147"/>
    <mergeCell ref="S145:S147"/>
    <mergeCell ref="T145:T159"/>
    <mergeCell ref="U145:U147"/>
    <mergeCell ref="L146:L147"/>
    <mergeCell ref="M146:M147"/>
    <mergeCell ref="R148:R150"/>
    <mergeCell ref="S148:S150"/>
    <mergeCell ref="U148:U150"/>
    <mergeCell ref="R151:R153"/>
    <mergeCell ref="H145:H147"/>
    <mergeCell ref="I145:I147"/>
    <mergeCell ref="N145:N147"/>
    <mergeCell ref="O145:O147"/>
    <mergeCell ref="P145:P147"/>
    <mergeCell ref="Q145:Q147"/>
    <mergeCell ref="S143:S144"/>
    <mergeCell ref="T143:T144"/>
    <mergeCell ref="U143:U144"/>
    <mergeCell ref="J144:M144"/>
    <mergeCell ref="R154:R156"/>
    <mergeCell ref="S154:S156"/>
    <mergeCell ref="U154:U156"/>
    <mergeCell ref="L155:L156"/>
    <mergeCell ref="M155:M156"/>
    <mergeCell ref="H148:H150"/>
    <mergeCell ref="I148:I150"/>
    <mergeCell ref="N148:N150"/>
    <mergeCell ref="O148:O150"/>
    <mergeCell ref="P148:P150"/>
    <mergeCell ref="Q148:Q150"/>
    <mergeCell ref="L149:L150"/>
    <mergeCell ref="B138:O139"/>
    <mergeCell ref="P138:R138"/>
    <mergeCell ref="T138:T139"/>
    <mergeCell ref="P139:R139"/>
    <mergeCell ref="H135:H137"/>
    <mergeCell ref="I135:I137"/>
    <mergeCell ref="N135:N137"/>
    <mergeCell ref="O135:O137"/>
    <mergeCell ref="P135:P137"/>
    <mergeCell ref="Q135:Q137"/>
    <mergeCell ref="B135:B137"/>
    <mergeCell ref="C135:C137"/>
    <mergeCell ref="D135:D137"/>
    <mergeCell ref="E135:E137"/>
    <mergeCell ref="F135:F137"/>
    <mergeCell ref="G135:G137"/>
    <mergeCell ref="B145:B147"/>
    <mergeCell ref="C145:C147"/>
    <mergeCell ref="D145:D147"/>
    <mergeCell ref="E145:E147"/>
    <mergeCell ref="F145:F147"/>
    <mergeCell ref="G145:G147"/>
    <mergeCell ref="I143:I144"/>
    <mergeCell ref="J143:M143"/>
    <mergeCell ref="N143:N144"/>
    <mergeCell ref="O143:O144"/>
    <mergeCell ref="P143:Q143"/>
    <mergeCell ref="R143:R144"/>
    <mergeCell ref="C142:E142"/>
    <mergeCell ref="F142:O142"/>
    <mergeCell ref="P142:R142"/>
    <mergeCell ref="B143:B144"/>
    <mergeCell ref="R132:R134"/>
    <mergeCell ref="S132:S134"/>
    <mergeCell ref="U132:U134"/>
    <mergeCell ref="L133:L134"/>
    <mergeCell ref="M133:M134"/>
    <mergeCell ref="G132:G134"/>
    <mergeCell ref="H132:H134"/>
    <mergeCell ref="I132:I134"/>
    <mergeCell ref="N132:N134"/>
    <mergeCell ref="O132:O134"/>
    <mergeCell ref="P132:P134"/>
    <mergeCell ref="R129:R131"/>
    <mergeCell ref="S129:S131"/>
    <mergeCell ref="U129:U131"/>
    <mergeCell ref="L130:L131"/>
    <mergeCell ref="M130:M131"/>
    <mergeCell ref="T123:T137"/>
    <mergeCell ref="U123:U125"/>
    <mergeCell ref="U126:U128"/>
    <mergeCell ref="R135:R137"/>
    <mergeCell ref="S135:S137"/>
    <mergeCell ref="U135:U137"/>
    <mergeCell ref="L136:L137"/>
    <mergeCell ref="M136:M137"/>
    <mergeCell ref="H126:H128"/>
    <mergeCell ref="I126:I128"/>
    <mergeCell ref="N126:N128"/>
    <mergeCell ref="O126:O128"/>
    <mergeCell ref="P126:P128"/>
    <mergeCell ref="Q126:Q128"/>
    <mergeCell ref="L127:L128"/>
    <mergeCell ref="M127:M128"/>
    <mergeCell ref="B132:B134"/>
    <mergeCell ref="C132:C134"/>
    <mergeCell ref="D132:D134"/>
    <mergeCell ref="E132:E134"/>
    <mergeCell ref="F132:F134"/>
    <mergeCell ref="H129:H131"/>
    <mergeCell ref="I129:I131"/>
    <mergeCell ref="N129:N131"/>
    <mergeCell ref="O129:O131"/>
    <mergeCell ref="P129:P131"/>
    <mergeCell ref="Q129:Q131"/>
    <mergeCell ref="B129:B131"/>
    <mergeCell ref="C129:C131"/>
    <mergeCell ref="D129:D131"/>
    <mergeCell ref="E129:E131"/>
    <mergeCell ref="F129:F131"/>
    <mergeCell ref="G129:G131"/>
    <mergeCell ref="Q132:Q134"/>
    <mergeCell ref="B126:B128"/>
    <mergeCell ref="C126:C128"/>
    <mergeCell ref="D126:D128"/>
    <mergeCell ref="E126:E128"/>
    <mergeCell ref="F126:F128"/>
    <mergeCell ref="G126:G128"/>
    <mergeCell ref="Q123:Q125"/>
    <mergeCell ref="R123:R125"/>
    <mergeCell ref="S123:S125"/>
    <mergeCell ref="L124:L125"/>
    <mergeCell ref="M124:M125"/>
    <mergeCell ref="R126:R128"/>
    <mergeCell ref="S126:S128"/>
    <mergeCell ref="G123:G125"/>
    <mergeCell ref="H123:H125"/>
    <mergeCell ref="I123:I125"/>
    <mergeCell ref="N123:N125"/>
    <mergeCell ref="O123:O125"/>
    <mergeCell ref="P123:P125"/>
    <mergeCell ref="R121:R122"/>
    <mergeCell ref="S121:S122"/>
    <mergeCell ref="T121:T122"/>
    <mergeCell ref="U121:U122"/>
    <mergeCell ref="J122:M122"/>
    <mergeCell ref="B123:B125"/>
    <mergeCell ref="C123:C125"/>
    <mergeCell ref="D123:D125"/>
    <mergeCell ref="E123:E125"/>
    <mergeCell ref="F123:F125"/>
    <mergeCell ref="H121:H122"/>
    <mergeCell ref="I121:I122"/>
    <mergeCell ref="J121:M121"/>
    <mergeCell ref="N121:N122"/>
    <mergeCell ref="O121:O122"/>
    <mergeCell ref="P121:Q121"/>
    <mergeCell ref="B121:B122"/>
    <mergeCell ref="C121:C122"/>
    <mergeCell ref="D121:D122"/>
    <mergeCell ref="E121:E122"/>
    <mergeCell ref="F121:F122"/>
    <mergeCell ref="G121:G122"/>
    <mergeCell ref="B116:O117"/>
    <mergeCell ref="P116:R116"/>
    <mergeCell ref="T116:T117"/>
    <mergeCell ref="P117:R117"/>
    <mergeCell ref="C120:E120"/>
    <mergeCell ref="F120:O120"/>
    <mergeCell ref="P120:R120"/>
    <mergeCell ref="Q113:Q115"/>
    <mergeCell ref="R113:R115"/>
    <mergeCell ref="S113:S115"/>
    <mergeCell ref="U113:U115"/>
    <mergeCell ref="L114:L115"/>
    <mergeCell ref="M114:M115"/>
    <mergeCell ref="G113:G115"/>
    <mergeCell ref="H113:H115"/>
    <mergeCell ref="I113:I115"/>
    <mergeCell ref="N113:N115"/>
    <mergeCell ref="O113:O115"/>
    <mergeCell ref="P113:P115"/>
    <mergeCell ref="B113:B115"/>
    <mergeCell ref="C113:C115"/>
    <mergeCell ref="D113:D115"/>
    <mergeCell ref="E113:E115"/>
    <mergeCell ref="F113:F115"/>
    <mergeCell ref="P110:P112"/>
    <mergeCell ref="Q110:Q112"/>
    <mergeCell ref="S107:S109"/>
    <mergeCell ref="U107:U109"/>
    <mergeCell ref="L108:L109"/>
    <mergeCell ref="M108:M109"/>
    <mergeCell ref="B110:B112"/>
    <mergeCell ref="C110:C112"/>
    <mergeCell ref="D110:D112"/>
    <mergeCell ref="E110:E112"/>
    <mergeCell ref="F110:F112"/>
    <mergeCell ref="G110:G112"/>
    <mergeCell ref="H107:H109"/>
    <mergeCell ref="I107:I109"/>
    <mergeCell ref="N107:N109"/>
    <mergeCell ref="O107:O109"/>
    <mergeCell ref="P107:P109"/>
    <mergeCell ref="Q107:Q109"/>
    <mergeCell ref="B107:B109"/>
    <mergeCell ref="C107:C109"/>
    <mergeCell ref="D107:D109"/>
    <mergeCell ref="E107:E109"/>
    <mergeCell ref="F107:F109"/>
    <mergeCell ref="G107:G109"/>
    <mergeCell ref="M105:M106"/>
    <mergeCell ref="B104:B106"/>
    <mergeCell ref="C104:C106"/>
    <mergeCell ref="D104:D106"/>
    <mergeCell ref="E104:E106"/>
    <mergeCell ref="F104:F106"/>
    <mergeCell ref="G104:G106"/>
    <mergeCell ref="C99:C100"/>
    <mergeCell ref="D99:D100"/>
    <mergeCell ref="E99:E100"/>
    <mergeCell ref="F99:F100"/>
    <mergeCell ref="G99:G100"/>
    <mergeCell ref="H99:H100"/>
    <mergeCell ref="H110:H112"/>
    <mergeCell ref="I110:I112"/>
    <mergeCell ref="N110:N112"/>
    <mergeCell ref="O110:O112"/>
    <mergeCell ref="R101:R103"/>
    <mergeCell ref="S101:S103"/>
    <mergeCell ref="T101:T115"/>
    <mergeCell ref="U101:U103"/>
    <mergeCell ref="L102:L103"/>
    <mergeCell ref="M102:M103"/>
    <mergeCell ref="R104:R106"/>
    <mergeCell ref="S104:S106"/>
    <mergeCell ref="U104:U106"/>
    <mergeCell ref="R107:R109"/>
    <mergeCell ref="H101:H103"/>
    <mergeCell ref="I101:I103"/>
    <mergeCell ref="N101:N103"/>
    <mergeCell ref="O101:O103"/>
    <mergeCell ref="P101:P103"/>
    <mergeCell ref="Q101:Q103"/>
    <mergeCell ref="S99:S100"/>
    <mergeCell ref="T99:T100"/>
    <mergeCell ref="U99:U100"/>
    <mergeCell ref="J100:M100"/>
    <mergeCell ref="R110:R112"/>
    <mergeCell ref="S110:S112"/>
    <mergeCell ref="U110:U112"/>
    <mergeCell ref="L111:L112"/>
    <mergeCell ref="M111:M112"/>
    <mergeCell ref="H104:H106"/>
    <mergeCell ref="I104:I106"/>
    <mergeCell ref="N104:N106"/>
    <mergeCell ref="O104:O106"/>
    <mergeCell ref="P104:P106"/>
    <mergeCell ref="Q104:Q106"/>
    <mergeCell ref="L105:L106"/>
    <mergeCell ref="B94:O95"/>
    <mergeCell ref="P94:R94"/>
    <mergeCell ref="T94:T95"/>
    <mergeCell ref="P95:R95"/>
    <mergeCell ref="H91:H93"/>
    <mergeCell ref="I91:I93"/>
    <mergeCell ref="N91:N93"/>
    <mergeCell ref="O91:O93"/>
    <mergeCell ref="P91:P93"/>
    <mergeCell ref="Q91:Q93"/>
    <mergeCell ref="B91:B93"/>
    <mergeCell ref="C91:C93"/>
    <mergeCell ref="D91:D93"/>
    <mergeCell ref="E91:E93"/>
    <mergeCell ref="F91:F93"/>
    <mergeCell ref="G91:G93"/>
    <mergeCell ref="B101:B103"/>
    <mergeCell ref="C101:C103"/>
    <mergeCell ref="D101:D103"/>
    <mergeCell ref="E101:E103"/>
    <mergeCell ref="F101:F103"/>
    <mergeCell ref="G101:G103"/>
    <mergeCell ref="I99:I100"/>
    <mergeCell ref="J99:M99"/>
    <mergeCell ref="N99:N100"/>
    <mergeCell ref="O99:O100"/>
    <mergeCell ref="P99:Q99"/>
    <mergeCell ref="R99:R100"/>
    <mergeCell ref="C98:E98"/>
    <mergeCell ref="F98:O98"/>
    <mergeCell ref="P98:R98"/>
    <mergeCell ref="B99:B100"/>
    <mergeCell ref="R88:R90"/>
    <mergeCell ref="S88:S90"/>
    <mergeCell ref="U88:U90"/>
    <mergeCell ref="L89:L90"/>
    <mergeCell ref="M89:M90"/>
    <mergeCell ref="G88:G90"/>
    <mergeCell ref="H88:H90"/>
    <mergeCell ref="I88:I90"/>
    <mergeCell ref="N88:N90"/>
    <mergeCell ref="O88:O90"/>
    <mergeCell ref="P88:P90"/>
    <mergeCell ref="R85:R87"/>
    <mergeCell ref="S85:S87"/>
    <mergeCell ref="U85:U87"/>
    <mergeCell ref="L86:L87"/>
    <mergeCell ref="M86:M87"/>
    <mergeCell ref="T79:T93"/>
    <mergeCell ref="U79:U81"/>
    <mergeCell ref="U82:U84"/>
    <mergeCell ref="R91:R93"/>
    <mergeCell ref="S91:S93"/>
    <mergeCell ref="U91:U93"/>
    <mergeCell ref="L92:L93"/>
    <mergeCell ref="M92:M93"/>
    <mergeCell ref="H82:H84"/>
    <mergeCell ref="I82:I84"/>
    <mergeCell ref="N82:N84"/>
    <mergeCell ref="O82:O84"/>
    <mergeCell ref="P82:P84"/>
    <mergeCell ref="Q82:Q84"/>
    <mergeCell ref="L83:L84"/>
    <mergeCell ref="M83:M84"/>
    <mergeCell ref="B88:B90"/>
    <mergeCell ref="C88:C90"/>
    <mergeCell ref="D88:D90"/>
    <mergeCell ref="E88:E90"/>
    <mergeCell ref="F88:F90"/>
    <mergeCell ref="H85:H87"/>
    <mergeCell ref="I85:I87"/>
    <mergeCell ref="N85:N87"/>
    <mergeCell ref="O85:O87"/>
    <mergeCell ref="P85:P87"/>
    <mergeCell ref="Q85:Q87"/>
    <mergeCell ref="B85:B87"/>
    <mergeCell ref="C85:C87"/>
    <mergeCell ref="D85:D87"/>
    <mergeCell ref="E85:E87"/>
    <mergeCell ref="F85:F87"/>
    <mergeCell ref="G85:G87"/>
    <mergeCell ref="Q88:Q90"/>
    <mergeCell ref="B82:B84"/>
    <mergeCell ref="C82:C84"/>
    <mergeCell ref="D82:D84"/>
    <mergeCell ref="E82:E84"/>
    <mergeCell ref="F82:F84"/>
    <mergeCell ref="G82:G84"/>
    <mergeCell ref="Q79:Q81"/>
    <mergeCell ref="R79:R81"/>
    <mergeCell ref="S79:S81"/>
    <mergeCell ref="L80:L81"/>
    <mergeCell ref="M80:M81"/>
    <mergeCell ref="R82:R84"/>
    <mergeCell ref="S82:S84"/>
    <mergeCell ref="G79:G81"/>
    <mergeCell ref="H79:H81"/>
    <mergeCell ref="I79:I81"/>
    <mergeCell ref="N79:N81"/>
    <mergeCell ref="O79:O81"/>
    <mergeCell ref="P79:P81"/>
    <mergeCell ref="R77:R78"/>
    <mergeCell ref="S77:S78"/>
    <mergeCell ref="T77:T78"/>
    <mergeCell ref="U77:U78"/>
    <mergeCell ref="J78:M78"/>
    <mergeCell ref="B79:B81"/>
    <mergeCell ref="C79:C81"/>
    <mergeCell ref="D79:D81"/>
    <mergeCell ref="E79:E81"/>
    <mergeCell ref="F79:F81"/>
    <mergeCell ref="H77:H78"/>
    <mergeCell ref="I77:I78"/>
    <mergeCell ref="J77:M77"/>
    <mergeCell ref="N77:N78"/>
    <mergeCell ref="O77:O78"/>
    <mergeCell ref="P77:Q77"/>
    <mergeCell ref="B77:B78"/>
    <mergeCell ref="C77:C78"/>
    <mergeCell ref="D77:D78"/>
    <mergeCell ref="E77:E78"/>
    <mergeCell ref="F77:F78"/>
    <mergeCell ref="G77:G78"/>
    <mergeCell ref="B72:O73"/>
    <mergeCell ref="P72:R72"/>
    <mergeCell ref="T72:T73"/>
    <mergeCell ref="P73:R73"/>
    <mergeCell ref="C76:E76"/>
    <mergeCell ref="F76:O76"/>
    <mergeCell ref="P76:R76"/>
    <mergeCell ref="Q69:Q71"/>
    <mergeCell ref="R69:R71"/>
    <mergeCell ref="S69:S71"/>
    <mergeCell ref="U69:U71"/>
    <mergeCell ref="L70:L71"/>
    <mergeCell ref="M70:M71"/>
    <mergeCell ref="G69:G71"/>
    <mergeCell ref="H69:H71"/>
    <mergeCell ref="I69:I71"/>
    <mergeCell ref="N69:N71"/>
    <mergeCell ref="O69:O71"/>
    <mergeCell ref="P69:P71"/>
    <mergeCell ref="B69:B71"/>
    <mergeCell ref="C69:C71"/>
    <mergeCell ref="D69:D71"/>
    <mergeCell ref="E69:E71"/>
    <mergeCell ref="F69:F71"/>
    <mergeCell ref="P66:P68"/>
    <mergeCell ref="Q66:Q68"/>
    <mergeCell ref="S63:S65"/>
    <mergeCell ref="U63:U65"/>
    <mergeCell ref="L64:L65"/>
    <mergeCell ref="M64:M65"/>
    <mergeCell ref="B66:B68"/>
    <mergeCell ref="C66:C68"/>
    <mergeCell ref="D66:D68"/>
    <mergeCell ref="E66:E68"/>
    <mergeCell ref="F66:F68"/>
    <mergeCell ref="G66:G68"/>
    <mergeCell ref="H63:H65"/>
    <mergeCell ref="I63:I65"/>
    <mergeCell ref="N63:N65"/>
    <mergeCell ref="O63:O65"/>
    <mergeCell ref="P63:P65"/>
    <mergeCell ref="Q63:Q65"/>
    <mergeCell ref="B63:B65"/>
    <mergeCell ref="C63:C65"/>
    <mergeCell ref="D63:D65"/>
    <mergeCell ref="E63:E65"/>
    <mergeCell ref="F63:F65"/>
    <mergeCell ref="G63:G65"/>
    <mergeCell ref="M61:M62"/>
    <mergeCell ref="B60:B62"/>
    <mergeCell ref="C60:C62"/>
    <mergeCell ref="D60:D62"/>
    <mergeCell ref="E60:E62"/>
    <mergeCell ref="F60:F62"/>
    <mergeCell ref="G60:G62"/>
    <mergeCell ref="C55:C56"/>
    <mergeCell ref="D55:D56"/>
    <mergeCell ref="E55:E56"/>
    <mergeCell ref="F55:F56"/>
    <mergeCell ref="G55:G56"/>
    <mergeCell ref="H55:H56"/>
    <mergeCell ref="H66:H68"/>
    <mergeCell ref="I66:I68"/>
    <mergeCell ref="N66:N68"/>
    <mergeCell ref="O66:O68"/>
    <mergeCell ref="R57:R59"/>
    <mergeCell ref="S57:S59"/>
    <mergeCell ref="T57:T71"/>
    <mergeCell ref="U57:U59"/>
    <mergeCell ref="L58:L59"/>
    <mergeCell ref="M58:M59"/>
    <mergeCell ref="R60:R62"/>
    <mergeCell ref="S60:S62"/>
    <mergeCell ref="U60:U62"/>
    <mergeCell ref="R63:R65"/>
    <mergeCell ref="H57:H59"/>
    <mergeCell ref="I57:I59"/>
    <mergeCell ref="N57:N59"/>
    <mergeCell ref="O57:O59"/>
    <mergeCell ref="P57:P59"/>
    <mergeCell ref="Q57:Q59"/>
    <mergeCell ref="S55:S56"/>
    <mergeCell ref="T55:T56"/>
    <mergeCell ref="U55:U56"/>
    <mergeCell ref="J56:M56"/>
    <mergeCell ref="R66:R68"/>
    <mergeCell ref="S66:S68"/>
    <mergeCell ref="U66:U68"/>
    <mergeCell ref="L67:L68"/>
    <mergeCell ref="M67:M68"/>
    <mergeCell ref="H60:H62"/>
    <mergeCell ref="I60:I62"/>
    <mergeCell ref="N60:N62"/>
    <mergeCell ref="O60:O62"/>
    <mergeCell ref="P60:P62"/>
    <mergeCell ref="Q60:Q62"/>
    <mergeCell ref="L61:L62"/>
    <mergeCell ref="B50:O51"/>
    <mergeCell ref="P50:R50"/>
    <mergeCell ref="T50:T51"/>
    <mergeCell ref="P51:R51"/>
    <mergeCell ref="H47:H49"/>
    <mergeCell ref="I47:I49"/>
    <mergeCell ref="N47:N49"/>
    <mergeCell ref="O47:O49"/>
    <mergeCell ref="P47:P49"/>
    <mergeCell ref="Q47:Q49"/>
    <mergeCell ref="B47:B49"/>
    <mergeCell ref="C47:C49"/>
    <mergeCell ref="D47:D49"/>
    <mergeCell ref="E47:E49"/>
    <mergeCell ref="F47:F49"/>
    <mergeCell ref="G47:G49"/>
    <mergeCell ref="B57:B59"/>
    <mergeCell ref="C57:C59"/>
    <mergeCell ref="D57:D59"/>
    <mergeCell ref="E57:E59"/>
    <mergeCell ref="F57:F59"/>
    <mergeCell ref="G57:G59"/>
    <mergeCell ref="I55:I56"/>
    <mergeCell ref="J55:M55"/>
    <mergeCell ref="N55:N56"/>
    <mergeCell ref="O55:O56"/>
    <mergeCell ref="P55:Q55"/>
    <mergeCell ref="R55:R56"/>
    <mergeCell ref="C54:E54"/>
    <mergeCell ref="F54:O54"/>
    <mergeCell ref="P54:R54"/>
    <mergeCell ref="B55:B56"/>
    <mergeCell ref="R44:R46"/>
    <mergeCell ref="S44:S46"/>
    <mergeCell ref="U44:U46"/>
    <mergeCell ref="L45:L46"/>
    <mergeCell ref="M45:M46"/>
    <mergeCell ref="G44:G46"/>
    <mergeCell ref="H44:H46"/>
    <mergeCell ref="I44:I46"/>
    <mergeCell ref="N44:N46"/>
    <mergeCell ref="O44:O46"/>
    <mergeCell ref="P44:P46"/>
    <mergeCell ref="R41:R43"/>
    <mergeCell ref="S41:S43"/>
    <mergeCell ref="U41:U43"/>
    <mergeCell ref="L42:L43"/>
    <mergeCell ref="M42:M43"/>
    <mergeCell ref="T35:T49"/>
    <mergeCell ref="U35:U37"/>
    <mergeCell ref="U38:U40"/>
    <mergeCell ref="R47:R49"/>
    <mergeCell ref="S47:S49"/>
    <mergeCell ref="U47:U49"/>
    <mergeCell ref="L48:L49"/>
    <mergeCell ref="M48:M49"/>
    <mergeCell ref="H38:H40"/>
    <mergeCell ref="I38:I40"/>
    <mergeCell ref="N38:N40"/>
    <mergeCell ref="O38:O40"/>
    <mergeCell ref="P38:P40"/>
    <mergeCell ref="Q38:Q40"/>
    <mergeCell ref="L39:L40"/>
    <mergeCell ref="M39:M40"/>
    <mergeCell ref="B44:B46"/>
    <mergeCell ref="C44:C46"/>
    <mergeCell ref="D44:D46"/>
    <mergeCell ref="E44:E46"/>
    <mergeCell ref="F44:F46"/>
    <mergeCell ref="H41:H43"/>
    <mergeCell ref="I41:I43"/>
    <mergeCell ref="N41:N43"/>
    <mergeCell ref="O41:O43"/>
    <mergeCell ref="P41:P43"/>
    <mergeCell ref="Q41:Q43"/>
    <mergeCell ref="B41:B43"/>
    <mergeCell ref="C41:C43"/>
    <mergeCell ref="D41:D43"/>
    <mergeCell ref="E41:E43"/>
    <mergeCell ref="F41:F43"/>
    <mergeCell ref="G41:G43"/>
    <mergeCell ref="Q44:Q46"/>
    <mergeCell ref="F32:O32"/>
    <mergeCell ref="P32:R32"/>
    <mergeCell ref="Q25:Q27"/>
    <mergeCell ref="R25:R27"/>
    <mergeCell ref="B38:B40"/>
    <mergeCell ref="C38:C40"/>
    <mergeCell ref="D38:D40"/>
    <mergeCell ref="E38:E40"/>
    <mergeCell ref="F38:F40"/>
    <mergeCell ref="G38:G40"/>
    <mergeCell ref="Q35:Q37"/>
    <mergeCell ref="R35:R37"/>
    <mergeCell ref="S35:S37"/>
    <mergeCell ref="L36:L37"/>
    <mergeCell ref="M36:M37"/>
    <mergeCell ref="R38:R40"/>
    <mergeCell ref="S38:S40"/>
    <mergeCell ref="G35:G37"/>
    <mergeCell ref="H35:H37"/>
    <mergeCell ref="I35:I37"/>
    <mergeCell ref="N35:N37"/>
    <mergeCell ref="O35:O37"/>
    <mergeCell ref="P35:P37"/>
    <mergeCell ref="B35:B37"/>
    <mergeCell ref="C35:C37"/>
    <mergeCell ref="D35:D37"/>
    <mergeCell ref="E35:E37"/>
    <mergeCell ref="F35:F37"/>
    <mergeCell ref="S25:S27"/>
    <mergeCell ref="U25:U27"/>
    <mergeCell ref="L26:L27"/>
    <mergeCell ref="M26:M27"/>
    <mergeCell ref="G25:G27"/>
    <mergeCell ref="H25:H27"/>
    <mergeCell ref="I25:I27"/>
    <mergeCell ref="N25:N27"/>
    <mergeCell ref="O25:O27"/>
    <mergeCell ref="P25:P27"/>
    <mergeCell ref="R33:R34"/>
    <mergeCell ref="S33:S34"/>
    <mergeCell ref="T33:T34"/>
    <mergeCell ref="U33:U34"/>
    <mergeCell ref="J34:M34"/>
    <mergeCell ref="B25:B27"/>
    <mergeCell ref="C25:C27"/>
    <mergeCell ref="D25:D27"/>
    <mergeCell ref="E25:E27"/>
    <mergeCell ref="F25:F27"/>
    <mergeCell ref="H33:H34"/>
    <mergeCell ref="I33:I34"/>
    <mergeCell ref="J33:M33"/>
    <mergeCell ref="N33:N34"/>
    <mergeCell ref="O33:O34"/>
    <mergeCell ref="P33:Q33"/>
    <mergeCell ref="B33:B34"/>
    <mergeCell ref="C33:C34"/>
    <mergeCell ref="D33:D34"/>
    <mergeCell ref="E33:E34"/>
    <mergeCell ref="F33:F34"/>
    <mergeCell ref="G33:G34"/>
    <mergeCell ref="C32:E32"/>
    <mergeCell ref="S19:S21"/>
    <mergeCell ref="U19:U21"/>
    <mergeCell ref="L20:L21"/>
    <mergeCell ref="M20:M21"/>
    <mergeCell ref="B22:B24"/>
    <mergeCell ref="C22:C24"/>
    <mergeCell ref="D22:D24"/>
    <mergeCell ref="E22:E24"/>
    <mergeCell ref="F22:F24"/>
    <mergeCell ref="G22:G24"/>
    <mergeCell ref="H19:H21"/>
    <mergeCell ref="I19:I21"/>
    <mergeCell ref="N19:N21"/>
    <mergeCell ref="O19:O21"/>
    <mergeCell ref="P19:P21"/>
    <mergeCell ref="Q19:Q21"/>
    <mergeCell ref="B19:B21"/>
    <mergeCell ref="C19:C21"/>
    <mergeCell ref="D19:D21"/>
    <mergeCell ref="E19:E21"/>
    <mergeCell ref="F19:F21"/>
    <mergeCell ref="G19:G21"/>
    <mergeCell ref="L17:L18"/>
    <mergeCell ref="M17:M18"/>
    <mergeCell ref="B16:B18"/>
    <mergeCell ref="C16:C18"/>
    <mergeCell ref="D16:D18"/>
    <mergeCell ref="E16:E18"/>
    <mergeCell ref="F16:F18"/>
    <mergeCell ref="G16:G18"/>
    <mergeCell ref="G11:G12"/>
    <mergeCell ref="H11:H12"/>
    <mergeCell ref="Q13:Q15"/>
    <mergeCell ref="H22:H24"/>
    <mergeCell ref="I22:I24"/>
    <mergeCell ref="N22:N24"/>
    <mergeCell ref="O22:O24"/>
    <mergeCell ref="P22:P24"/>
    <mergeCell ref="Q22:Q24"/>
    <mergeCell ref="R13:R15"/>
    <mergeCell ref="S13:S15"/>
    <mergeCell ref="T13:T27"/>
    <mergeCell ref="U13:U15"/>
    <mergeCell ref="AI13:AI28"/>
    <mergeCell ref="R16:R18"/>
    <mergeCell ref="S16:S18"/>
    <mergeCell ref="U16:U18"/>
    <mergeCell ref="R19:R21"/>
    <mergeCell ref="G13:G15"/>
    <mergeCell ref="H13:H15"/>
    <mergeCell ref="I13:I15"/>
    <mergeCell ref="N13:N15"/>
    <mergeCell ref="O13:O15"/>
    <mergeCell ref="P13:P15"/>
    <mergeCell ref="L14:L15"/>
    <mergeCell ref="M14:M15"/>
    <mergeCell ref="R22:R24"/>
    <mergeCell ref="S22:S24"/>
    <mergeCell ref="U22:U24"/>
    <mergeCell ref="L23:L24"/>
    <mergeCell ref="M23:M24"/>
    <mergeCell ref="B28:O29"/>
    <mergeCell ref="P28:R28"/>
    <mergeCell ref="T28:T29"/>
    <mergeCell ref="P29:R29"/>
    <mergeCell ref="H16:H18"/>
    <mergeCell ref="I16:I18"/>
    <mergeCell ref="N16:N18"/>
    <mergeCell ref="O16:O18"/>
    <mergeCell ref="P16:P18"/>
    <mergeCell ref="Q16:Q18"/>
    <mergeCell ref="B1:S1"/>
    <mergeCell ref="B3:S3"/>
    <mergeCell ref="F4:N4"/>
    <mergeCell ref="F5:G5"/>
    <mergeCell ref="L5:M6"/>
    <mergeCell ref="N5:O5"/>
    <mergeCell ref="F6:G6"/>
    <mergeCell ref="N6:O6"/>
    <mergeCell ref="S11:S12"/>
    <mergeCell ref="T11:T12"/>
    <mergeCell ref="U11:U12"/>
    <mergeCell ref="W11:Y11"/>
    <mergeCell ref="J12:M12"/>
    <mergeCell ref="B13:B15"/>
    <mergeCell ref="C13:C15"/>
    <mergeCell ref="D13:D15"/>
    <mergeCell ref="E13:E15"/>
    <mergeCell ref="F13:F15"/>
    <mergeCell ref="I11:I12"/>
    <mergeCell ref="J11:M11"/>
    <mergeCell ref="N11:N12"/>
    <mergeCell ref="O11:O12"/>
    <mergeCell ref="P11:Q11"/>
    <mergeCell ref="R11:R12"/>
    <mergeCell ref="C10:E10"/>
    <mergeCell ref="F10:O10"/>
    <mergeCell ref="P10:R10"/>
    <mergeCell ref="B11:B12"/>
    <mergeCell ref="C11:C12"/>
    <mergeCell ref="D11:D12"/>
    <mergeCell ref="E11:E12"/>
    <mergeCell ref="F11:F12"/>
  </mergeCells>
  <conditionalFormatting sqref="K13">
    <cfRule type="expression" dxfId="3587" priority="3195">
      <formula>J13="NO CUMPLE"</formula>
    </cfRule>
    <cfRule type="expression" dxfId="3586" priority="3196">
      <formula>J13="CUMPLE"</formula>
    </cfRule>
  </conditionalFormatting>
  <conditionalFormatting sqref="M13">
    <cfRule type="expression" dxfId="3585" priority="3193">
      <formula>L13="NO CUMPLE"</formula>
    </cfRule>
    <cfRule type="expression" dxfId="3584" priority="3194">
      <formula>L13="CUMPLE"</formula>
    </cfRule>
  </conditionalFormatting>
  <conditionalFormatting sqref="J16:J24">
    <cfRule type="cellIs" dxfId="3583" priority="3191" operator="equal">
      <formula>"NO CUMPLE"</formula>
    </cfRule>
    <cfRule type="cellIs" dxfId="3582" priority="3192" operator="equal">
      <formula>"CUMPLE"</formula>
    </cfRule>
  </conditionalFormatting>
  <conditionalFormatting sqref="L13:L14">
    <cfRule type="cellIs" dxfId="3581" priority="3189" operator="equal">
      <formula>"NO CUMPLE"</formula>
    </cfRule>
    <cfRule type="cellIs" dxfId="3580" priority="3190" operator="equal">
      <formula>"CUMPLE"</formula>
    </cfRule>
  </conditionalFormatting>
  <conditionalFormatting sqref="T28">
    <cfRule type="cellIs" dxfId="3579" priority="3187" operator="equal">
      <formula>"NO CUMPLE"</formula>
    </cfRule>
    <cfRule type="cellIs" dxfId="3578" priority="3188" operator="equal">
      <formula>"CUMPLE"</formula>
    </cfRule>
  </conditionalFormatting>
  <conditionalFormatting sqref="B28">
    <cfRule type="cellIs" dxfId="3577" priority="3185" operator="equal">
      <formula>"NO CUMPLE CON LA EXPERIENCIA REQUERIDA"</formula>
    </cfRule>
    <cfRule type="cellIs" dxfId="3576" priority="3186" operator="equal">
      <formula>"CUMPLE CON LA EXPERIENCIA REQUERIDA"</formula>
    </cfRule>
  </conditionalFormatting>
  <conditionalFormatting sqref="H16 H19 H22 H25">
    <cfRule type="notContainsBlanks" dxfId="3575" priority="3184">
      <formula>LEN(TRIM(H16))&gt;0</formula>
    </cfRule>
  </conditionalFormatting>
  <conditionalFormatting sqref="T13">
    <cfRule type="cellIs" dxfId="3574" priority="3182" operator="equal">
      <formula>"NO"</formula>
    </cfRule>
    <cfRule type="cellIs" dxfId="3573" priority="3183" operator="equal">
      <formula>"SI"</formula>
    </cfRule>
  </conditionalFormatting>
  <conditionalFormatting sqref="K14:K15">
    <cfRule type="expression" dxfId="3572" priority="3180">
      <formula>J14="NO CUMPLE"</formula>
    </cfRule>
    <cfRule type="expression" dxfId="3571" priority="3181">
      <formula>J14="CUMPLE"</formula>
    </cfRule>
  </conditionalFormatting>
  <conditionalFormatting sqref="M14">
    <cfRule type="expression" dxfId="3570" priority="3178">
      <formula>L14="NO CUMPLE"</formula>
    </cfRule>
    <cfRule type="expression" dxfId="3569" priority="3179">
      <formula>L14="CUMPLE"</formula>
    </cfRule>
  </conditionalFormatting>
  <conditionalFormatting sqref="Z12:Z28">
    <cfRule type="cellIs" dxfId="3568" priority="3176" operator="equal">
      <formula>"NH"</formula>
    </cfRule>
    <cfRule type="cellIs" dxfId="3567" priority="3177" operator="equal">
      <formula>"H"</formula>
    </cfRule>
  </conditionalFormatting>
  <conditionalFormatting sqref="L19:L20">
    <cfRule type="cellIs" dxfId="3566" priority="3172" operator="equal">
      <formula>"NO CUMPLE"</formula>
    </cfRule>
    <cfRule type="cellIs" dxfId="3565" priority="3173" operator="equal">
      <formula>"CUMPLE"</formula>
    </cfRule>
  </conditionalFormatting>
  <conditionalFormatting sqref="L22:L23">
    <cfRule type="cellIs" dxfId="3564" priority="3164" operator="equal">
      <formula>"NO CUMPLE"</formula>
    </cfRule>
    <cfRule type="cellIs" dxfId="3563" priority="3165" operator="equal">
      <formula>"CUMPLE"</formula>
    </cfRule>
  </conditionalFormatting>
  <conditionalFormatting sqref="L16:L17">
    <cfRule type="cellIs" dxfId="3562" priority="3174" operator="equal">
      <formula>"NO CUMPLE"</formula>
    </cfRule>
    <cfRule type="cellIs" dxfId="3561" priority="3175" operator="equal">
      <formula>"CUMPLE"</formula>
    </cfRule>
  </conditionalFormatting>
  <conditionalFormatting sqref="G19">
    <cfRule type="notContainsBlanks" dxfId="3560" priority="3171">
      <formula>LEN(TRIM(G19))&gt;0</formula>
    </cfRule>
  </conditionalFormatting>
  <conditionalFormatting sqref="F19">
    <cfRule type="notContainsBlanks" dxfId="3559" priority="3170">
      <formula>LEN(TRIM(F19))&gt;0</formula>
    </cfRule>
  </conditionalFormatting>
  <conditionalFormatting sqref="E19">
    <cfRule type="notContainsBlanks" dxfId="3558" priority="3169">
      <formula>LEN(TRIM(E19))&gt;0</formula>
    </cfRule>
  </conditionalFormatting>
  <conditionalFormatting sqref="D19">
    <cfRule type="notContainsBlanks" dxfId="3557" priority="3168">
      <formula>LEN(TRIM(D19))&gt;0</formula>
    </cfRule>
  </conditionalFormatting>
  <conditionalFormatting sqref="C19">
    <cfRule type="notContainsBlanks" dxfId="3556" priority="3167">
      <formula>LEN(TRIM(C19))&gt;0</formula>
    </cfRule>
  </conditionalFormatting>
  <conditionalFormatting sqref="I19">
    <cfRule type="notContainsBlanks" dxfId="3555" priority="3166">
      <formula>LEN(TRIM(I19))&gt;0</formula>
    </cfRule>
  </conditionalFormatting>
  <conditionalFormatting sqref="J25">
    <cfRule type="cellIs" dxfId="3554" priority="3162" operator="equal">
      <formula>"NO CUMPLE"</formula>
    </cfRule>
    <cfRule type="cellIs" dxfId="3553" priority="3163" operator="equal">
      <formula>"CUMPLE"</formula>
    </cfRule>
  </conditionalFormatting>
  <conditionalFormatting sqref="L25:L26">
    <cfRule type="cellIs" dxfId="3552" priority="3160" operator="equal">
      <formula>"NO CUMPLE"</formula>
    </cfRule>
    <cfRule type="cellIs" dxfId="3551" priority="3161" operator="equal">
      <formula>"CUMPLE"</formula>
    </cfRule>
  </conditionalFormatting>
  <conditionalFormatting sqref="G25">
    <cfRule type="notContainsBlanks" dxfId="3550" priority="3159">
      <formula>LEN(TRIM(G25))&gt;0</formula>
    </cfRule>
  </conditionalFormatting>
  <conditionalFormatting sqref="F25">
    <cfRule type="notContainsBlanks" dxfId="3549" priority="3158">
      <formula>LEN(TRIM(F25))&gt;0</formula>
    </cfRule>
  </conditionalFormatting>
  <conditionalFormatting sqref="E25">
    <cfRule type="notContainsBlanks" dxfId="3548" priority="3157">
      <formula>LEN(TRIM(E25))&gt;0</formula>
    </cfRule>
  </conditionalFormatting>
  <conditionalFormatting sqref="D25">
    <cfRule type="notContainsBlanks" dxfId="3547" priority="3156">
      <formula>LEN(TRIM(D25))&gt;0</formula>
    </cfRule>
  </conditionalFormatting>
  <conditionalFormatting sqref="C25">
    <cfRule type="notContainsBlanks" dxfId="3546" priority="3155">
      <formula>LEN(TRIM(C25))&gt;0</formula>
    </cfRule>
  </conditionalFormatting>
  <conditionalFormatting sqref="I25">
    <cfRule type="notContainsBlanks" dxfId="3545" priority="3154">
      <formula>LEN(TRIM(I25))&gt;0</formula>
    </cfRule>
  </conditionalFormatting>
  <conditionalFormatting sqref="J26:J27">
    <cfRule type="cellIs" dxfId="3544" priority="3152" operator="equal">
      <formula>"NO CUMPLE"</formula>
    </cfRule>
    <cfRule type="cellIs" dxfId="3543" priority="3153" operator="equal">
      <formula>"CUMPLE"</formula>
    </cfRule>
  </conditionalFormatting>
  <conditionalFormatting sqref="G16">
    <cfRule type="notContainsBlanks" dxfId="3542" priority="3151">
      <formula>LEN(TRIM(G16))&gt;0</formula>
    </cfRule>
  </conditionalFormatting>
  <conditionalFormatting sqref="F16">
    <cfRule type="notContainsBlanks" dxfId="3541" priority="3150">
      <formula>LEN(TRIM(F16))&gt;0</formula>
    </cfRule>
  </conditionalFormatting>
  <conditionalFormatting sqref="E16">
    <cfRule type="notContainsBlanks" dxfId="3540" priority="3149">
      <formula>LEN(TRIM(E16))&gt;0</formula>
    </cfRule>
  </conditionalFormatting>
  <conditionalFormatting sqref="D16">
    <cfRule type="notContainsBlanks" dxfId="3539" priority="3148">
      <formula>LEN(TRIM(D16))&gt;0</formula>
    </cfRule>
  </conditionalFormatting>
  <conditionalFormatting sqref="C16">
    <cfRule type="notContainsBlanks" dxfId="3538" priority="3147">
      <formula>LEN(TRIM(C16))&gt;0</formula>
    </cfRule>
  </conditionalFormatting>
  <conditionalFormatting sqref="G22">
    <cfRule type="notContainsBlanks" dxfId="3537" priority="3146">
      <formula>LEN(TRIM(G22))&gt;0</formula>
    </cfRule>
  </conditionalFormatting>
  <conditionalFormatting sqref="F22">
    <cfRule type="notContainsBlanks" dxfId="3536" priority="3145">
      <formula>LEN(TRIM(F22))&gt;0</formula>
    </cfRule>
  </conditionalFormatting>
  <conditionalFormatting sqref="E22">
    <cfRule type="notContainsBlanks" dxfId="3535" priority="3144">
      <formula>LEN(TRIM(E22))&gt;0</formula>
    </cfRule>
  </conditionalFormatting>
  <conditionalFormatting sqref="D22">
    <cfRule type="notContainsBlanks" dxfId="3534" priority="3143">
      <formula>LEN(TRIM(D22))&gt;0</formula>
    </cfRule>
  </conditionalFormatting>
  <conditionalFormatting sqref="C22">
    <cfRule type="notContainsBlanks" dxfId="3533" priority="3142">
      <formula>LEN(TRIM(C22))&gt;0</formula>
    </cfRule>
  </conditionalFormatting>
  <conditionalFormatting sqref="I16">
    <cfRule type="notContainsBlanks" dxfId="3532" priority="3141">
      <formula>LEN(TRIM(I16))&gt;0</formula>
    </cfRule>
  </conditionalFormatting>
  <conditionalFormatting sqref="I22">
    <cfRule type="notContainsBlanks" dxfId="3531" priority="3140">
      <formula>LEN(TRIM(I22))&gt;0</formula>
    </cfRule>
  </conditionalFormatting>
  <conditionalFormatting sqref="S28">
    <cfRule type="expression" dxfId="3530" priority="3138">
      <formula>$S$28&gt;0</formula>
    </cfRule>
    <cfRule type="cellIs" dxfId="3529" priority="3139" operator="equal">
      <formula>0</formula>
    </cfRule>
  </conditionalFormatting>
  <conditionalFormatting sqref="S29">
    <cfRule type="expression" dxfId="3528" priority="3136">
      <formula>$S$28&gt;0</formula>
    </cfRule>
    <cfRule type="cellIs" dxfId="3527" priority="3137" operator="equal">
      <formula>0</formula>
    </cfRule>
  </conditionalFormatting>
  <conditionalFormatting sqref="U16:U18">
    <cfRule type="cellIs" dxfId="3526" priority="3134" operator="equal">
      <formula>0</formula>
    </cfRule>
    <cfRule type="cellIs" dxfId="3525" priority="3135" operator="equal">
      <formula>1</formula>
    </cfRule>
  </conditionalFormatting>
  <conditionalFormatting sqref="U19:U21">
    <cfRule type="cellIs" dxfId="3524" priority="3132" operator="equal">
      <formula>0</formula>
    </cfRule>
    <cfRule type="cellIs" dxfId="3523" priority="3133" operator="equal">
      <formula>1</formula>
    </cfRule>
  </conditionalFormatting>
  <conditionalFormatting sqref="U22:U24">
    <cfRule type="cellIs" dxfId="3522" priority="3130" operator="equal">
      <formula>0</formula>
    </cfRule>
    <cfRule type="cellIs" dxfId="3521" priority="3131" operator="equal">
      <formula>1</formula>
    </cfRule>
  </conditionalFormatting>
  <conditionalFormatting sqref="U25:U27">
    <cfRule type="cellIs" dxfId="3520" priority="3128" operator="equal">
      <formula>0</formula>
    </cfRule>
    <cfRule type="cellIs" dxfId="3519" priority="3129" operator="equal">
      <formula>1</formula>
    </cfRule>
  </conditionalFormatting>
  <conditionalFormatting sqref="L35:L36">
    <cfRule type="cellIs" dxfId="3518" priority="3126" operator="equal">
      <formula>"NO CUMPLE"</formula>
    </cfRule>
    <cfRule type="cellIs" dxfId="3517" priority="3127" operator="equal">
      <formula>"CUMPLE"</formula>
    </cfRule>
  </conditionalFormatting>
  <conditionalFormatting sqref="T50">
    <cfRule type="cellIs" dxfId="3516" priority="3124" operator="equal">
      <formula>"NO CUMPLE"</formula>
    </cfRule>
    <cfRule type="cellIs" dxfId="3515" priority="3125" operator="equal">
      <formula>"CUMPLE"</formula>
    </cfRule>
  </conditionalFormatting>
  <conditionalFormatting sqref="B50">
    <cfRule type="cellIs" dxfId="3514" priority="3122" operator="equal">
      <formula>"NO CUMPLE CON LA EXPERIENCIA REQUERIDA"</formula>
    </cfRule>
    <cfRule type="cellIs" dxfId="3513" priority="3123" operator="equal">
      <formula>"CUMPLE CON LA EXPERIENCIA REQUERIDA"</formula>
    </cfRule>
  </conditionalFormatting>
  <conditionalFormatting sqref="H41 H44 H47">
    <cfRule type="notContainsBlanks" dxfId="3512" priority="3121">
      <formula>LEN(TRIM(H41))&gt;0</formula>
    </cfRule>
  </conditionalFormatting>
  <conditionalFormatting sqref="T35">
    <cfRule type="cellIs" dxfId="3511" priority="3119" operator="equal">
      <formula>"NO"</formula>
    </cfRule>
    <cfRule type="cellIs" dxfId="3510" priority="3120" operator="equal">
      <formula>"SI"</formula>
    </cfRule>
  </conditionalFormatting>
  <conditionalFormatting sqref="G41">
    <cfRule type="notContainsBlanks" dxfId="3509" priority="3118">
      <formula>LEN(TRIM(G41))&gt;0</formula>
    </cfRule>
  </conditionalFormatting>
  <conditionalFormatting sqref="F41">
    <cfRule type="notContainsBlanks" dxfId="3508" priority="3117">
      <formula>LEN(TRIM(F41))&gt;0</formula>
    </cfRule>
  </conditionalFormatting>
  <conditionalFormatting sqref="E41">
    <cfRule type="notContainsBlanks" dxfId="3507" priority="3116">
      <formula>LEN(TRIM(E41))&gt;0</formula>
    </cfRule>
  </conditionalFormatting>
  <conditionalFormatting sqref="D41">
    <cfRule type="notContainsBlanks" dxfId="3506" priority="3115">
      <formula>LEN(TRIM(D41))&gt;0</formula>
    </cfRule>
  </conditionalFormatting>
  <conditionalFormatting sqref="C41">
    <cfRule type="notContainsBlanks" dxfId="3505" priority="3114">
      <formula>LEN(TRIM(C41))&gt;0</formula>
    </cfRule>
  </conditionalFormatting>
  <conditionalFormatting sqref="I41">
    <cfRule type="notContainsBlanks" dxfId="3504" priority="3113">
      <formula>LEN(TRIM(I41))&gt;0</formula>
    </cfRule>
  </conditionalFormatting>
  <conditionalFormatting sqref="G47">
    <cfRule type="notContainsBlanks" dxfId="3503" priority="3112">
      <formula>LEN(TRIM(G47))&gt;0</formula>
    </cfRule>
  </conditionalFormatting>
  <conditionalFormatting sqref="F47">
    <cfRule type="notContainsBlanks" dxfId="3502" priority="3111">
      <formula>LEN(TRIM(F47))&gt;0</formula>
    </cfRule>
  </conditionalFormatting>
  <conditionalFormatting sqref="E47">
    <cfRule type="notContainsBlanks" dxfId="3501" priority="3110">
      <formula>LEN(TRIM(E47))&gt;0</formula>
    </cfRule>
  </conditionalFormatting>
  <conditionalFormatting sqref="D47">
    <cfRule type="notContainsBlanks" dxfId="3500" priority="3109">
      <formula>LEN(TRIM(D47))&gt;0</formula>
    </cfRule>
  </conditionalFormatting>
  <conditionalFormatting sqref="C47">
    <cfRule type="notContainsBlanks" dxfId="3499" priority="3108">
      <formula>LEN(TRIM(C47))&gt;0</formula>
    </cfRule>
  </conditionalFormatting>
  <conditionalFormatting sqref="I47">
    <cfRule type="notContainsBlanks" dxfId="3498" priority="3107">
      <formula>LEN(TRIM(I47))&gt;0</formula>
    </cfRule>
  </conditionalFormatting>
  <conditionalFormatting sqref="G44">
    <cfRule type="notContainsBlanks" dxfId="3497" priority="3106">
      <formula>LEN(TRIM(G44))&gt;0</formula>
    </cfRule>
  </conditionalFormatting>
  <conditionalFormatting sqref="F44">
    <cfRule type="notContainsBlanks" dxfId="3496" priority="3105">
      <formula>LEN(TRIM(F44))&gt;0</formula>
    </cfRule>
  </conditionalFormatting>
  <conditionalFormatting sqref="E44">
    <cfRule type="notContainsBlanks" dxfId="3495" priority="3104">
      <formula>LEN(TRIM(E44))&gt;0</formula>
    </cfRule>
  </conditionalFormatting>
  <conditionalFormatting sqref="D44">
    <cfRule type="notContainsBlanks" dxfId="3494" priority="3103">
      <formula>LEN(TRIM(D44))&gt;0</formula>
    </cfRule>
  </conditionalFormatting>
  <conditionalFormatting sqref="C44">
    <cfRule type="notContainsBlanks" dxfId="3493" priority="3102">
      <formula>LEN(TRIM(C44))&gt;0</formula>
    </cfRule>
  </conditionalFormatting>
  <conditionalFormatting sqref="I44">
    <cfRule type="notContainsBlanks" dxfId="3492" priority="3101">
      <formula>LEN(TRIM(I44))&gt;0</formula>
    </cfRule>
  </conditionalFormatting>
  <conditionalFormatting sqref="S50">
    <cfRule type="expression" dxfId="3491" priority="3099">
      <formula>$S$28&gt;0</formula>
    </cfRule>
    <cfRule type="cellIs" dxfId="3490" priority="3100" operator="equal">
      <formula>0</formula>
    </cfRule>
  </conditionalFormatting>
  <conditionalFormatting sqref="S51">
    <cfRule type="expression" dxfId="3489" priority="3097">
      <formula>$S$28&gt;0</formula>
    </cfRule>
    <cfRule type="cellIs" dxfId="3488" priority="3098" operator="equal">
      <formula>0</formula>
    </cfRule>
  </conditionalFormatting>
  <conditionalFormatting sqref="N16 N19 N22 N25">
    <cfRule type="expression" dxfId="3487" priority="3094">
      <formula>N16=" "</formula>
    </cfRule>
    <cfRule type="expression" dxfId="3486" priority="3095">
      <formula>N16="NO PRESENTÓ CERTIFICADO"</formula>
    </cfRule>
    <cfRule type="expression" dxfId="3485" priority="3096">
      <formula>N16="PRESENTÓ CERTIFICADO"</formula>
    </cfRule>
  </conditionalFormatting>
  <conditionalFormatting sqref="Q19 Q22 Q25">
    <cfRule type="containsBlanks" dxfId="3484" priority="3085">
      <formula>LEN(TRIM(Q19))=0</formula>
    </cfRule>
    <cfRule type="cellIs" dxfId="3483" priority="3090" operator="equal">
      <formula>"REQUERIMIENTOS SUBSANADOS"</formula>
    </cfRule>
    <cfRule type="containsText" dxfId="3482" priority="3091" operator="containsText" text="NO SUBSANABLE">
      <formula>NOT(ISERROR(SEARCH("NO SUBSANABLE",Q19)))</formula>
    </cfRule>
    <cfRule type="containsText" dxfId="3481" priority="3092" operator="containsText" text="PENDIENTES POR SUBSANAR">
      <formula>NOT(ISERROR(SEARCH("PENDIENTES POR SUBSANAR",Q19)))</formula>
    </cfRule>
    <cfRule type="containsText" dxfId="3480" priority="3093" operator="containsText" text="SIN OBSERVACIÓN">
      <formula>NOT(ISERROR(SEARCH("SIN OBSERVACIÓN",Q19)))</formula>
    </cfRule>
  </conditionalFormatting>
  <conditionalFormatting sqref="R19 R22 R25">
    <cfRule type="containsBlanks" dxfId="3479" priority="3084">
      <formula>LEN(TRIM(R19))=0</formula>
    </cfRule>
    <cfRule type="cellIs" dxfId="3478" priority="3086" operator="equal">
      <formula>"NO CUMPLEN CON LO SOLICITADO"</formula>
    </cfRule>
    <cfRule type="cellIs" dxfId="3477" priority="3087" operator="equal">
      <formula>"CUMPLEN CON LO SOLICITADO"</formula>
    </cfRule>
    <cfRule type="cellIs" dxfId="3476" priority="3088" operator="equal">
      <formula>"PENDIENTES"</formula>
    </cfRule>
    <cfRule type="cellIs" dxfId="3475" priority="3089" operator="equal">
      <formula>"NINGUNO"</formula>
    </cfRule>
  </conditionalFormatting>
  <conditionalFormatting sqref="P16 P19 P22 P25">
    <cfRule type="expression" dxfId="3474" priority="3079">
      <formula>Q16="NO SUBSANABLE"</formula>
    </cfRule>
    <cfRule type="expression" dxfId="3473" priority="3080">
      <formula>Q16="REQUERIMIENTOS SUBSANADOS"</formula>
    </cfRule>
    <cfRule type="expression" dxfId="3472" priority="3081">
      <formula>Q16="PENDIENTES POR SUBSANAR"</formula>
    </cfRule>
    <cfRule type="expression" dxfId="3471" priority="3082">
      <formula>Q16="SIN OBSERVACIÓN"</formula>
    </cfRule>
    <cfRule type="containsBlanks" dxfId="3470" priority="3083">
      <formula>LEN(TRIM(P16))=0</formula>
    </cfRule>
  </conditionalFormatting>
  <conditionalFormatting sqref="T72">
    <cfRule type="cellIs" dxfId="3469" priority="3077" operator="equal">
      <formula>"NO CUMPLE"</formula>
    </cfRule>
    <cfRule type="cellIs" dxfId="3468" priority="3078" operator="equal">
      <formula>"CUMPLE"</formula>
    </cfRule>
  </conditionalFormatting>
  <conditionalFormatting sqref="B72">
    <cfRule type="cellIs" dxfId="3467" priority="3075" operator="equal">
      <formula>"NO CUMPLE CON LA EXPERIENCIA REQUERIDA"</formula>
    </cfRule>
    <cfRule type="cellIs" dxfId="3466" priority="3076" operator="equal">
      <formula>"CUMPLE CON LA EXPERIENCIA REQUERIDA"</formula>
    </cfRule>
  </conditionalFormatting>
  <conditionalFormatting sqref="T57">
    <cfRule type="cellIs" dxfId="3465" priority="3073" operator="equal">
      <formula>"NO"</formula>
    </cfRule>
    <cfRule type="cellIs" dxfId="3464" priority="3074" operator="equal">
      <formula>"SI"</formula>
    </cfRule>
  </conditionalFormatting>
  <conditionalFormatting sqref="S72">
    <cfRule type="expression" dxfId="3463" priority="3071">
      <formula>$S$28&gt;0</formula>
    </cfRule>
    <cfRule type="cellIs" dxfId="3462" priority="3072" operator="equal">
      <formula>0</formula>
    </cfRule>
  </conditionalFormatting>
  <conditionalFormatting sqref="S73">
    <cfRule type="expression" dxfId="3461" priority="3069">
      <formula>$S$28&gt;0</formula>
    </cfRule>
    <cfRule type="cellIs" dxfId="3460" priority="3070" operator="equal">
      <formula>0</formula>
    </cfRule>
  </conditionalFormatting>
  <conditionalFormatting sqref="B94">
    <cfRule type="cellIs" dxfId="3459" priority="3065" operator="equal">
      <formula>"NO CUMPLE CON LA EXPERIENCIA REQUERIDA"</formula>
    </cfRule>
    <cfRule type="cellIs" dxfId="3458" priority="3066" operator="equal">
      <formula>"CUMPLE CON LA EXPERIENCIA REQUERIDA"</formula>
    </cfRule>
  </conditionalFormatting>
  <conditionalFormatting sqref="H79 H82 H85 H88 H91">
    <cfRule type="notContainsBlanks" dxfId="3457" priority="3064">
      <formula>LEN(TRIM(H79))&gt;0</formula>
    </cfRule>
  </conditionalFormatting>
  <conditionalFormatting sqref="G79">
    <cfRule type="notContainsBlanks" dxfId="3456" priority="3063">
      <formula>LEN(TRIM(G79))&gt;0</formula>
    </cfRule>
  </conditionalFormatting>
  <conditionalFormatting sqref="F79">
    <cfRule type="notContainsBlanks" dxfId="3455" priority="3062">
      <formula>LEN(TRIM(F79))&gt;0</formula>
    </cfRule>
  </conditionalFormatting>
  <conditionalFormatting sqref="E79">
    <cfRule type="notContainsBlanks" dxfId="3454" priority="3061">
      <formula>LEN(TRIM(E79))&gt;0</formula>
    </cfRule>
  </conditionalFormatting>
  <conditionalFormatting sqref="D79">
    <cfRule type="notContainsBlanks" dxfId="3453" priority="3060">
      <formula>LEN(TRIM(D79))&gt;0</formula>
    </cfRule>
  </conditionalFormatting>
  <conditionalFormatting sqref="C79">
    <cfRule type="notContainsBlanks" dxfId="3452" priority="3059">
      <formula>LEN(TRIM(C79))&gt;0</formula>
    </cfRule>
  </conditionalFormatting>
  <conditionalFormatting sqref="I79">
    <cfRule type="notContainsBlanks" dxfId="3451" priority="3058">
      <formula>LEN(TRIM(I79))&gt;0</formula>
    </cfRule>
  </conditionalFormatting>
  <conditionalFormatting sqref="T79">
    <cfRule type="cellIs" dxfId="3450" priority="3056" operator="equal">
      <formula>"NO"</formula>
    </cfRule>
    <cfRule type="cellIs" dxfId="3449" priority="3057" operator="equal">
      <formula>"SI"</formula>
    </cfRule>
  </conditionalFormatting>
  <conditionalFormatting sqref="G85">
    <cfRule type="notContainsBlanks" dxfId="3448" priority="3055">
      <formula>LEN(TRIM(G85))&gt;0</formula>
    </cfRule>
  </conditionalFormatting>
  <conditionalFormatting sqref="F85">
    <cfRule type="notContainsBlanks" dxfId="3447" priority="3054">
      <formula>LEN(TRIM(F85))&gt;0</formula>
    </cfRule>
  </conditionalFormatting>
  <conditionalFormatting sqref="E85">
    <cfRule type="notContainsBlanks" dxfId="3446" priority="3053">
      <formula>LEN(TRIM(E85))&gt;0</formula>
    </cfRule>
  </conditionalFormatting>
  <conditionalFormatting sqref="D85">
    <cfRule type="notContainsBlanks" dxfId="3445" priority="3052">
      <formula>LEN(TRIM(D85))&gt;0</formula>
    </cfRule>
  </conditionalFormatting>
  <conditionalFormatting sqref="C85">
    <cfRule type="notContainsBlanks" dxfId="3444" priority="3051">
      <formula>LEN(TRIM(C85))&gt;0</formula>
    </cfRule>
  </conditionalFormatting>
  <conditionalFormatting sqref="I85">
    <cfRule type="notContainsBlanks" dxfId="3443" priority="3050">
      <formula>LEN(TRIM(I85))&gt;0</formula>
    </cfRule>
  </conditionalFormatting>
  <conditionalFormatting sqref="G91">
    <cfRule type="notContainsBlanks" dxfId="3442" priority="3049">
      <formula>LEN(TRIM(G91))&gt;0</formula>
    </cfRule>
  </conditionalFormatting>
  <conditionalFormatting sqref="F91">
    <cfRule type="notContainsBlanks" dxfId="3441" priority="3048">
      <formula>LEN(TRIM(F91))&gt;0</formula>
    </cfRule>
  </conditionalFormatting>
  <conditionalFormatting sqref="E91">
    <cfRule type="notContainsBlanks" dxfId="3440" priority="3047">
      <formula>LEN(TRIM(E91))&gt;0</formula>
    </cfRule>
  </conditionalFormatting>
  <conditionalFormatting sqref="D91">
    <cfRule type="notContainsBlanks" dxfId="3439" priority="3046">
      <formula>LEN(TRIM(D91))&gt;0</formula>
    </cfRule>
  </conditionalFormatting>
  <conditionalFormatting sqref="C91">
    <cfRule type="notContainsBlanks" dxfId="3438" priority="3045">
      <formula>LEN(TRIM(C91))&gt;0</formula>
    </cfRule>
  </conditionalFormatting>
  <conditionalFormatting sqref="I91">
    <cfRule type="notContainsBlanks" dxfId="3437" priority="3044">
      <formula>LEN(TRIM(I91))&gt;0</formula>
    </cfRule>
  </conditionalFormatting>
  <conditionalFormatting sqref="G82">
    <cfRule type="notContainsBlanks" dxfId="3436" priority="3043">
      <formula>LEN(TRIM(G82))&gt;0</formula>
    </cfRule>
  </conditionalFormatting>
  <conditionalFormatting sqref="F82">
    <cfRule type="notContainsBlanks" dxfId="3435" priority="3042">
      <formula>LEN(TRIM(F82))&gt;0</formula>
    </cfRule>
  </conditionalFormatting>
  <conditionalFormatting sqref="E82">
    <cfRule type="notContainsBlanks" dxfId="3434" priority="3041">
      <formula>LEN(TRIM(E82))&gt;0</formula>
    </cfRule>
  </conditionalFormatting>
  <conditionalFormatting sqref="D82">
    <cfRule type="notContainsBlanks" dxfId="3433" priority="3040">
      <formula>LEN(TRIM(D82))&gt;0</formula>
    </cfRule>
  </conditionalFormatting>
  <conditionalFormatting sqref="C82">
    <cfRule type="notContainsBlanks" dxfId="3432" priority="3039">
      <formula>LEN(TRIM(C82))&gt;0</formula>
    </cfRule>
  </conditionalFormatting>
  <conditionalFormatting sqref="G88">
    <cfRule type="notContainsBlanks" dxfId="3431" priority="3038">
      <formula>LEN(TRIM(G88))&gt;0</formula>
    </cfRule>
  </conditionalFormatting>
  <conditionalFormatting sqref="F88">
    <cfRule type="notContainsBlanks" dxfId="3430" priority="3037">
      <formula>LEN(TRIM(F88))&gt;0</formula>
    </cfRule>
  </conditionalFormatting>
  <conditionalFormatting sqref="E88">
    <cfRule type="notContainsBlanks" dxfId="3429" priority="3036">
      <formula>LEN(TRIM(E88))&gt;0</formula>
    </cfRule>
  </conditionalFormatting>
  <conditionalFormatting sqref="D88">
    <cfRule type="notContainsBlanks" dxfId="3428" priority="3035">
      <formula>LEN(TRIM(D88))&gt;0</formula>
    </cfRule>
  </conditionalFormatting>
  <conditionalFormatting sqref="C88">
    <cfRule type="notContainsBlanks" dxfId="3427" priority="3034">
      <formula>LEN(TRIM(C88))&gt;0</formula>
    </cfRule>
  </conditionalFormatting>
  <conditionalFormatting sqref="I82">
    <cfRule type="notContainsBlanks" dxfId="3426" priority="3033">
      <formula>LEN(TRIM(I82))&gt;0</formula>
    </cfRule>
  </conditionalFormatting>
  <conditionalFormatting sqref="I88">
    <cfRule type="notContainsBlanks" dxfId="3425" priority="3032">
      <formula>LEN(TRIM(I88))&gt;0</formula>
    </cfRule>
  </conditionalFormatting>
  <conditionalFormatting sqref="S94">
    <cfRule type="expression" dxfId="3424" priority="3030">
      <formula>$S$28&gt;0</formula>
    </cfRule>
    <cfRule type="cellIs" dxfId="3423" priority="3031" operator="equal">
      <formula>0</formula>
    </cfRule>
  </conditionalFormatting>
  <conditionalFormatting sqref="S95">
    <cfRule type="expression" dxfId="3422" priority="3028">
      <formula>$S$28&gt;0</formula>
    </cfRule>
    <cfRule type="cellIs" dxfId="3421" priority="3029" operator="equal">
      <formula>0</formula>
    </cfRule>
  </conditionalFormatting>
  <conditionalFormatting sqref="S101">
    <cfRule type="cellIs" dxfId="3420" priority="3026" operator="greaterThan">
      <formula>0</formula>
    </cfRule>
    <cfRule type="top10" dxfId="3419" priority="3027" rank="10"/>
  </conditionalFormatting>
  <conditionalFormatting sqref="B116">
    <cfRule type="cellIs" dxfId="3418" priority="3024" operator="equal">
      <formula>"NO CUMPLE CON LA EXPERIENCIA REQUERIDA"</formula>
    </cfRule>
    <cfRule type="cellIs" dxfId="3417" priority="3025" operator="equal">
      <formula>"CUMPLE CON LA EXPERIENCIA REQUERIDA"</formula>
    </cfRule>
  </conditionalFormatting>
  <conditionalFormatting sqref="H101 H110 H113">
    <cfRule type="notContainsBlanks" dxfId="3416" priority="3023">
      <formula>LEN(TRIM(H101))&gt;0</formula>
    </cfRule>
  </conditionalFormatting>
  <conditionalFormatting sqref="G101">
    <cfRule type="notContainsBlanks" dxfId="3415" priority="3022">
      <formula>LEN(TRIM(G101))&gt;0</formula>
    </cfRule>
  </conditionalFormatting>
  <conditionalFormatting sqref="F101">
    <cfRule type="notContainsBlanks" dxfId="3414" priority="3021">
      <formula>LEN(TRIM(F101))&gt;0</formula>
    </cfRule>
  </conditionalFormatting>
  <conditionalFormatting sqref="E101">
    <cfRule type="notContainsBlanks" dxfId="3413" priority="3020">
      <formula>LEN(TRIM(E101))&gt;0</formula>
    </cfRule>
  </conditionalFormatting>
  <conditionalFormatting sqref="D101">
    <cfRule type="notContainsBlanks" dxfId="3412" priority="3019">
      <formula>LEN(TRIM(D101))&gt;0</formula>
    </cfRule>
  </conditionalFormatting>
  <conditionalFormatting sqref="C101">
    <cfRule type="notContainsBlanks" dxfId="3411" priority="3018">
      <formula>LEN(TRIM(C101))&gt;0</formula>
    </cfRule>
  </conditionalFormatting>
  <conditionalFormatting sqref="I101">
    <cfRule type="notContainsBlanks" dxfId="3410" priority="3017">
      <formula>LEN(TRIM(I101))&gt;0</formula>
    </cfRule>
  </conditionalFormatting>
  <conditionalFormatting sqref="S104">
    <cfRule type="cellIs" dxfId="3409" priority="3015" operator="greaterThan">
      <formula>0</formula>
    </cfRule>
    <cfRule type="top10" dxfId="3408" priority="3016" rank="10"/>
  </conditionalFormatting>
  <conditionalFormatting sqref="S107">
    <cfRule type="cellIs" dxfId="3407" priority="3013" operator="greaterThan">
      <formula>0</formula>
    </cfRule>
    <cfRule type="top10" dxfId="3406" priority="3014" rank="10"/>
  </conditionalFormatting>
  <conditionalFormatting sqref="G107">
    <cfRule type="notContainsBlanks" dxfId="3405" priority="3012">
      <formula>LEN(TRIM(G107))&gt;0</formula>
    </cfRule>
  </conditionalFormatting>
  <conditionalFormatting sqref="F107">
    <cfRule type="notContainsBlanks" dxfId="3404" priority="3011">
      <formula>LEN(TRIM(F107))&gt;0</formula>
    </cfRule>
  </conditionalFormatting>
  <conditionalFormatting sqref="E107">
    <cfRule type="notContainsBlanks" dxfId="3403" priority="3010">
      <formula>LEN(TRIM(E107))&gt;0</formula>
    </cfRule>
  </conditionalFormatting>
  <conditionalFormatting sqref="D107">
    <cfRule type="notContainsBlanks" dxfId="3402" priority="3009">
      <formula>LEN(TRIM(D107))&gt;0</formula>
    </cfRule>
  </conditionalFormatting>
  <conditionalFormatting sqref="C107">
    <cfRule type="notContainsBlanks" dxfId="3401" priority="3008">
      <formula>LEN(TRIM(C107))&gt;0</formula>
    </cfRule>
  </conditionalFormatting>
  <conditionalFormatting sqref="S110">
    <cfRule type="cellIs" dxfId="3400" priority="3006" operator="greaterThan">
      <formula>0</formula>
    </cfRule>
    <cfRule type="top10" dxfId="3399" priority="3007" rank="10"/>
  </conditionalFormatting>
  <conditionalFormatting sqref="S113">
    <cfRule type="cellIs" dxfId="3398" priority="3004" operator="greaterThan">
      <formula>0</formula>
    </cfRule>
    <cfRule type="top10" dxfId="3397" priority="3005" rank="10"/>
  </conditionalFormatting>
  <conditionalFormatting sqref="G113">
    <cfRule type="notContainsBlanks" dxfId="3396" priority="3003">
      <formula>LEN(TRIM(G113))&gt;0</formula>
    </cfRule>
  </conditionalFormatting>
  <conditionalFormatting sqref="F113">
    <cfRule type="notContainsBlanks" dxfId="3395" priority="3002">
      <formula>LEN(TRIM(F113))&gt;0</formula>
    </cfRule>
  </conditionalFormatting>
  <conditionalFormatting sqref="E113">
    <cfRule type="notContainsBlanks" dxfId="3394" priority="3001">
      <formula>LEN(TRIM(E113))&gt;0</formula>
    </cfRule>
  </conditionalFormatting>
  <conditionalFormatting sqref="D113">
    <cfRule type="notContainsBlanks" dxfId="3393" priority="3000">
      <formula>LEN(TRIM(D113))&gt;0</formula>
    </cfRule>
  </conditionalFormatting>
  <conditionalFormatting sqref="C113">
    <cfRule type="notContainsBlanks" dxfId="3392" priority="2999">
      <formula>LEN(TRIM(C113))&gt;0</formula>
    </cfRule>
  </conditionalFormatting>
  <conditionalFormatting sqref="I113">
    <cfRule type="notContainsBlanks" dxfId="3391" priority="2998">
      <formula>LEN(TRIM(I113))&gt;0</formula>
    </cfRule>
  </conditionalFormatting>
  <conditionalFormatting sqref="G104">
    <cfRule type="notContainsBlanks" dxfId="3390" priority="2997">
      <formula>LEN(TRIM(G104))&gt;0</formula>
    </cfRule>
  </conditionalFormatting>
  <conditionalFormatting sqref="F104">
    <cfRule type="notContainsBlanks" dxfId="3389" priority="2996">
      <formula>LEN(TRIM(F104))&gt;0</formula>
    </cfRule>
  </conditionalFormatting>
  <conditionalFormatting sqref="E104">
    <cfRule type="notContainsBlanks" dxfId="3388" priority="2995">
      <formula>LEN(TRIM(E104))&gt;0</formula>
    </cfRule>
  </conditionalFormatting>
  <conditionalFormatting sqref="D104">
    <cfRule type="notContainsBlanks" dxfId="3387" priority="2994">
      <formula>LEN(TRIM(D104))&gt;0</formula>
    </cfRule>
  </conditionalFormatting>
  <conditionalFormatting sqref="C104">
    <cfRule type="notContainsBlanks" dxfId="3386" priority="2993">
      <formula>LEN(TRIM(C104))&gt;0</formula>
    </cfRule>
  </conditionalFormatting>
  <conditionalFormatting sqref="G110">
    <cfRule type="notContainsBlanks" dxfId="3385" priority="2992">
      <formula>LEN(TRIM(G110))&gt;0</formula>
    </cfRule>
  </conditionalFormatting>
  <conditionalFormatting sqref="F110">
    <cfRule type="notContainsBlanks" dxfId="3384" priority="2991">
      <formula>LEN(TRIM(F110))&gt;0</formula>
    </cfRule>
  </conditionalFormatting>
  <conditionalFormatting sqref="E110">
    <cfRule type="notContainsBlanks" dxfId="3383" priority="2990">
      <formula>LEN(TRIM(E110))&gt;0</formula>
    </cfRule>
  </conditionalFormatting>
  <conditionalFormatting sqref="D110">
    <cfRule type="notContainsBlanks" dxfId="3382" priority="2989">
      <formula>LEN(TRIM(D110))&gt;0</formula>
    </cfRule>
  </conditionalFormatting>
  <conditionalFormatting sqref="C110">
    <cfRule type="notContainsBlanks" dxfId="3381" priority="2988">
      <formula>LEN(TRIM(C110))&gt;0</formula>
    </cfRule>
  </conditionalFormatting>
  <conditionalFormatting sqref="I110">
    <cfRule type="notContainsBlanks" dxfId="3380" priority="2987">
      <formula>LEN(TRIM(I110))&gt;0</formula>
    </cfRule>
  </conditionalFormatting>
  <conditionalFormatting sqref="S116">
    <cfRule type="expression" dxfId="3379" priority="2985">
      <formula>$S$28&gt;0</formula>
    </cfRule>
    <cfRule type="cellIs" dxfId="3378" priority="2986" operator="equal">
      <formula>0</formula>
    </cfRule>
  </conditionalFormatting>
  <conditionalFormatting sqref="S117">
    <cfRule type="expression" dxfId="3377" priority="2983">
      <formula>$S$28&gt;0</formula>
    </cfRule>
    <cfRule type="cellIs" dxfId="3376" priority="2984" operator="equal">
      <formula>0</formula>
    </cfRule>
  </conditionalFormatting>
  <conditionalFormatting sqref="S123">
    <cfRule type="cellIs" dxfId="3375" priority="2981" operator="greaterThan">
      <formula>0</formula>
    </cfRule>
    <cfRule type="top10" dxfId="3374" priority="2982" rank="10"/>
  </conditionalFormatting>
  <conditionalFormatting sqref="B138">
    <cfRule type="cellIs" dxfId="3373" priority="2979" operator="equal">
      <formula>"NO CUMPLE CON LA EXPERIENCIA REQUERIDA"</formula>
    </cfRule>
    <cfRule type="cellIs" dxfId="3372" priority="2980" operator="equal">
      <formula>"CUMPLE CON LA EXPERIENCIA REQUERIDA"</formula>
    </cfRule>
  </conditionalFormatting>
  <conditionalFormatting sqref="H123 H132 H135">
    <cfRule type="notContainsBlanks" dxfId="3371" priority="2978">
      <formula>LEN(TRIM(H123))&gt;0</formula>
    </cfRule>
  </conditionalFormatting>
  <conditionalFormatting sqref="G123">
    <cfRule type="notContainsBlanks" dxfId="3370" priority="2977">
      <formula>LEN(TRIM(G123))&gt;0</formula>
    </cfRule>
  </conditionalFormatting>
  <conditionalFormatting sqref="F123">
    <cfRule type="notContainsBlanks" dxfId="3369" priority="2976">
      <formula>LEN(TRIM(F123))&gt;0</formula>
    </cfRule>
  </conditionalFormatting>
  <conditionalFormatting sqref="E123">
    <cfRule type="notContainsBlanks" dxfId="3368" priority="2975">
      <formula>LEN(TRIM(E123))&gt;0</formula>
    </cfRule>
  </conditionalFormatting>
  <conditionalFormatting sqref="D123">
    <cfRule type="notContainsBlanks" dxfId="3367" priority="2974">
      <formula>LEN(TRIM(D123))&gt;0</formula>
    </cfRule>
  </conditionalFormatting>
  <conditionalFormatting sqref="C123">
    <cfRule type="notContainsBlanks" dxfId="3366" priority="2973">
      <formula>LEN(TRIM(C123))&gt;0</formula>
    </cfRule>
  </conditionalFormatting>
  <conditionalFormatting sqref="I123">
    <cfRule type="notContainsBlanks" dxfId="3365" priority="2972">
      <formula>LEN(TRIM(I123))&gt;0</formula>
    </cfRule>
  </conditionalFormatting>
  <conditionalFormatting sqref="S126">
    <cfRule type="cellIs" dxfId="3364" priority="2970" operator="greaterThan">
      <formula>0</formula>
    </cfRule>
    <cfRule type="top10" dxfId="3363" priority="2971" rank="10"/>
  </conditionalFormatting>
  <conditionalFormatting sqref="S129">
    <cfRule type="cellIs" dxfId="3362" priority="2968" operator="greaterThan">
      <formula>0</formula>
    </cfRule>
    <cfRule type="top10" dxfId="3361" priority="2969" rank="10"/>
  </conditionalFormatting>
  <conditionalFormatting sqref="G129">
    <cfRule type="notContainsBlanks" dxfId="3360" priority="2967">
      <formula>LEN(TRIM(G129))&gt;0</formula>
    </cfRule>
  </conditionalFormatting>
  <conditionalFormatting sqref="F129">
    <cfRule type="notContainsBlanks" dxfId="3359" priority="2966">
      <formula>LEN(TRIM(F129))&gt;0</formula>
    </cfRule>
  </conditionalFormatting>
  <conditionalFormatting sqref="E129">
    <cfRule type="notContainsBlanks" dxfId="3358" priority="2965">
      <formula>LEN(TRIM(E129))&gt;0</formula>
    </cfRule>
  </conditionalFormatting>
  <conditionalFormatting sqref="D129">
    <cfRule type="notContainsBlanks" dxfId="3357" priority="2964">
      <formula>LEN(TRIM(D129))&gt;0</formula>
    </cfRule>
  </conditionalFormatting>
  <conditionalFormatting sqref="C129">
    <cfRule type="notContainsBlanks" dxfId="3356" priority="2963">
      <formula>LEN(TRIM(C129))&gt;0</formula>
    </cfRule>
  </conditionalFormatting>
  <conditionalFormatting sqref="S132">
    <cfRule type="cellIs" dxfId="3355" priority="2961" operator="greaterThan">
      <formula>0</formula>
    </cfRule>
    <cfRule type="top10" dxfId="3354" priority="2962" rank="10"/>
  </conditionalFormatting>
  <conditionalFormatting sqref="S135">
    <cfRule type="cellIs" dxfId="3353" priority="2959" operator="greaterThan">
      <formula>0</formula>
    </cfRule>
    <cfRule type="top10" dxfId="3352" priority="2960" rank="10"/>
  </conditionalFormatting>
  <conditionalFormatting sqref="G135">
    <cfRule type="notContainsBlanks" dxfId="3351" priority="2958">
      <formula>LEN(TRIM(G135))&gt;0</formula>
    </cfRule>
  </conditionalFormatting>
  <conditionalFormatting sqref="F135">
    <cfRule type="notContainsBlanks" dxfId="3350" priority="2957">
      <formula>LEN(TRIM(F135))&gt;0</formula>
    </cfRule>
  </conditionalFormatting>
  <conditionalFormatting sqref="E135">
    <cfRule type="notContainsBlanks" dxfId="3349" priority="2956">
      <formula>LEN(TRIM(E135))&gt;0</formula>
    </cfRule>
  </conditionalFormatting>
  <conditionalFormatting sqref="D135">
    <cfRule type="notContainsBlanks" dxfId="3348" priority="2955">
      <formula>LEN(TRIM(D135))&gt;0</formula>
    </cfRule>
  </conditionalFormatting>
  <conditionalFormatting sqref="C135">
    <cfRule type="notContainsBlanks" dxfId="3347" priority="2954">
      <formula>LEN(TRIM(C135))&gt;0</formula>
    </cfRule>
  </conditionalFormatting>
  <conditionalFormatting sqref="I135">
    <cfRule type="notContainsBlanks" dxfId="3346" priority="2953">
      <formula>LEN(TRIM(I135))&gt;0</formula>
    </cfRule>
  </conditionalFormatting>
  <conditionalFormatting sqref="G126">
    <cfRule type="notContainsBlanks" dxfId="3345" priority="2952">
      <formula>LEN(TRIM(G126))&gt;0</formula>
    </cfRule>
  </conditionalFormatting>
  <conditionalFormatting sqref="F126">
    <cfRule type="notContainsBlanks" dxfId="3344" priority="2951">
      <formula>LEN(TRIM(F126))&gt;0</formula>
    </cfRule>
  </conditionalFormatting>
  <conditionalFormatting sqref="E126">
    <cfRule type="notContainsBlanks" dxfId="3343" priority="2950">
      <formula>LEN(TRIM(E126))&gt;0</formula>
    </cfRule>
  </conditionalFormatting>
  <conditionalFormatting sqref="D126">
    <cfRule type="notContainsBlanks" dxfId="3342" priority="2949">
      <formula>LEN(TRIM(D126))&gt;0</formula>
    </cfRule>
  </conditionalFormatting>
  <conditionalFormatting sqref="C126">
    <cfRule type="notContainsBlanks" dxfId="3341" priority="2948">
      <formula>LEN(TRIM(C126))&gt;0</formula>
    </cfRule>
  </conditionalFormatting>
  <conditionalFormatting sqref="G132">
    <cfRule type="notContainsBlanks" dxfId="3340" priority="2947">
      <formula>LEN(TRIM(G132))&gt;0</formula>
    </cfRule>
  </conditionalFormatting>
  <conditionalFormatting sqref="F132">
    <cfRule type="notContainsBlanks" dxfId="3339" priority="2946">
      <formula>LEN(TRIM(F132))&gt;0</formula>
    </cfRule>
  </conditionalFormatting>
  <conditionalFormatting sqref="E132">
    <cfRule type="notContainsBlanks" dxfId="3338" priority="2945">
      <formula>LEN(TRIM(E132))&gt;0</formula>
    </cfRule>
  </conditionalFormatting>
  <conditionalFormatting sqref="D132">
    <cfRule type="notContainsBlanks" dxfId="3337" priority="2944">
      <formula>LEN(TRIM(D132))&gt;0</formula>
    </cfRule>
  </conditionalFormatting>
  <conditionalFormatting sqref="C132">
    <cfRule type="notContainsBlanks" dxfId="3336" priority="2943">
      <formula>LEN(TRIM(C132))&gt;0</formula>
    </cfRule>
  </conditionalFormatting>
  <conditionalFormatting sqref="I132">
    <cfRule type="notContainsBlanks" dxfId="3335" priority="2942">
      <formula>LEN(TRIM(I132))&gt;0</formula>
    </cfRule>
  </conditionalFormatting>
  <conditionalFormatting sqref="S138">
    <cfRule type="expression" dxfId="3334" priority="2940">
      <formula>$S$28&gt;0</formula>
    </cfRule>
    <cfRule type="cellIs" dxfId="3333" priority="2941" operator="equal">
      <formula>0</formula>
    </cfRule>
  </conditionalFormatting>
  <conditionalFormatting sqref="S139">
    <cfRule type="expression" dxfId="3332" priority="2938">
      <formula>$S$28&gt;0</formula>
    </cfRule>
    <cfRule type="cellIs" dxfId="3331" priority="2939" operator="equal">
      <formula>0</formula>
    </cfRule>
  </conditionalFormatting>
  <conditionalFormatting sqref="S145">
    <cfRule type="cellIs" dxfId="3330" priority="2936" operator="greaterThan">
      <formula>0</formula>
    </cfRule>
    <cfRule type="top10" dxfId="3329" priority="2937" rank="10"/>
  </conditionalFormatting>
  <conditionalFormatting sqref="B160">
    <cfRule type="cellIs" dxfId="3328" priority="2934" operator="equal">
      <formula>"NO CUMPLE CON LA EXPERIENCIA REQUERIDA"</formula>
    </cfRule>
    <cfRule type="cellIs" dxfId="3327" priority="2935" operator="equal">
      <formula>"CUMPLE CON LA EXPERIENCIA REQUERIDA"</formula>
    </cfRule>
  </conditionalFormatting>
  <conditionalFormatting sqref="H145 H148 H151 H154 H157">
    <cfRule type="notContainsBlanks" dxfId="3326" priority="2933">
      <formula>LEN(TRIM(H145))&gt;0</formula>
    </cfRule>
  </conditionalFormatting>
  <conditionalFormatting sqref="G145">
    <cfRule type="notContainsBlanks" dxfId="3325" priority="2932">
      <formula>LEN(TRIM(G145))&gt;0</formula>
    </cfRule>
  </conditionalFormatting>
  <conditionalFormatting sqref="F145">
    <cfRule type="notContainsBlanks" dxfId="3324" priority="2931">
      <formula>LEN(TRIM(F145))&gt;0</formula>
    </cfRule>
  </conditionalFormatting>
  <conditionalFormatting sqref="E145">
    <cfRule type="notContainsBlanks" dxfId="3323" priority="2930">
      <formula>LEN(TRIM(E145))&gt;0</formula>
    </cfRule>
  </conditionalFormatting>
  <conditionalFormatting sqref="D145">
    <cfRule type="notContainsBlanks" dxfId="3322" priority="2929">
      <formula>LEN(TRIM(D145))&gt;0</formula>
    </cfRule>
  </conditionalFormatting>
  <conditionalFormatting sqref="C145">
    <cfRule type="notContainsBlanks" dxfId="3321" priority="2928">
      <formula>LEN(TRIM(C145))&gt;0</formula>
    </cfRule>
  </conditionalFormatting>
  <conditionalFormatting sqref="I145">
    <cfRule type="notContainsBlanks" dxfId="3320" priority="2927">
      <formula>LEN(TRIM(I145))&gt;0</formula>
    </cfRule>
  </conditionalFormatting>
  <conditionalFormatting sqref="S148">
    <cfRule type="cellIs" dxfId="3319" priority="2925" operator="greaterThan">
      <formula>0</formula>
    </cfRule>
    <cfRule type="top10" dxfId="3318" priority="2926" rank="10"/>
  </conditionalFormatting>
  <conditionalFormatting sqref="S151">
    <cfRule type="cellIs" dxfId="3317" priority="2923" operator="greaterThan">
      <formula>0</formula>
    </cfRule>
    <cfRule type="top10" dxfId="3316" priority="2924" rank="10"/>
  </conditionalFormatting>
  <conditionalFormatting sqref="G151">
    <cfRule type="notContainsBlanks" dxfId="3315" priority="2922">
      <formula>LEN(TRIM(G151))&gt;0</formula>
    </cfRule>
  </conditionalFormatting>
  <conditionalFormatting sqref="F151">
    <cfRule type="notContainsBlanks" dxfId="3314" priority="2921">
      <formula>LEN(TRIM(F151))&gt;0</formula>
    </cfRule>
  </conditionalFormatting>
  <conditionalFormatting sqref="E151">
    <cfRule type="notContainsBlanks" dxfId="3313" priority="2920">
      <formula>LEN(TRIM(E151))&gt;0</formula>
    </cfRule>
  </conditionalFormatting>
  <conditionalFormatting sqref="D151">
    <cfRule type="notContainsBlanks" dxfId="3312" priority="2919">
      <formula>LEN(TRIM(D151))&gt;0</formula>
    </cfRule>
  </conditionalFormatting>
  <conditionalFormatting sqref="C151">
    <cfRule type="notContainsBlanks" dxfId="3311" priority="2918">
      <formula>LEN(TRIM(C151))&gt;0</formula>
    </cfRule>
  </conditionalFormatting>
  <conditionalFormatting sqref="I151">
    <cfRule type="notContainsBlanks" dxfId="3310" priority="2917">
      <formula>LEN(TRIM(I151))&gt;0</formula>
    </cfRule>
  </conditionalFormatting>
  <conditionalFormatting sqref="S154">
    <cfRule type="cellIs" dxfId="3309" priority="2915" operator="greaterThan">
      <formula>0</formula>
    </cfRule>
    <cfRule type="top10" dxfId="3308" priority="2916" rank="10"/>
  </conditionalFormatting>
  <conditionalFormatting sqref="S157">
    <cfRule type="cellIs" dxfId="3307" priority="2913" operator="greaterThan">
      <formula>0</formula>
    </cfRule>
    <cfRule type="top10" dxfId="3306" priority="2914" rank="10"/>
  </conditionalFormatting>
  <conditionalFormatting sqref="G157">
    <cfRule type="notContainsBlanks" dxfId="3305" priority="2912">
      <formula>LEN(TRIM(G157))&gt;0</formula>
    </cfRule>
  </conditionalFormatting>
  <conditionalFormatting sqref="F157">
    <cfRule type="notContainsBlanks" dxfId="3304" priority="2911">
      <formula>LEN(TRIM(F157))&gt;0</formula>
    </cfRule>
  </conditionalFormatting>
  <conditionalFormatting sqref="E157">
    <cfRule type="notContainsBlanks" dxfId="3303" priority="2910">
      <formula>LEN(TRIM(E157))&gt;0</formula>
    </cfRule>
  </conditionalFormatting>
  <conditionalFormatting sqref="D157">
    <cfRule type="notContainsBlanks" dxfId="3302" priority="2909">
      <formula>LEN(TRIM(D157))&gt;0</formula>
    </cfRule>
  </conditionalFormatting>
  <conditionalFormatting sqref="C157">
    <cfRule type="notContainsBlanks" dxfId="3301" priority="2908">
      <formula>LEN(TRIM(C157))&gt;0</formula>
    </cfRule>
  </conditionalFormatting>
  <conditionalFormatting sqref="I157">
    <cfRule type="notContainsBlanks" dxfId="3300" priority="2907">
      <formula>LEN(TRIM(I157))&gt;0</formula>
    </cfRule>
  </conditionalFormatting>
  <conditionalFormatting sqref="G148">
    <cfRule type="notContainsBlanks" dxfId="3299" priority="2906">
      <formula>LEN(TRIM(G148))&gt;0</formula>
    </cfRule>
  </conditionalFormatting>
  <conditionalFormatting sqref="E148">
    <cfRule type="notContainsBlanks" dxfId="3298" priority="2905">
      <formula>LEN(TRIM(E148))&gt;0</formula>
    </cfRule>
  </conditionalFormatting>
  <conditionalFormatting sqref="D148">
    <cfRule type="notContainsBlanks" dxfId="3297" priority="2904">
      <formula>LEN(TRIM(D148))&gt;0</formula>
    </cfRule>
  </conditionalFormatting>
  <conditionalFormatting sqref="C148">
    <cfRule type="notContainsBlanks" dxfId="3296" priority="2903">
      <formula>LEN(TRIM(C148))&gt;0</formula>
    </cfRule>
  </conditionalFormatting>
  <conditionalFormatting sqref="G154">
    <cfRule type="notContainsBlanks" dxfId="3295" priority="2902">
      <formula>LEN(TRIM(G154))&gt;0</formula>
    </cfRule>
  </conditionalFormatting>
  <conditionalFormatting sqref="F154">
    <cfRule type="notContainsBlanks" dxfId="3294" priority="2901">
      <formula>LEN(TRIM(F154))&gt;0</formula>
    </cfRule>
  </conditionalFormatting>
  <conditionalFormatting sqref="E154">
    <cfRule type="notContainsBlanks" dxfId="3293" priority="2900">
      <formula>LEN(TRIM(E154))&gt;0</formula>
    </cfRule>
  </conditionalFormatting>
  <conditionalFormatting sqref="D154">
    <cfRule type="notContainsBlanks" dxfId="3292" priority="2899">
      <formula>LEN(TRIM(D154))&gt;0</formula>
    </cfRule>
  </conditionalFormatting>
  <conditionalFormatting sqref="C154">
    <cfRule type="notContainsBlanks" dxfId="3291" priority="2898">
      <formula>LEN(TRIM(C154))&gt;0</formula>
    </cfRule>
  </conditionalFormatting>
  <conditionalFormatting sqref="I148">
    <cfRule type="notContainsBlanks" dxfId="3290" priority="2897">
      <formula>LEN(TRIM(I148))&gt;0</formula>
    </cfRule>
  </conditionalFormatting>
  <conditionalFormatting sqref="I154">
    <cfRule type="notContainsBlanks" dxfId="3289" priority="2896">
      <formula>LEN(TRIM(I154))&gt;0</formula>
    </cfRule>
  </conditionalFormatting>
  <conditionalFormatting sqref="S160">
    <cfRule type="expression" dxfId="3288" priority="2894">
      <formula>$S$28&gt;0</formula>
    </cfRule>
    <cfRule type="cellIs" dxfId="3287" priority="2895" operator="equal">
      <formula>0</formula>
    </cfRule>
  </conditionalFormatting>
  <conditionalFormatting sqref="S161">
    <cfRule type="expression" dxfId="3286" priority="2892">
      <formula>$S$28&gt;0</formula>
    </cfRule>
    <cfRule type="cellIs" dxfId="3285" priority="2893" operator="equal">
      <formula>0</formula>
    </cfRule>
  </conditionalFormatting>
  <conditionalFormatting sqref="N157">
    <cfRule type="expression" dxfId="3284" priority="2889">
      <formula>N157=" "</formula>
    </cfRule>
    <cfRule type="expression" dxfId="3283" priority="2890">
      <formula>N157="NO PRESENTÓ CERTIFICADO"</formula>
    </cfRule>
    <cfRule type="expression" dxfId="3282" priority="2891">
      <formula>N157="PRESENTÓ CERTIFICADO"</formula>
    </cfRule>
  </conditionalFormatting>
  <conditionalFormatting sqref="O157">
    <cfRule type="cellIs" dxfId="3281" priority="2871" operator="equal">
      <formula>"PENDIENTE POR DESCRIPCIÓN"</formula>
    </cfRule>
    <cfRule type="cellIs" dxfId="3280" priority="2872" operator="equal">
      <formula>"DESCRIPCIÓN INSUFICIENTE"</formula>
    </cfRule>
    <cfRule type="cellIs" dxfId="3279" priority="2873" operator="equal">
      <formula>"NO ESTÁ ACORDE A ITEM 5.2.2 (T.R.)"</formula>
    </cfRule>
    <cfRule type="cellIs" dxfId="3278" priority="2874" operator="equal">
      <formula>"ACORDE A ITEM 5.2.2 (T.R.)"</formula>
    </cfRule>
    <cfRule type="cellIs" dxfId="3277" priority="2881" operator="equal">
      <formula>"PENDIENTE POR DESCRIPCIÓN"</formula>
    </cfRule>
    <cfRule type="cellIs" dxfId="3276" priority="2883" operator="equal">
      <formula>"DESCRIPCIÓN INSUFICIENTE"</formula>
    </cfRule>
    <cfRule type="cellIs" dxfId="3275" priority="2884" operator="equal">
      <formula>"NO ESTÁ ACORDE A ITEM 5.2.1 (T.R.)"</formula>
    </cfRule>
    <cfRule type="cellIs" dxfId="3274" priority="2885" operator="equal">
      <formula>"ACORDE A ITEM 5.2.1 (T.R.)"</formula>
    </cfRule>
  </conditionalFormatting>
  <conditionalFormatting sqref="Q157">
    <cfRule type="containsBlanks" dxfId="3273" priority="2876">
      <formula>LEN(TRIM(Q157))=0</formula>
    </cfRule>
    <cfRule type="cellIs" dxfId="3272" priority="2882" operator="equal">
      <formula>"REQUERIMIENTOS SUBSANADOS"</formula>
    </cfRule>
    <cfRule type="containsText" dxfId="3271" priority="2886" operator="containsText" text="NO SUBSANABLE">
      <formula>NOT(ISERROR(SEARCH("NO SUBSANABLE",Q157)))</formula>
    </cfRule>
    <cfRule type="containsText" dxfId="3270" priority="2887" operator="containsText" text="PENDIENTES POR SUBSANAR">
      <formula>NOT(ISERROR(SEARCH("PENDIENTES POR SUBSANAR",Q157)))</formula>
    </cfRule>
    <cfRule type="containsText" dxfId="3269" priority="2888" operator="containsText" text="SIN OBSERVACIÓN">
      <formula>NOT(ISERROR(SEARCH("SIN OBSERVACIÓN",Q157)))</formula>
    </cfRule>
  </conditionalFormatting>
  <conditionalFormatting sqref="R157">
    <cfRule type="containsBlanks" dxfId="3268" priority="2875">
      <formula>LEN(TRIM(R157))=0</formula>
    </cfRule>
    <cfRule type="cellIs" dxfId="3267" priority="2877" operator="equal">
      <formula>"NO CUMPLEN CON LO SOLICITADO"</formula>
    </cfRule>
    <cfRule type="cellIs" dxfId="3266" priority="2878" operator="equal">
      <formula>"CUMPLEN CON LO SOLICITADO"</formula>
    </cfRule>
    <cfRule type="cellIs" dxfId="3265" priority="2879" operator="equal">
      <formula>"PENDIENTES"</formula>
    </cfRule>
    <cfRule type="cellIs" dxfId="3264" priority="2880" operator="equal">
      <formula>"NINGUNO"</formula>
    </cfRule>
  </conditionalFormatting>
  <conditionalFormatting sqref="P157">
    <cfRule type="expression" dxfId="3263" priority="2866">
      <formula>Q157="NO SUBSANABLE"</formula>
    </cfRule>
    <cfRule type="expression" dxfId="3262" priority="2867">
      <formula>Q157="REQUERIMIENTOS SUBSANADOS"</formula>
    </cfRule>
    <cfRule type="expression" dxfId="3261" priority="2868">
      <formula>Q157="PENDIENTES POR SUBSANAR"</formula>
    </cfRule>
    <cfRule type="expression" dxfId="3260" priority="2869">
      <formula>Q157="SIN OBSERVACIÓN"</formula>
    </cfRule>
    <cfRule type="containsBlanks" dxfId="3259" priority="2870">
      <formula>LEN(TRIM(P157))=0</formula>
    </cfRule>
  </conditionalFormatting>
  <conditionalFormatting sqref="S167">
    <cfRule type="cellIs" dxfId="3258" priority="2864" operator="greaterThan">
      <formula>0</formula>
    </cfRule>
    <cfRule type="top10" dxfId="3257" priority="2865" rank="10"/>
  </conditionalFormatting>
  <conditionalFormatting sqref="B182">
    <cfRule type="cellIs" dxfId="3256" priority="2862" operator="equal">
      <formula>"NO CUMPLE CON LA EXPERIENCIA REQUERIDA"</formula>
    </cfRule>
    <cfRule type="cellIs" dxfId="3255" priority="2863" operator="equal">
      <formula>"CUMPLE CON LA EXPERIENCIA REQUERIDA"</formula>
    </cfRule>
  </conditionalFormatting>
  <conditionalFormatting sqref="H167 H176 H179">
    <cfRule type="notContainsBlanks" dxfId="3254" priority="2861">
      <formula>LEN(TRIM(H167))&gt;0</formula>
    </cfRule>
  </conditionalFormatting>
  <conditionalFormatting sqref="G167">
    <cfRule type="notContainsBlanks" dxfId="3253" priority="2860">
      <formula>LEN(TRIM(G167))&gt;0</formula>
    </cfRule>
  </conditionalFormatting>
  <conditionalFormatting sqref="F167">
    <cfRule type="notContainsBlanks" dxfId="3252" priority="2859">
      <formula>LEN(TRIM(F167))&gt;0</formula>
    </cfRule>
  </conditionalFormatting>
  <conditionalFormatting sqref="E167">
    <cfRule type="notContainsBlanks" dxfId="3251" priority="2858">
      <formula>LEN(TRIM(E167))&gt;0</formula>
    </cfRule>
  </conditionalFormatting>
  <conditionalFormatting sqref="D167">
    <cfRule type="notContainsBlanks" dxfId="3250" priority="2857">
      <formula>LEN(TRIM(D167))&gt;0</formula>
    </cfRule>
  </conditionalFormatting>
  <conditionalFormatting sqref="C167">
    <cfRule type="notContainsBlanks" dxfId="3249" priority="2856">
      <formula>LEN(TRIM(C167))&gt;0</formula>
    </cfRule>
  </conditionalFormatting>
  <conditionalFormatting sqref="I167">
    <cfRule type="notContainsBlanks" dxfId="3248" priority="2855">
      <formula>LEN(TRIM(I167))&gt;0</formula>
    </cfRule>
  </conditionalFormatting>
  <conditionalFormatting sqref="S170">
    <cfRule type="cellIs" dxfId="3247" priority="2853" operator="greaterThan">
      <formula>0</formula>
    </cfRule>
    <cfRule type="top10" dxfId="3246" priority="2854" rank="10"/>
  </conditionalFormatting>
  <conditionalFormatting sqref="S173">
    <cfRule type="cellIs" dxfId="3245" priority="2851" operator="greaterThan">
      <formula>0</formula>
    </cfRule>
    <cfRule type="top10" dxfId="3244" priority="2852" rank="10"/>
  </conditionalFormatting>
  <conditionalFormatting sqref="G173">
    <cfRule type="notContainsBlanks" dxfId="3243" priority="2850">
      <formula>LEN(TRIM(G173))&gt;0</formula>
    </cfRule>
  </conditionalFormatting>
  <conditionalFormatting sqref="F173">
    <cfRule type="notContainsBlanks" dxfId="3242" priority="2849">
      <formula>LEN(TRIM(F173))&gt;0</formula>
    </cfRule>
  </conditionalFormatting>
  <conditionalFormatting sqref="E173">
    <cfRule type="notContainsBlanks" dxfId="3241" priority="2848">
      <formula>LEN(TRIM(E173))&gt;0</formula>
    </cfRule>
  </conditionalFormatting>
  <conditionalFormatting sqref="D173">
    <cfRule type="notContainsBlanks" dxfId="3240" priority="2847">
      <formula>LEN(TRIM(D173))&gt;0</formula>
    </cfRule>
  </conditionalFormatting>
  <conditionalFormatting sqref="C173">
    <cfRule type="notContainsBlanks" dxfId="3239" priority="2846">
      <formula>LEN(TRIM(C173))&gt;0</formula>
    </cfRule>
  </conditionalFormatting>
  <conditionalFormatting sqref="I173">
    <cfRule type="notContainsBlanks" dxfId="3238" priority="2845">
      <formula>LEN(TRIM(I173))&gt;0</formula>
    </cfRule>
  </conditionalFormatting>
  <conditionalFormatting sqref="S176">
    <cfRule type="cellIs" dxfId="3237" priority="2843" operator="greaterThan">
      <formula>0</formula>
    </cfRule>
    <cfRule type="top10" dxfId="3236" priority="2844" rank="10"/>
  </conditionalFormatting>
  <conditionalFormatting sqref="S179">
    <cfRule type="cellIs" dxfId="3235" priority="2841" operator="greaterThan">
      <formula>0</formula>
    </cfRule>
    <cfRule type="top10" dxfId="3234" priority="2842" rank="10"/>
  </conditionalFormatting>
  <conditionalFormatting sqref="G179">
    <cfRule type="notContainsBlanks" dxfId="3233" priority="2840">
      <formula>LEN(TRIM(G179))&gt;0</formula>
    </cfRule>
  </conditionalFormatting>
  <conditionalFormatting sqref="F179">
    <cfRule type="notContainsBlanks" dxfId="3232" priority="2839">
      <formula>LEN(TRIM(F179))&gt;0</formula>
    </cfRule>
  </conditionalFormatting>
  <conditionalFormatting sqref="E179">
    <cfRule type="notContainsBlanks" dxfId="3231" priority="2838">
      <formula>LEN(TRIM(E179))&gt;0</formula>
    </cfRule>
  </conditionalFormatting>
  <conditionalFormatting sqref="D179">
    <cfRule type="notContainsBlanks" dxfId="3230" priority="2837">
      <formula>LEN(TRIM(D179))&gt;0</formula>
    </cfRule>
  </conditionalFormatting>
  <conditionalFormatting sqref="C179">
    <cfRule type="notContainsBlanks" dxfId="3229" priority="2836">
      <formula>LEN(TRIM(C179))&gt;0</formula>
    </cfRule>
  </conditionalFormatting>
  <conditionalFormatting sqref="I179">
    <cfRule type="notContainsBlanks" dxfId="3228" priority="2835">
      <formula>LEN(TRIM(I179))&gt;0</formula>
    </cfRule>
  </conditionalFormatting>
  <conditionalFormatting sqref="G170">
    <cfRule type="notContainsBlanks" dxfId="3227" priority="2834">
      <formula>LEN(TRIM(G170))&gt;0</formula>
    </cfRule>
  </conditionalFormatting>
  <conditionalFormatting sqref="F170">
    <cfRule type="notContainsBlanks" dxfId="3226" priority="2833">
      <formula>LEN(TRIM(F170))&gt;0</formula>
    </cfRule>
  </conditionalFormatting>
  <conditionalFormatting sqref="E170">
    <cfRule type="notContainsBlanks" dxfId="3225" priority="2832">
      <formula>LEN(TRIM(E170))&gt;0</formula>
    </cfRule>
  </conditionalFormatting>
  <conditionalFormatting sqref="D170">
    <cfRule type="notContainsBlanks" dxfId="3224" priority="2831">
      <formula>LEN(TRIM(D170))&gt;0</formula>
    </cfRule>
  </conditionalFormatting>
  <conditionalFormatting sqref="C170">
    <cfRule type="notContainsBlanks" dxfId="3223" priority="2830">
      <formula>LEN(TRIM(C170))&gt;0</formula>
    </cfRule>
  </conditionalFormatting>
  <conditionalFormatting sqref="G176">
    <cfRule type="notContainsBlanks" dxfId="3222" priority="2829">
      <formula>LEN(TRIM(G176))&gt;0</formula>
    </cfRule>
  </conditionalFormatting>
  <conditionalFormatting sqref="F176">
    <cfRule type="notContainsBlanks" dxfId="3221" priority="2828">
      <formula>LEN(TRIM(F176))&gt;0</formula>
    </cfRule>
  </conditionalFormatting>
  <conditionalFormatting sqref="E176">
    <cfRule type="notContainsBlanks" dxfId="3220" priority="2827">
      <formula>LEN(TRIM(E176))&gt;0</formula>
    </cfRule>
  </conditionalFormatting>
  <conditionalFormatting sqref="D176">
    <cfRule type="notContainsBlanks" dxfId="3219" priority="2826">
      <formula>LEN(TRIM(D176))&gt;0</formula>
    </cfRule>
  </conditionalFormatting>
  <conditionalFormatting sqref="C176">
    <cfRule type="notContainsBlanks" dxfId="3218" priority="2825">
      <formula>LEN(TRIM(C176))&gt;0</formula>
    </cfRule>
  </conditionalFormatting>
  <conditionalFormatting sqref="I170">
    <cfRule type="notContainsBlanks" dxfId="3217" priority="2824">
      <formula>LEN(TRIM(I170))&gt;0</formula>
    </cfRule>
  </conditionalFormatting>
  <conditionalFormatting sqref="I176">
    <cfRule type="notContainsBlanks" dxfId="3216" priority="2823">
      <formula>LEN(TRIM(I176))&gt;0</formula>
    </cfRule>
  </conditionalFormatting>
  <conditionalFormatting sqref="S182">
    <cfRule type="expression" dxfId="3215" priority="2821">
      <formula>$S$28&gt;0</formula>
    </cfRule>
    <cfRule type="cellIs" dxfId="3214" priority="2822" operator="equal">
      <formula>0</formula>
    </cfRule>
  </conditionalFormatting>
  <conditionalFormatting sqref="S183">
    <cfRule type="expression" dxfId="3213" priority="2819">
      <formula>$S$28&gt;0</formula>
    </cfRule>
    <cfRule type="cellIs" dxfId="3212" priority="2820" operator="equal">
      <formula>0</formula>
    </cfRule>
  </conditionalFormatting>
  <conditionalFormatting sqref="B204">
    <cfRule type="cellIs" dxfId="3211" priority="2817" operator="equal">
      <formula>"NO CUMPLE CON LA EXPERIENCIA REQUERIDA"</formula>
    </cfRule>
    <cfRule type="cellIs" dxfId="3210" priority="2818" operator="equal">
      <formula>"CUMPLE CON LA EXPERIENCIA REQUERIDA"</formula>
    </cfRule>
  </conditionalFormatting>
  <conditionalFormatting sqref="H189 H192 H195 H198 H201">
    <cfRule type="notContainsBlanks" dxfId="3209" priority="2816">
      <formula>LEN(TRIM(H189))&gt;0</formula>
    </cfRule>
  </conditionalFormatting>
  <conditionalFormatting sqref="G189">
    <cfRule type="notContainsBlanks" dxfId="3208" priority="2815">
      <formula>LEN(TRIM(G189))&gt;0</formula>
    </cfRule>
  </conditionalFormatting>
  <conditionalFormatting sqref="F189">
    <cfRule type="notContainsBlanks" dxfId="3207" priority="2814">
      <formula>LEN(TRIM(F189))&gt;0</formula>
    </cfRule>
  </conditionalFormatting>
  <conditionalFormatting sqref="E189">
    <cfRule type="notContainsBlanks" dxfId="3206" priority="2813">
      <formula>LEN(TRIM(E189))&gt;0</formula>
    </cfRule>
  </conditionalFormatting>
  <conditionalFormatting sqref="D189">
    <cfRule type="notContainsBlanks" dxfId="3205" priority="2812">
      <formula>LEN(TRIM(D189))&gt;0</formula>
    </cfRule>
  </conditionalFormatting>
  <conditionalFormatting sqref="C189">
    <cfRule type="notContainsBlanks" dxfId="3204" priority="2811">
      <formula>LEN(TRIM(C189))&gt;0</formula>
    </cfRule>
  </conditionalFormatting>
  <conditionalFormatting sqref="I189">
    <cfRule type="notContainsBlanks" dxfId="3203" priority="2810">
      <formula>LEN(TRIM(I189))&gt;0</formula>
    </cfRule>
  </conditionalFormatting>
  <conditionalFormatting sqref="S192">
    <cfRule type="cellIs" dxfId="3202" priority="2808" operator="greaterThan">
      <formula>0</formula>
    </cfRule>
    <cfRule type="top10" dxfId="3201" priority="2809" rank="10"/>
  </conditionalFormatting>
  <conditionalFormatting sqref="S195">
    <cfRule type="cellIs" dxfId="3200" priority="2806" operator="greaterThan">
      <formula>0</formula>
    </cfRule>
    <cfRule type="top10" dxfId="3199" priority="2807" rank="10"/>
  </conditionalFormatting>
  <conditionalFormatting sqref="G195">
    <cfRule type="notContainsBlanks" dxfId="3198" priority="2805">
      <formula>LEN(TRIM(G195))&gt;0</formula>
    </cfRule>
  </conditionalFormatting>
  <conditionalFormatting sqref="F195">
    <cfRule type="notContainsBlanks" dxfId="3197" priority="2804">
      <formula>LEN(TRIM(F195))&gt;0</formula>
    </cfRule>
  </conditionalFormatting>
  <conditionalFormatting sqref="E195">
    <cfRule type="notContainsBlanks" dxfId="3196" priority="2803">
      <formula>LEN(TRIM(E195))&gt;0</formula>
    </cfRule>
  </conditionalFormatting>
  <conditionalFormatting sqref="D195">
    <cfRule type="notContainsBlanks" dxfId="3195" priority="2802">
      <formula>LEN(TRIM(D195))&gt;0</formula>
    </cfRule>
  </conditionalFormatting>
  <conditionalFormatting sqref="C195">
    <cfRule type="notContainsBlanks" dxfId="3194" priority="2801">
      <formula>LEN(TRIM(C195))&gt;0</formula>
    </cfRule>
  </conditionalFormatting>
  <conditionalFormatting sqref="I195">
    <cfRule type="notContainsBlanks" dxfId="3193" priority="2800">
      <formula>LEN(TRIM(I195))&gt;0</formula>
    </cfRule>
  </conditionalFormatting>
  <conditionalFormatting sqref="S198">
    <cfRule type="cellIs" dxfId="3192" priority="2798" operator="greaterThan">
      <formula>0</formula>
    </cfRule>
    <cfRule type="top10" dxfId="3191" priority="2799" rank="10"/>
  </conditionalFormatting>
  <conditionalFormatting sqref="S201">
    <cfRule type="cellIs" dxfId="3190" priority="2796" operator="greaterThan">
      <formula>0</formula>
    </cfRule>
    <cfRule type="top10" dxfId="3189" priority="2797" rank="10"/>
  </conditionalFormatting>
  <conditionalFormatting sqref="G201">
    <cfRule type="notContainsBlanks" dxfId="3188" priority="2795">
      <formula>LEN(TRIM(G201))&gt;0</formula>
    </cfRule>
  </conditionalFormatting>
  <conditionalFormatting sqref="F201">
    <cfRule type="notContainsBlanks" dxfId="3187" priority="2794">
      <formula>LEN(TRIM(F201))&gt;0</formula>
    </cfRule>
  </conditionalFormatting>
  <conditionalFormatting sqref="E201">
    <cfRule type="notContainsBlanks" dxfId="3186" priority="2793">
      <formula>LEN(TRIM(E201))&gt;0</formula>
    </cfRule>
  </conditionalFormatting>
  <conditionalFormatting sqref="D201">
    <cfRule type="notContainsBlanks" dxfId="3185" priority="2792">
      <formula>LEN(TRIM(D201))&gt;0</formula>
    </cfRule>
  </conditionalFormatting>
  <conditionalFormatting sqref="C201">
    <cfRule type="notContainsBlanks" dxfId="3184" priority="2791">
      <formula>LEN(TRIM(C201))&gt;0</formula>
    </cfRule>
  </conditionalFormatting>
  <conditionalFormatting sqref="I201">
    <cfRule type="notContainsBlanks" dxfId="3183" priority="2790">
      <formula>LEN(TRIM(I201))&gt;0</formula>
    </cfRule>
  </conditionalFormatting>
  <conditionalFormatting sqref="G192">
    <cfRule type="notContainsBlanks" dxfId="3182" priority="2789">
      <formula>LEN(TRIM(G192))&gt;0</formula>
    </cfRule>
  </conditionalFormatting>
  <conditionalFormatting sqref="F192">
    <cfRule type="notContainsBlanks" dxfId="3181" priority="2788">
      <formula>LEN(TRIM(F192))&gt;0</formula>
    </cfRule>
  </conditionalFormatting>
  <conditionalFormatting sqref="E192">
    <cfRule type="notContainsBlanks" dxfId="3180" priority="2787">
      <formula>LEN(TRIM(E192))&gt;0</formula>
    </cfRule>
  </conditionalFormatting>
  <conditionalFormatting sqref="D192">
    <cfRule type="notContainsBlanks" dxfId="3179" priority="2786">
      <formula>LEN(TRIM(D192))&gt;0</formula>
    </cfRule>
  </conditionalFormatting>
  <conditionalFormatting sqref="C192">
    <cfRule type="notContainsBlanks" dxfId="3178" priority="2785">
      <formula>LEN(TRIM(C192))&gt;0</formula>
    </cfRule>
  </conditionalFormatting>
  <conditionalFormatting sqref="G198">
    <cfRule type="notContainsBlanks" dxfId="3177" priority="2784">
      <formula>LEN(TRIM(G198))&gt;0</formula>
    </cfRule>
  </conditionalFormatting>
  <conditionalFormatting sqref="F198">
    <cfRule type="notContainsBlanks" dxfId="3176" priority="2783">
      <formula>LEN(TRIM(F198))&gt;0</formula>
    </cfRule>
  </conditionalFormatting>
  <conditionalFormatting sqref="E198">
    <cfRule type="notContainsBlanks" dxfId="3175" priority="2782">
      <formula>LEN(TRIM(E198))&gt;0</formula>
    </cfRule>
  </conditionalFormatting>
  <conditionalFormatting sqref="D198">
    <cfRule type="notContainsBlanks" dxfId="3174" priority="2781">
      <formula>LEN(TRIM(D198))&gt;0</formula>
    </cfRule>
  </conditionalFormatting>
  <conditionalFormatting sqref="C198">
    <cfRule type="notContainsBlanks" dxfId="3173" priority="2780">
      <formula>LEN(TRIM(C198))&gt;0</formula>
    </cfRule>
  </conditionalFormatting>
  <conditionalFormatting sqref="I192">
    <cfRule type="notContainsBlanks" dxfId="3172" priority="2779">
      <formula>LEN(TRIM(I192))&gt;0</formula>
    </cfRule>
  </conditionalFormatting>
  <conditionalFormatting sqref="I198">
    <cfRule type="notContainsBlanks" dxfId="3171" priority="2778">
      <formula>LEN(TRIM(I198))&gt;0</formula>
    </cfRule>
  </conditionalFormatting>
  <conditionalFormatting sqref="S204">
    <cfRule type="expression" dxfId="3170" priority="2776">
      <formula>$S$28&gt;0</formula>
    </cfRule>
    <cfRule type="cellIs" dxfId="3169" priority="2777" operator="equal">
      <formula>0</formula>
    </cfRule>
  </conditionalFormatting>
  <conditionalFormatting sqref="S205">
    <cfRule type="expression" dxfId="3168" priority="2774">
      <formula>$S$28&gt;0</formula>
    </cfRule>
    <cfRule type="cellIs" dxfId="3167" priority="2775" operator="equal">
      <formula>0</formula>
    </cfRule>
  </conditionalFormatting>
  <conditionalFormatting sqref="N201">
    <cfRule type="expression" dxfId="3166" priority="2771">
      <formula>N201=" "</formula>
    </cfRule>
    <cfRule type="expression" dxfId="3165" priority="2772">
      <formula>N201="NO PRESENTÓ CERTIFICADO"</formula>
    </cfRule>
    <cfRule type="expression" dxfId="3164" priority="2773">
      <formula>N201="PRESENTÓ CERTIFICADO"</formula>
    </cfRule>
  </conditionalFormatting>
  <conditionalFormatting sqref="O201">
    <cfRule type="cellIs" dxfId="3163" priority="2753" operator="equal">
      <formula>"PENDIENTE POR DESCRIPCIÓN"</formula>
    </cfRule>
    <cfRule type="cellIs" dxfId="3162" priority="2754" operator="equal">
      <formula>"DESCRIPCIÓN INSUFICIENTE"</formula>
    </cfRule>
    <cfRule type="cellIs" dxfId="3161" priority="2755" operator="equal">
      <formula>"NO ESTÁ ACORDE A ITEM 5.2.2 (T.R.)"</formula>
    </cfRule>
    <cfRule type="cellIs" dxfId="3160" priority="2756" operator="equal">
      <formula>"ACORDE A ITEM 5.2.2 (T.R.)"</formula>
    </cfRule>
    <cfRule type="cellIs" dxfId="3159" priority="2763" operator="equal">
      <formula>"PENDIENTE POR DESCRIPCIÓN"</formula>
    </cfRule>
    <cfRule type="cellIs" dxfId="3158" priority="2765" operator="equal">
      <formula>"DESCRIPCIÓN INSUFICIENTE"</formula>
    </cfRule>
    <cfRule type="cellIs" dxfId="3157" priority="2766" operator="equal">
      <formula>"NO ESTÁ ACORDE A ITEM 5.2.1 (T.R.)"</formula>
    </cfRule>
    <cfRule type="cellIs" dxfId="3156" priority="2767" operator="equal">
      <formula>"ACORDE A ITEM 5.2.1 (T.R.)"</formula>
    </cfRule>
  </conditionalFormatting>
  <conditionalFormatting sqref="Q201">
    <cfRule type="containsBlanks" dxfId="3155" priority="2758">
      <formula>LEN(TRIM(Q201))=0</formula>
    </cfRule>
    <cfRule type="cellIs" dxfId="3154" priority="2764" operator="equal">
      <formula>"REQUERIMIENTOS SUBSANADOS"</formula>
    </cfRule>
    <cfRule type="containsText" dxfId="3153" priority="2768" operator="containsText" text="NO SUBSANABLE">
      <formula>NOT(ISERROR(SEARCH("NO SUBSANABLE",Q201)))</formula>
    </cfRule>
    <cfRule type="containsText" dxfId="3152" priority="2769" operator="containsText" text="PENDIENTES POR SUBSANAR">
      <formula>NOT(ISERROR(SEARCH("PENDIENTES POR SUBSANAR",Q201)))</formula>
    </cfRule>
    <cfRule type="containsText" dxfId="3151" priority="2770" operator="containsText" text="SIN OBSERVACIÓN">
      <formula>NOT(ISERROR(SEARCH("SIN OBSERVACIÓN",Q201)))</formula>
    </cfRule>
  </conditionalFormatting>
  <conditionalFormatting sqref="R201">
    <cfRule type="containsBlanks" dxfId="3150" priority="2757">
      <formula>LEN(TRIM(R201))=0</formula>
    </cfRule>
    <cfRule type="cellIs" dxfId="3149" priority="2759" operator="equal">
      <formula>"NO CUMPLEN CON LO SOLICITADO"</formula>
    </cfRule>
    <cfRule type="cellIs" dxfId="3148" priority="2760" operator="equal">
      <formula>"CUMPLEN CON LO SOLICITADO"</formula>
    </cfRule>
    <cfRule type="cellIs" dxfId="3147" priority="2761" operator="equal">
      <formula>"PENDIENTES"</formula>
    </cfRule>
    <cfRule type="cellIs" dxfId="3146" priority="2762" operator="equal">
      <formula>"NINGUNO"</formula>
    </cfRule>
  </conditionalFormatting>
  <conditionalFormatting sqref="P192 P195 P198 P201">
    <cfRule type="expression" dxfId="3145" priority="2748">
      <formula>Q192="NO SUBSANABLE"</formula>
    </cfRule>
    <cfRule type="expression" dxfId="3144" priority="2749">
      <formula>Q192="REQUERIMIENTOS SUBSANADOS"</formula>
    </cfRule>
    <cfRule type="expression" dxfId="3143" priority="2750">
      <formula>Q192="PENDIENTES POR SUBSANAR"</formula>
    </cfRule>
    <cfRule type="expression" dxfId="3142" priority="2751">
      <formula>Q192="SIN OBSERVACIÓN"</formula>
    </cfRule>
    <cfRule type="containsBlanks" dxfId="3141" priority="2752">
      <formula>LEN(TRIM(P192))=0</formula>
    </cfRule>
  </conditionalFormatting>
  <conditionalFormatting sqref="N192">
    <cfRule type="expression" dxfId="3140" priority="2745">
      <formula>N192=" "</formula>
    </cfRule>
    <cfRule type="expression" dxfId="3139" priority="2746">
      <formula>N192="NO PRESENTÓ CERTIFICADO"</formula>
    </cfRule>
    <cfRule type="expression" dxfId="3138" priority="2747">
      <formula>N192="PRESENTÓ CERTIFICADO"</formula>
    </cfRule>
  </conditionalFormatting>
  <conditionalFormatting sqref="N195">
    <cfRule type="expression" dxfId="3137" priority="2742">
      <formula>N195=" "</formula>
    </cfRule>
    <cfRule type="expression" dxfId="3136" priority="2743">
      <formula>N195="NO PRESENTÓ CERTIFICADO"</formula>
    </cfRule>
    <cfRule type="expression" dxfId="3135" priority="2744">
      <formula>N195="PRESENTÓ CERTIFICADO"</formula>
    </cfRule>
  </conditionalFormatting>
  <conditionalFormatting sqref="N198">
    <cfRule type="expression" dxfId="3134" priority="2739">
      <formula>N198=" "</formula>
    </cfRule>
    <cfRule type="expression" dxfId="3133" priority="2740">
      <formula>N198="NO PRESENTÓ CERTIFICADO"</formula>
    </cfRule>
    <cfRule type="expression" dxfId="3132" priority="2741">
      <formula>N198="PRESENTÓ CERTIFICADO"</formula>
    </cfRule>
  </conditionalFormatting>
  <conditionalFormatting sqref="O192">
    <cfRule type="cellIs" dxfId="3131" priority="2731" operator="equal">
      <formula>"PENDIENTE POR DESCRIPCIÓN"</formula>
    </cfRule>
    <cfRule type="cellIs" dxfId="3130" priority="2732" operator="equal">
      <formula>"DESCRIPCIÓN INSUFICIENTE"</formula>
    </cfRule>
    <cfRule type="cellIs" dxfId="3129" priority="2733" operator="equal">
      <formula>"NO ESTÁ ACORDE A ITEM 5.2.2 (T.R.)"</formula>
    </cfRule>
    <cfRule type="cellIs" dxfId="3128" priority="2734" operator="equal">
      <formula>"ACORDE A ITEM 5.2.2 (T.R.)"</formula>
    </cfRule>
    <cfRule type="cellIs" dxfId="3127" priority="2735" operator="equal">
      <formula>"PENDIENTE POR DESCRIPCIÓN"</formula>
    </cfRule>
    <cfRule type="cellIs" dxfId="3126" priority="2736" operator="equal">
      <formula>"DESCRIPCIÓN INSUFICIENTE"</formula>
    </cfRule>
    <cfRule type="cellIs" dxfId="3125" priority="2737" operator="equal">
      <formula>"NO ESTÁ ACORDE A ITEM 5.2.1 (T.R.)"</formula>
    </cfRule>
    <cfRule type="cellIs" dxfId="3124" priority="2738" operator="equal">
      <formula>"ACORDE A ITEM 5.2.1 (T.R.)"</formula>
    </cfRule>
  </conditionalFormatting>
  <conditionalFormatting sqref="O195">
    <cfRule type="cellIs" dxfId="3123" priority="2723" operator="equal">
      <formula>"PENDIENTE POR DESCRIPCIÓN"</formula>
    </cfRule>
    <cfRule type="cellIs" dxfId="3122" priority="2724" operator="equal">
      <formula>"DESCRIPCIÓN INSUFICIENTE"</formula>
    </cfRule>
    <cfRule type="cellIs" dxfId="3121" priority="2725" operator="equal">
      <formula>"NO ESTÁ ACORDE A ITEM 5.2.2 (T.R.)"</formula>
    </cfRule>
    <cfRule type="cellIs" dxfId="3120" priority="2726" operator="equal">
      <formula>"ACORDE A ITEM 5.2.2 (T.R.)"</formula>
    </cfRule>
    <cfRule type="cellIs" dxfId="3119" priority="2727" operator="equal">
      <formula>"PENDIENTE POR DESCRIPCIÓN"</formula>
    </cfRule>
    <cfRule type="cellIs" dxfId="3118" priority="2728" operator="equal">
      <formula>"DESCRIPCIÓN INSUFICIENTE"</formula>
    </cfRule>
    <cfRule type="cellIs" dxfId="3117" priority="2729" operator="equal">
      <formula>"NO ESTÁ ACORDE A ITEM 5.2.1 (T.R.)"</formula>
    </cfRule>
    <cfRule type="cellIs" dxfId="3116" priority="2730" operator="equal">
      <formula>"ACORDE A ITEM 5.2.1 (T.R.)"</formula>
    </cfRule>
  </conditionalFormatting>
  <conditionalFormatting sqref="O198">
    <cfRule type="cellIs" dxfId="3115" priority="2715" operator="equal">
      <formula>"PENDIENTE POR DESCRIPCIÓN"</formula>
    </cfRule>
    <cfRule type="cellIs" dxfId="3114" priority="2716" operator="equal">
      <formula>"DESCRIPCIÓN INSUFICIENTE"</formula>
    </cfRule>
    <cfRule type="cellIs" dxfId="3113" priority="2717" operator="equal">
      <formula>"NO ESTÁ ACORDE A ITEM 5.2.2 (T.R.)"</formula>
    </cfRule>
    <cfRule type="cellIs" dxfId="3112" priority="2718" operator="equal">
      <formula>"ACORDE A ITEM 5.2.2 (T.R.)"</formula>
    </cfRule>
    <cfRule type="cellIs" dxfId="3111" priority="2719" operator="equal">
      <formula>"PENDIENTE POR DESCRIPCIÓN"</formula>
    </cfRule>
    <cfRule type="cellIs" dxfId="3110" priority="2720" operator="equal">
      <formula>"DESCRIPCIÓN INSUFICIENTE"</formula>
    </cfRule>
    <cfRule type="cellIs" dxfId="3109" priority="2721" operator="equal">
      <formula>"NO ESTÁ ACORDE A ITEM 5.2.1 (T.R.)"</formula>
    </cfRule>
    <cfRule type="cellIs" dxfId="3108" priority="2722" operator="equal">
      <formula>"ACORDE A ITEM 5.2.1 (T.R.)"</formula>
    </cfRule>
  </conditionalFormatting>
  <conditionalFormatting sqref="Q192">
    <cfRule type="containsBlanks" dxfId="3107" priority="2706">
      <formula>LEN(TRIM(Q192))=0</formula>
    </cfRule>
    <cfRule type="cellIs" dxfId="3106" priority="2711" operator="equal">
      <formula>"REQUERIMIENTOS SUBSANADOS"</formula>
    </cfRule>
    <cfRule type="containsText" dxfId="3105" priority="2712" operator="containsText" text="NO SUBSANABLE">
      <formula>NOT(ISERROR(SEARCH("NO SUBSANABLE",Q192)))</formula>
    </cfRule>
    <cfRule type="containsText" dxfId="3104" priority="2713" operator="containsText" text="PENDIENTES POR SUBSANAR">
      <formula>NOT(ISERROR(SEARCH("PENDIENTES POR SUBSANAR",Q192)))</formula>
    </cfRule>
    <cfRule type="containsText" dxfId="3103" priority="2714" operator="containsText" text="SIN OBSERVACIÓN">
      <formula>NOT(ISERROR(SEARCH("SIN OBSERVACIÓN",Q192)))</formula>
    </cfRule>
  </conditionalFormatting>
  <conditionalFormatting sqref="R192">
    <cfRule type="containsBlanks" dxfId="3102" priority="2705">
      <formula>LEN(TRIM(R192))=0</formula>
    </cfRule>
    <cfRule type="cellIs" dxfId="3101" priority="2707" operator="equal">
      <formula>"NO CUMPLEN CON LO SOLICITADO"</formula>
    </cfRule>
    <cfRule type="cellIs" dxfId="3100" priority="2708" operator="equal">
      <formula>"CUMPLEN CON LO SOLICITADO"</formula>
    </cfRule>
    <cfRule type="cellIs" dxfId="3099" priority="2709" operator="equal">
      <formula>"PENDIENTES"</formula>
    </cfRule>
    <cfRule type="cellIs" dxfId="3098" priority="2710" operator="equal">
      <formula>"NINGUNO"</formula>
    </cfRule>
  </conditionalFormatting>
  <conditionalFormatting sqref="Q195">
    <cfRule type="containsBlanks" dxfId="3097" priority="2696">
      <formula>LEN(TRIM(Q195))=0</formula>
    </cfRule>
    <cfRule type="cellIs" dxfId="3096" priority="2701" operator="equal">
      <formula>"REQUERIMIENTOS SUBSANADOS"</formula>
    </cfRule>
    <cfRule type="containsText" dxfId="3095" priority="2702" operator="containsText" text="NO SUBSANABLE">
      <formula>NOT(ISERROR(SEARCH("NO SUBSANABLE",Q195)))</formula>
    </cfRule>
    <cfRule type="containsText" dxfId="3094" priority="2703" operator="containsText" text="PENDIENTES POR SUBSANAR">
      <formula>NOT(ISERROR(SEARCH("PENDIENTES POR SUBSANAR",Q195)))</formula>
    </cfRule>
    <cfRule type="containsText" dxfId="3093" priority="2704" operator="containsText" text="SIN OBSERVACIÓN">
      <formula>NOT(ISERROR(SEARCH("SIN OBSERVACIÓN",Q195)))</formula>
    </cfRule>
  </conditionalFormatting>
  <conditionalFormatting sqref="R195">
    <cfRule type="containsBlanks" dxfId="3092" priority="2695">
      <formula>LEN(TRIM(R195))=0</formula>
    </cfRule>
    <cfRule type="cellIs" dxfId="3091" priority="2697" operator="equal">
      <formula>"NO CUMPLEN CON LO SOLICITADO"</formula>
    </cfRule>
    <cfRule type="cellIs" dxfId="3090" priority="2698" operator="equal">
      <formula>"CUMPLEN CON LO SOLICITADO"</formula>
    </cfRule>
    <cfRule type="cellIs" dxfId="3089" priority="2699" operator="equal">
      <formula>"PENDIENTES"</formula>
    </cfRule>
    <cfRule type="cellIs" dxfId="3088" priority="2700" operator="equal">
      <formula>"NINGUNO"</formula>
    </cfRule>
  </conditionalFormatting>
  <conditionalFormatting sqref="Q198">
    <cfRule type="containsBlanks" dxfId="3087" priority="2686">
      <formula>LEN(TRIM(Q198))=0</formula>
    </cfRule>
    <cfRule type="cellIs" dxfId="3086" priority="2691" operator="equal">
      <formula>"REQUERIMIENTOS SUBSANADOS"</formula>
    </cfRule>
    <cfRule type="containsText" dxfId="3085" priority="2692" operator="containsText" text="NO SUBSANABLE">
      <formula>NOT(ISERROR(SEARCH("NO SUBSANABLE",Q198)))</formula>
    </cfRule>
    <cfRule type="containsText" dxfId="3084" priority="2693" operator="containsText" text="PENDIENTES POR SUBSANAR">
      <formula>NOT(ISERROR(SEARCH("PENDIENTES POR SUBSANAR",Q198)))</formula>
    </cfRule>
    <cfRule type="containsText" dxfId="3083" priority="2694" operator="containsText" text="SIN OBSERVACIÓN">
      <formula>NOT(ISERROR(SEARCH("SIN OBSERVACIÓN",Q198)))</formula>
    </cfRule>
  </conditionalFormatting>
  <conditionalFormatting sqref="R198">
    <cfRule type="containsBlanks" dxfId="3082" priority="2685">
      <formula>LEN(TRIM(R198))=0</formula>
    </cfRule>
    <cfRule type="cellIs" dxfId="3081" priority="2687" operator="equal">
      <formula>"NO CUMPLEN CON LO SOLICITADO"</formula>
    </cfRule>
    <cfRule type="cellIs" dxfId="3080" priority="2688" operator="equal">
      <formula>"CUMPLEN CON LO SOLICITADO"</formula>
    </cfRule>
    <cfRule type="cellIs" dxfId="3079" priority="2689" operator="equal">
      <formula>"PENDIENTES"</formula>
    </cfRule>
    <cfRule type="cellIs" dxfId="3078" priority="2690" operator="equal">
      <formula>"NINGUNO"</formula>
    </cfRule>
  </conditionalFormatting>
  <conditionalFormatting sqref="M198">
    <cfRule type="expression" dxfId="3077" priority="2323">
      <formula>L198="NO CUMPLE"</formula>
    </cfRule>
    <cfRule type="expression" dxfId="3076" priority="2324">
      <formula>L198="CUMPLE"</formula>
    </cfRule>
  </conditionalFormatting>
  <conditionalFormatting sqref="L198:L199">
    <cfRule type="cellIs" dxfId="3075" priority="2321" operator="equal">
      <formula>"NO CUMPLE"</formula>
    </cfRule>
    <cfRule type="cellIs" dxfId="3074" priority="2322" operator="equal">
      <formula>"CUMPLE"</formula>
    </cfRule>
  </conditionalFormatting>
  <conditionalFormatting sqref="M199">
    <cfRule type="expression" dxfId="3073" priority="2319">
      <formula>L199="NO CUMPLE"</formula>
    </cfRule>
    <cfRule type="expression" dxfId="3072" priority="2320">
      <formula>L199="CUMPLE"</formula>
    </cfRule>
  </conditionalFormatting>
  <conditionalFormatting sqref="M127">
    <cfRule type="expression" dxfId="3071" priority="2421">
      <formula>L127="NO CUMPLE"</formula>
    </cfRule>
    <cfRule type="expression" dxfId="3070" priority="2422">
      <formula>L127="CUMPLE"</formula>
    </cfRule>
  </conditionalFormatting>
  <conditionalFormatting sqref="L148:L149">
    <cfRule type="cellIs" dxfId="3069" priority="2393" operator="equal">
      <formula>"NO CUMPLE"</formula>
    </cfRule>
    <cfRule type="cellIs" dxfId="3068" priority="2394" operator="equal">
      <formula>"CUMPLE"</formula>
    </cfRule>
  </conditionalFormatting>
  <conditionalFormatting sqref="M149">
    <cfRule type="expression" dxfId="3067" priority="2391">
      <formula>L149="NO CUMPLE"</formula>
    </cfRule>
    <cfRule type="expression" dxfId="3066" priority="2392">
      <formula>L149="CUMPLE"</formula>
    </cfRule>
  </conditionalFormatting>
  <conditionalFormatting sqref="L151:L152">
    <cfRule type="cellIs" dxfId="3065" priority="2387" operator="equal">
      <formula>"NO CUMPLE"</formula>
    </cfRule>
    <cfRule type="cellIs" dxfId="3064" priority="2388" operator="equal">
      <formula>"CUMPLE"</formula>
    </cfRule>
  </conditionalFormatting>
  <conditionalFormatting sqref="M152">
    <cfRule type="expression" dxfId="3063" priority="2385">
      <formula>L152="NO CUMPLE"</formula>
    </cfRule>
    <cfRule type="expression" dxfId="3062" priority="2386">
      <formula>L152="CUMPLE"</formula>
    </cfRule>
  </conditionalFormatting>
  <conditionalFormatting sqref="M133">
    <cfRule type="expression" dxfId="3061" priority="2409">
      <formula>L133="NO CUMPLE"</formula>
    </cfRule>
    <cfRule type="expression" dxfId="3060" priority="2410">
      <formula>L133="CUMPLE"</formula>
    </cfRule>
  </conditionalFormatting>
  <conditionalFormatting sqref="L154:L155">
    <cfRule type="cellIs" dxfId="3059" priority="2381" operator="equal">
      <formula>"NO CUMPLE"</formula>
    </cfRule>
    <cfRule type="cellIs" dxfId="3058" priority="2382" operator="equal">
      <formula>"CUMPLE"</formula>
    </cfRule>
  </conditionalFormatting>
  <conditionalFormatting sqref="L135:L136">
    <cfRule type="cellIs" dxfId="3057" priority="2405" operator="equal">
      <formula>"NO CUMPLE"</formula>
    </cfRule>
    <cfRule type="cellIs" dxfId="3056" priority="2406" operator="equal">
      <formula>"CUMPLE"</formula>
    </cfRule>
  </conditionalFormatting>
  <conditionalFormatting sqref="M136">
    <cfRule type="expression" dxfId="3055" priority="2403">
      <formula>L136="NO CUMPLE"</formula>
    </cfRule>
    <cfRule type="expression" dxfId="3054" priority="2404">
      <formula>L136="CUMPLE"</formula>
    </cfRule>
  </conditionalFormatting>
  <conditionalFormatting sqref="M145">
    <cfRule type="expression" dxfId="3053" priority="2401">
      <formula>L145="NO CUMPLE"</formula>
    </cfRule>
    <cfRule type="expression" dxfId="3052" priority="2402">
      <formula>L145="CUMPLE"</formula>
    </cfRule>
  </conditionalFormatting>
  <conditionalFormatting sqref="M126">
    <cfRule type="expression" dxfId="3051" priority="2425">
      <formula>L126="NO CUMPLE"</formula>
    </cfRule>
    <cfRule type="expression" dxfId="3050" priority="2426">
      <formula>L126="CUMPLE"</formula>
    </cfRule>
  </conditionalFormatting>
  <conditionalFormatting sqref="L126:L127">
    <cfRule type="cellIs" dxfId="3049" priority="2423" operator="equal">
      <formula>"NO CUMPLE"</formula>
    </cfRule>
    <cfRule type="cellIs" dxfId="3048" priority="2424" operator="equal">
      <formula>"CUMPLE"</formula>
    </cfRule>
  </conditionalFormatting>
  <conditionalFormatting sqref="M148">
    <cfRule type="expression" dxfId="3047" priority="2395">
      <formula>L148="NO CUMPLE"</formula>
    </cfRule>
    <cfRule type="expression" dxfId="3046" priority="2396">
      <formula>L148="CUMPLE"</formula>
    </cfRule>
  </conditionalFormatting>
  <conditionalFormatting sqref="L129:L130">
    <cfRule type="cellIs" dxfId="3045" priority="2417" operator="equal">
      <formula>"NO CUMPLE"</formula>
    </cfRule>
    <cfRule type="cellIs" dxfId="3044" priority="2418" operator="equal">
      <formula>"CUMPLE"</formula>
    </cfRule>
  </conditionalFormatting>
  <conditionalFormatting sqref="M130">
    <cfRule type="expression" dxfId="3043" priority="2415">
      <formula>L130="NO CUMPLE"</formula>
    </cfRule>
    <cfRule type="expression" dxfId="3042" priority="2416">
      <formula>L130="CUMPLE"</formula>
    </cfRule>
  </conditionalFormatting>
  <conditionalFormatting sqref="M132">
    <cfRule type="expression" dxfId="3041" priority="2413">
      <formula>L132="NO CUMPLE"</formula>
    </cfRule>
    <cfRule type="expression" dxfId="3040" priority="2414">
      <formula>L132="CUMPLE"</formula>
    </cfRule>
  </conditionalFormatting>
  <conditionalFormatting sqref="L132:L133">
    <cfRule type="cellIs" dxfId="3039" priority="2411" operator="equal">
      <formula>"NO CUMPLE"</formula>
    </cfRule>
    <cfRule type="cellIs" dxfId="3038" priority="2412" operator="equal">
      <formula>"CUMPLE"</formula>
    </cfRule>
  </conditionalFormatting>
  <conditionalFormatting sqref="M135">
    <cfRule type="expression" dxfId="3037" priority="2407">
      <formula>L135="NO CUMPLE"</formula>
    </cfRule>
    <cfRule type="expression" dxfId="3036" priority="2408">
      <formula>L135="CUMPLE"</formula>
    </cfRule>
  </conditionalFormatting>
  <conditionalFormatting sqref="M155">
    <cfRule type="expression" dxfId="3035" priority="2379">
      <formula>L155="NO CUMPLE"</formula>
    </cfRule>
    <cfRule type="expression" dxfId="3034" priority="2380">
      <formula>L155="CUMPLE"</formula>
    </cfRule>
  </conditionalFormatting>
  <conditionalFormatting sqref="M129">
    <cfRule type="expression" dxfId="3033" priority="2419">
      <formula>L129="NO CUMPLE"</formula>
    </cfRule>
    <cfRule type="expression" dxfId="3032" priority="2420">
      <formula>L129="CUMPLE"</formula>
    </cfRule>
  </conditionalFormatting>
  <conditionalFormatting sqref="M154">
    <cfRule type="expression" dxfId="3031" priority="2383">
      <formula>L154="NO CUMPLE"</formula>
    </cfRule>
    <cfRule type="expression" dxfId="3030" priority="2384">
      <formula>L154="CUMPLE"</formula>
    </cfRule>
  </conditionalFormatting>
  <conditionalFormatting sqref="M114">
    <cfRule type="expression" dxfId="3029" priority="2433">
      <formula>L114="NO CUMPLE"</formula>
    </cfRule>
    <cfRule type="expression" dxfId="3028" priority="2434">
      <formula>L114="CUMPLE"</formula>
    </cfRule>
  </conditionalFormatting>
  <conditionalFormatting sqref="L145:L146">
    <cfRule type="cellIs" dxfId="3027" priority="2399" operator="equal">
      <formula>"NO CUMPLE"</formula>
    </cfRule>
    <cfRule type="cellIs" dxfId="3026" priority="2400" operator="equal">
      <formula>"CUMPLE"</formula>
    </cfRule>
  </conditionalFormatting>
  <conditionalFormatting sqref="M146">
    <cfRule type="expression" dxfId="3025" priority="2397">
      <formula>L146="NO CUMPLE"</formula>
    </cfRule>
    <cfRule type="expression" dxfId="3024" priority="2398">
      <formula>L146="CUMPLE"</formula>
    </cfRule>
  </conditionalFormatting>
  <conditionalFormatting sqref="M151">
    <cfRule type="expression" dxfId="3023" priority="2389">
      <formula>L151="NO CUMPLE"</formula>
    </cfRule>
    <cfRule type="expression" dxfId="3022" priority="2390">
      <formula>L151="CUMPLE"</formula>
    </cfRule>
  </conditionalFormatting>
  <conditionalFormatting sqref="M113">
    <cfRule type="expression" dxfId="3021" priority="2437">
      <formula>L113="NO CUMPLE"</formula>
    </cfRule>
    <cfRule type="expression" dxfId="3020" priority="2438">
      <formula>L113="CUMPLE"</formula>
    </cfRule>
  </conditionalFormatting>
  <conditionalFormatting sqref="L113:L114">
    <cfRule type="cellIs" dxfId="3019" priority="2435" operator="equal">
      <formula>"NO CUMPLE"</formula>
    </cfRule>
    <cfRule type="cellIs" dxfId="3018" priority="2436" operator="equal">
      <formula>"CUMPLE"</formula>
    </cfRule>
  </conditionalFormatting>
  <conditionalFormatting sqref="L123:L124">
    <cfRule type="cellIs" dxfId="3017" priority="2429" operator="equal">
      <formula>"NO CUMPLE"</formula>
    </cfRule>
    <cfRule type="cellIs" dxfId="3016" priority="2430" operator="equal">
      <formula>"CUMPLE"</formula>
    </cfRule>
  </conditionalFormatting>
  <conditionalFormatting sqref="M124">
    <cfRule type="expression" dxfId="3015" priority="2427">
      <formula>L124="NO CUMPLE"</formula>
    </cfRule>
    <cfRule type="expression" dxfId="3014" priority="2428">
      <formula>L124="CUMPLE"</formula>
    </cfRule>
  </conditionalFormatting>
  <conditionalFormatting sqref="J41:J46">
    <cfRule type="cellIs" dxfId="3013" priority="2683" operator="equal">
      <formula>"NO CUMPLE"</formula>
    </cfRule>
    <cfRule type="cellIs" dxfId="3012" priority="2684" operator="equal">
      <formula>"CUMPLE"</formula>
    </cfRule>
  </conditionalFormatting>
  <conditionalFormatting sqref="K38">
    <cfRule type="expression" dxfId="3011" priority="2681">
      <formula>J38="NO CUMPLE"</formula>
    </cfRule>
    <cfRule type="expression" dxfId="3010" priority="2682">
      <formula>J38="CUMPLE"</formula>
    </cfRule>
  </conditionalFormatting>
  <conditionalFormatting sqref="K39:K40">
    <cfRule type="expression" dxfId="3009" priority="2679">
      <formula>J39="NO CUMPLE"</formula>
    </cfRule>
    <cfRule type="expression" dxfId="3008" priority="2680">
      <formula>J39="CUMPLE"</formula>
    </cfRule>
  </conditionalFormatting>
  <conditionalFormatting sqref="J47">
    <cfRule type="cellIs" dxfId="3007" priority="2677" operator="equal">
      <formula>"NO CUMPLE"</formula>
    </cfRule>
    <cfRule type="cellIs" dxfId="3006" priority="2678" operator="equal">
      <formula>"CUMPLE"</formula>
    </cfRule>
  </conditionalFormatting>
  <conditionalFormatting sqref="J48:J49">
    <cfRule type="cellIs" dxfId="3005" priority="2675" operator="equal">
      <formula>"NO CUMPLE"</formula>
    </cfRule>
    <cfRule type="cellIs" dxfId="3004" priority="2676" operator="equal">
      <formula>"CUMPLE"</formula>
    </cfRule>
  </conditionalFormatting>
  <conditionalFormatting sqref="K41">
    <cfRule type="expression" dxfId="3003" priority="2673">
      <formula>J41="NO CUMPLE"</formula>
    </cfRule>
    <cfRule type="expression" dxfId="3002" priority="2674">
      <formula>J41="CUMPLE"</formula>
    </cfRule>
  </conditionalFormatting>
  <conditionalFormatting sqref="K42:K43">
    <cfRule type="expression" dxfId="3001" priority="2671">
      <formula>J42="NO CUMPLE"</formula>
    </cfRule>
    <cfRule type="expression" dxfId="3000" priority="2672">
      <formula>J42="CUMPLE"</formula>
    </cfRule>
  </conditionalFormatting>
  <conditionalFormatting sqref="K44">
    <cfRule type="expression" dxfId="2999" priority="2669">
      <formula>J44="NO CUMPLE"</formula>
    </cfRule>
    <cfRule type="expression" dxfId="2998" priority="2670">
      <formula>J44="CUMPLE"</formula>
    </cfRule>
  </conditionalFormatting>
  <conditionalFormatting sqref="K45:K46">
    <cfRule type="expression" dxfId="2997" priority="2667">
      <formula>J45="NO CUMPLE"</formula>
    </cfRule>
    <cfRule type="expression" dxfId="2996" priority="2668">
      <formula>J45="CUMPLE"</formula>
    </cfRule>
  </conditionalFormatting>
  <conditionalFormatting sqref="K47">
    <cfRule type="expression" dxfId="2995" priority="2665">
      <formula>J47="NO CUMPLE"</formula>
    </cfRule>
    <cfRule type="expression" dxfId="2994" priority="2666">
      <formula>J47="CUMPLE"</formula>
    </cfRule>
  </conditionalFormatting>
  <conditionalFormatting sqref="K48:K49">
    <cfRule type="expression" dxfId="2993" priority="2663">
      <formula>J48="NO CUMPLE"</formula>
    </cfRule>
    <cfRule type="expression" dxfId="2992" priority="2664">
      <formula>J48="CUMPLE"</formula>
    </cfRule>
  </conditionalFormatting>
  <conditionalFormatting sqref="K60">
    <cfRule type="expression" dxfId="2991" priority="2661">
      <formula>J60="NO CUMPLE"</formula>
    </cfRule>
    <cfRule type="expression" dxfId="2990" priority="2662">
      <formula>J60="CUMPLE"</formula>
    </cfRule>
  </conditionalFormatting>
  <conditionalFormatting sqref="K61:K62">
    <cfRule type="expression" dxfId="2989" priority="2659">
      <formula>J61="NO CUMPLE"</formula>
    </cfRule>
    <cfRule type="expression" dxfId="2988" priority="2660">
      <formula>J61="CUMPLE"</formula>
    </cfRule>
  </conditionalFormatting>
  <conditionalFormatting sqref="K63">
    <cfRule type="expression" dxfId="2987" priority="2657">
      <formula>J63="NO CUMPLE"</formula>
    </cfRule>
    <cfRule type="expression" dxfId="2986" priority="2658">
      <formula>J63="CUMPLE"</formula>
    </cfRule>
  </conditionalFormatting>
  <conditionalFormatting sqref="K64:K65">
    <cfRule type="expression" dxfId="2985" priority="2655">
      <formula>J64="NO CUMPLE"</formula>
    </cfRule>
    <cfRule type="expression" dxfId="2984" priority="2656">
      <formula>J64="CUMPLE"</formula>
    </cfRule>
  </conditionalFormatting>
  <conditionalFormatting sqref="K66">
    <cfRule type="expression" dxfId="2983" priority="2653">
      <formula>J66="NO CUMPLE"</formula>
    </cfRule>
    <cfRule type="expression" dxfId="2982" priority="2654">
      <formula>J66="CUMPLE"</formula>
    </cfRule>
  </conditionalFormatting>
  <conditionalFormatting sqref="K67:K68">
    <cfRule type="expression" dxfId="2981" priority="2651">
      <formula>J67="NO CUMPLE"</formula>
    </cfRule>
    <cfRule type="expression" dxfId="2980" priority="2652">
      <formula>J67="CUMPLE"</formula>
    </cfRule>
  </conditionalFormatting>
  <conditionalFormatting sqref="K69">
    <cfRule type="expression" dxfId="2979" priority="2649">
      <formula>J69="NO CUMPLE"</formula>
    </cfRule>
    <cfRule type="expression" dxfId="2978" priority="2650">
      <formula>J69="CUMPLE"</formula>
    </cfRule>
  </conditionalFormatting>
  <conditionalFormatting sqref="K70:K71">
    <cfRule type="expression" dxfId="2977" priority="2647">
      <formula>J70="NO CUMPLE"</formula>
    </cfRule>
    <cfRule type="expression" dxfId="2976" priority="2648">
      <formula>J70="CUMPLE"</formula>
    </cfRule>
  </conditionalFormatting>
  <conditionalFormatting sqref="J88:J90">
    <cfRule type="cellIs" dxfId="2975" priority="2645" operator="equal">
      <formula>"NO CUMPLE"</formula>
    </cfRule>
    <cfRule type="cellIs" dxfId="2974" priority="2646" operator="equal">
      <formula>"CUMPLE"</formula>
    </cfRule>
  </conditionalFormatting>
  <conditionalFormatting sqref="K82">
    <cfRule type="expression" dxfId="2973" priority="2643">
      <formula>J82="NO CUMPLE"</formula>
    </cfRule>
    <cfRule type="expression" dxfId="2972" priority="2644">
      <formula>J82="CUMPLE"</formula>
    </cfRule>
  </conditionalFormatting>
  <conditionalFormatting sqref="K83:K84">
    <cfRule type="expression" dxfId="2971" priority="2641">
      <formula>J83="NO CUMPLE"</formula>
    </cfRule>
    <cfRule type="expression" dxfId="2970" priority="2642">
      <formula>J83="CUMPLE"</formula>
    </cfRule>
  </conditionalFormatting>
  <conditionalFormatting sqref="J91">
    <cfRule type="cellIs" dxfId="2969" priority="2639" operator="equal">
      <formula>"NO CUMPLE"</formula>
    </cfRule>
    <cfRule type="cellIs" dxfId="2968" priority="2640" operator="equal">
      <formula>"CUMPLE"</formula>
    </cfRule>
  </conditionalFormatting>
  <conditionalFormatting sqref="J92:J93">
    <cfRule type="cellIs" dxfId="2967" priority="2637" operator="equal">
      <formula>"NO CUMPLE"</formula>
    </cfRule>
    <cfRule type="cellIs" dxfId="2966" priority="2638" operator="equal">
      <formula>"CUMPLE"</formula>
    </cfRule>
  </conditionalFormatting>
  <conditionalFormatting sqref="K85">
    <cfRule type="expression" dxfId="2965" priority="2635">
      <formula>J85="NO CUMPLE"</formula>
    </cfRule>
    <cfRule type="expression" dxfId="2964" priority="2636">
      <formula>J85="CUMPLE"</formula>
    </cfRule>
  </conditionalFormatting>
  <conditionalFormatting sqref="K86:K87">
    <cfRule type="expression" dxfId="2963" priority="2633">
      <formula>J86="NO CUMPLE"</formula>
    </cfRule>
    <cfRule type="expression" dxfId="2962" priority="2634">
      <formula>J86="CUMPLE"</formula>
    </cfRule>
  </conditionalFormatting>
  <conditionalFormatting sqref="K88">
    <cfRule type="expression" dxfId="2961" priority="2631">
      <formula>J88="NO CUMPLE"</formula>
    </cfRule>
    <cfRule type="expression" dxfId="2960" priority="2632">
      <formula>J88="CUMPLE"</formula>
    </cfRule>
  </conditionalFormatting>
  <conditionalFormatting sqref="K89:K90">
    <cfRule type="expression" dxfId="2959" priority="2629">
      <formula>J89="NO CUMPLE"</formula>
    </cfRule>
    <cfRule type="expression" dxfId="2958" priority="2630">
      <formula>J89="CUMPLE"</formula>
    </cfRule>
  </conditionalFormatting>
  <conditionalFormatting sqref="K91">
    <cfRule type="expression" dxfId="2957" priority="2627">
      <formula>J91="NO CUMPLE"</formula>
    </cfRule>
    <cfRule type="expression" dxfId="2956" priority="2628">
      <formula>J91="CUMPLE"</formula>
    </cfRule>
  </conditionalFormatting>
  <conditionalFormatting sqref="K92:K93">
    <cfRule type="expression" dxfId="2955" priority="2625">
      <formula>J92="NO CUMPLE"</formula>
    </cfRule>
    <cfRule type="expression" dxfId="2954" priority="2626">
      <formula>J92="CUMPLE"</formula>
    </cfRule>
  </conditionalFormatting>
  <conditionalFormatting sqref="J101:J112">
    <cfRule type="cellIs" dxfId="2953" priority="2623" operator="equal">
      <formula>"NO CUMPLE"</formula>
    </cfRule>
    <cfRule type="cellIs" dxfId="2952" priority="2624" operator="equal">
      <formula>"CUMPLE"</formula>
    </cfRule>
  </conditionalFormatting>
  <conditionalFormatting sqref="K104">
    <cfRule type="expression" dxfId="2951" priority="2621">
      <formula>J104="NO CUMPLE"</formula>
    </cfRule>
    <cfRule type="expression" dxfId="2950" priority="2622">
      <formula>J104="CUMPLE"</formula>
    </cfRule>
  </conditionalFormatting>
  <conditionalFormatting sqref="K105:K106">
    <cfRule type="expression" dxfId="2949" priority="2619">
      <formula>J105="NO CUMPLE"</formula>
    </cfRule>
    <cfRule type="expression" dxfId="2948" priority="2620">
      <formula>J105="CUMPLE"</formula>
    </cfRule>
  </conditionalFormatting>
  <conditionalFormatting sqref="K107">
    <cfRule type="expression" dxfId="2947" priority="2617">
      <formula>J107="NO CUMPLE"</formula>
    </cfRule>
    <cfRule type="expression" dxfId="2946" priority="2618">
      <formula>J107="CUMPLE"</formula>
    </cfRule>
  </conditionalFormatting>
  <conditionalFormatting sqref="K108:K109">
    <cfRule type="expression" dxfId="2945" priority="2615">
      <formula>J108="NO CUMPLE"</formula>
    </cfRule>
    <cfRule type="expression" dxfId="2944" priority="2616">
      <formula>J108="CUMPLE"</formula>
    </cfRule>
  </conditionalFormatting>
  <conditionalFormatting sqref="K110">
    <cfRule type="expression" dxfId="2943" priority="2613">
      <formula>J110="NO CUMPLE"</formula>
    </cfRule>
    <cfRule type="expression" dxfId="2942" priority="2614">
      <formula>J110="CUMPLE"</formula>
    </cfRule>
  </conditionalFormatting>
  <conditionalFormatting sqref="K111:K112">
    <cfRule type="expression" dxfId="2941" priority="2611">
      <formula>J111="NO CUMPLE"</formula>
    </cfRule>
    <cfRule type="expression" dxfId="2940" priority="2612">
      <formula>J111="CUMPLE"</formula>
    </cfRule>
  </conditionalFormatting>
  <conditionalFormatting sqref="K113">
    <cfRule type="expression" dxfId="2939" priority="2609">
      <formula>J113="NO CUMPLE"</formula>
    </cfRule>
    <cfRule type="expression" dxfId="2938" priority="2610">
      <formula>J113="CUMPLE"</formula>
    </cfRule>
  </conditionalFormatting>
  <conditionalFormatting sqref="K114:K115">
    <cfRule type="expression" dxfId="2937" priority="2607">
      <formula>J114="NO CUMPLE"</formula>
    </cfRule>
    <cfRule type="expression" dxfId="2936" priority="2608">
      <formula>J114="CUMPLE"</formula>
    </cfRule>
  </conditionalFormatting>
  <conditionalFormatting sqref="J123:J134">
    <cfRule type="cellIs" dxfId="2935" priority="2605" operator="equal">
      <formula>"NO CUMPLE"</formula>
    </cfRule>
    <cfRule type="cellIs" dxfId="2934" priority="2606" operator="equal">
      <formula>"CUMPLE"</formula>
    </cfRule>
  </conditionalFormatting>
  <conditionalFormatting sqref="K126">
    <cfRule type="expression" dxfId="2933" priority="2603">
      <formula>J126="NO CUMPLE"</formula>
    </cfRule>
    <cfRule type="expression" dxfId="2932" priority="2604">
      <formula>J126="CUMPLE"</formula>
    </cfRule>
  </conditionalFormatting>
  <conditionalFormatting sqref="K127:K128">
    <cfRule type="expression" dxfId="2931" priority="2601">
      <formula>J127="NO CUMPLE"</formula>
    </cfRule>
    <cfRule type="expression" dxfId="2930" priority="2602">
      <formula>J127="CUMPLE"</formula>
    </cfRule>
  </conditionalFormatting>
  <conditionalFormatting sqref="J135">
    <cfRule type="cellIs" dxfId="2929" priority="2599" operator="equal">
      <formula>"NO CUMPLE"</formula>
    </cfRule>
    <cfRule type="cellIs" dxfId="2928" priority="2600" operator="equal">
      <formula>"CUMPLE"</formula>
    </cfRule>
  </conditionalFormatting>
  <conditionalFormatting sqref="J136:J137">
    <cfRule type="cellIs" dxfId="2927" priority="2597" operator="equal">
      <formula>"NO CUMPLE"</formula>
    </cfRule>
    <cfRule type="cellIs" dxfId="2926" priority="2598" operator="equal">
      <formula>"CUMPLE"</formula>
    </cfRule>
  </conditionalFormatting>
  <conditionalFormatting sqref="K129">
    <cfRule type="expression" dxfId="2925" priority="2595">
      <formula>J129="NO CUMPLE"</formula>
    </cfRule>
    <cfRule type="expression" dxfId="2924" priority="2596">
      <formula>J129="CUMPLE"</formula>
    </cfRule>
  </conditionalFormatting>
  <conditionalFormatting sqref="K130:K131">
    <cfRule type="expression" dxfId="2923" priority="2593">
      <formula>J130="NO CUMPLE"</formula>
    </cfRule>
    <cfRule type="expression" dxfId="2922" priority="2594">
      <formula>J130="CUMPLE"</formula>
    </cfRule>
  </conditionalFormatting>
  <conditionalFormatting sqref="K132">
    <cfRule type="expression" dxfId="2921" priority="2591">
      <formula>J132="NO CUMPLE"</formula>
    </cfRule>
    <cfRule type="expression" dxfId="2920" priority="2592">
      <formula>J132="CUMPLE"</formula>
    </cfRule>
  </conditionalFormatting>
  <conditionalFormatting sqref="K133:K134">
    <cfRule type="expression" dxfId="2919" priority="2589">
      <formula>J133="NO CUMPLE"</formula>
    </cfRule>
    <cfRule type="expression" dxfId="2918" priority="2590">
      <formula>J133="CUMPLE"</formula>
    </cfRule>
  </conditionalFormatting>
  <conditionalFormatting sqref="K135">
    <cfRule type="expression" dxfId="2917" priority="2587">
      <formula>J135="NO CUMPLE"</formula>
    </cfRule>
    <cfRule type="expression" dxfId="2916" priority="2588">
      <formula>J135="CUMPLE"</formula>
    </cfRule>
  </conditionalFormatting>
  <conditionalFormatting sqref="K136:K137">
    <cfRule type="expression" dxfId="2915" priority="2585">
      <formula>J136="NO CUMPLE"</formula>
    </cfRule>
    <cfRule type="expression" dxfId="2914" priority="2586">
      <formula>J136="CUMPLE"</formula>
    </cfRule>
  </conditionalFormatting>
  <conditionalFormatting sqref="J145:J156">
    <cfRule type="cellIs" dxfId="2913" priority="2583" operator="equal">
      <formula>"NO CUMPLE"</formula>
    </cfRule>
    <cfRule type="cellIs" dxfId="2912" priority="2584" operator="equal">
      <formula>"CUMPLE"</formula>
    </cfRule>
  </conditionalFormatting>
  <conditionalFormatting sqref="K148">
    <cfRule type="expression" dxfId="2911" priority="2581">
      <formula>J148="NO CUMPLE"</formula>
    </cfRule>
    <cfRule type="expression" dxfId="2910" priority="2582">
      <formula>J148="CUMPLE"</formula>
    </cfRule>
  </conditionalFormatting>
  <conditionalFormatting sqref="K149:K150">
    <cfRule type="expression" dxfId="2909" priority="2579">
      <formula>J149="NO CUMPLE"</formula>
    </cfRule>
    <cfRule type="expression" dxfId="2908" priority="2580">
      <formula>J149="CUMPLE"</formula>
    </cfRule>
  </conditionalFormatting>
  <conditionalFormatting sqref="J157">
    <cfRule type="cellIs" dxfId="2907" priority="2577" operator="equal">
      <formula>"NO CUMPLE"</formula>
    </cfRule>
    <cfRule type="cellIs" dxfId="2906" priority="2578" operator="equal">
      <formula>"CUMPLE"</formula>
    </cfRule>
  </conditionalFormatting>
  <conditionalFormatting sqref="J158:J159">
    <cfRule type="cellIs" dxfId="2905" priority="2575" operator="equal">
      <formula>"NO CUMPLE"</formula>
    </cfRule>
    <cfRule type="cellIs" dxfId="2904" priority="2576" operator="equal">
      <formula>"CUMPLE"</formula>
    </cfRule>
  </conditionalFormatting>
  <conditionalFormatting sqref="K151">
    <cfRule type="expression" dxfId="2903" priority="2573">
      <formula>J151="NO CUMPLE"</formula>
    </cfRule>
    <cfRule type="expression" dxfId="2902" priority="2574">
      <formula>J151="CUMPLE"</formula>
    </cfRule>
  </conditionalFormatting>
  <conditionalFormatting sqref="K152:K153">
    <cfRule type="expression" dxfId="2901" priority="2571">
      <formula>J152="NO CUMPLE"</formula>
    </cfRule>
    <cfRule type="expression" dxfId="2900" priority="2572">
      <formula>J152="CUMPLE"</formula>
    </cfRule>
  </conditionalFormatting>
  <conditionalFormatting sqref="K154">
    <cfRule type="expression" dxfId="2899" priority="2569">
      <formula>J154="NO CUMPLE"</formula>
    </cfRule>
    <cfRule type="expression" dxfId="2898" priority="2570">
      <formula>J154="CUMPLE"</formula>
    </cfRule>
  </conditionalFormatting>
  <conditionalFormatting sqref="K155:K156">
    <cfRule type="expression" dxfId="2897" priority="2567">
      <formula>J155="NO CUMPLE"</formula>
    </cfRule>
    <cfRule type="expression" dxfId="2896" priority="2568">
      <formula>J155="CUMPLE"</formula>
    </cfRule>
  </conditionalFormatting>
  <conditionalFormatting sqref="K157">
    <cfRule type="expression" dxfId="2895" priority="2565">
      <formula>J157="NO CUMPLE"</formula>
    </cfRule>
    <cfRule type="expression" dxfId="2894" priority="2566">
      <formula>J157="CUMPLE"</formula>
    </cfRule>
  </conditionalFormatting>
  <conditionalFormatting sqref="K158:K159">
    <cfRule type="expression" dxfId="2893" priority="2563">
      <formula>J158="NO CUMPLE"</formula>
    </cfRule>
    <cfRule type="expression" dxfId="2892" priority="2564">
      <formula>J158="CUMPLE"</formula>
    </cfRule>
  </conditionalFormatting>
  <conditionalFormatting sqref="K170">
    <cfRule type="expression" dxfId="2891" priority="2561">
      <formula>J170="NO CUMPLE"</formula>
    </cfRule>
    <cfRule type="expression" dxfId="2890" priority="2562">
      <formula>J170="CUMPLE"</formula>
    </cfRule>
  </conditionalFormatting>
  <conditionalFormatting sqref="K171:K172">
    <cfRule type="expression" dxfId="2889" priority="2559">
      <formula>J171="NO CUMPLE"</formula>
    </cfRule>
    <cfRule type="expression" dxfId="2888" priority="2560">
      <formula>J171="CUMPLE"</formula>
    </cfRule>
  </conditionalFormatting>
  <conditionalFormatting sqref="J181">
    <cfRule type="cellIs" dxfId="2887" priority="2557" operator="equal">
      <formula>"NO CUMPLE"</formula>
    </cfRule>
    <cfRule type="cellIs" dxfId="2886" priority="2558" operator="equal">
      <formula>"CUMPLE"</formula>
    </cfRule>
  </conditionalFormatting>
  <conditionalFormatting sqref="K173">
    <cfRule type="expression" dxfId="2885" priority="2555">
      <formula>J173="NO CUMPLE"</formula>
    </cfRule>
    <cfRule type="expression" dxfId="2884" priority="2556">
      <formula>J173="CUMPLE"</formula>
    </cfRule>
  </conditionalFormatting>
  <conditionalFormatting sqref="K174:K175">
    <cfRule type="expression" dxfId="2883" priority="2553">
      <formula>J174="NO CUMPLE"</formula>
    </cfRule>
    <cfRule type="expression" dxfId="2882" priority="2554">
      <formula>J174="CUMPLE"</formula>
    </cfRule>
  </conditionalFormatting>
  <conditionalFormatting sqref="K176">
    <cfRule type="expression" dxfId="2881" priority="2551">
      <formula>J176="NO CUMPLE"</formula>
    </cfRule>
    <cfRule type="expression" dxfId="2880" priority="2552">
      <formula>J176="CUMPLE"</formula>
    </cfRule>
  </conditionalFormatting>
  <conditionalFormatting sqref="K177:K178">
    <cfRule type="expression" dxfId="2879" priority="2549">
      <formula>J177="NO CUMPLE"</formula>
    </cfRule>
    <cfRule type="expression" dxfId="2878" priority="2550">
      <formula>J177="CUMPLE"</formula>
    </cfRule>
  </conditionalFormatting>
  <conditionalFormatting sqref="K179">
    <cfRule type="expression" dxfId="2877" priority="2547">
      <formula>J179="NO CUMPLE"</formula>
    </cfRule>
    <cfRule type="expression" dxfId="2876" priority="2548">
      <formula>J179="CUMPLE"</formula>
    </cfRule>
  </conditionalFormatting>
  <conditionalFormatting sqref="K180:K181">
    <cfRule type="expression" dxfId="2875" priority="2545">
      <formula>J180="NO CUMPLE"</formula>
    </cfRule>
    <cfRule type="expression" dxfId="2874" priority="2546">
      <formula>J180="CUMPLE"</formula>
    </cfRule>
  </conditionalFormatting>
  <conditionalFormatting sqref="J192:J200">
    <cfRule type="cellIs" dxfId="2873" priority="2543" operator="equal">
      <formula>"NO CUMPLE"</formula>
    </cfRule>
    <cfRule type="cellIs" dxfId="2872" priority="2544" operator="equal">
      <formula>"CUMPLE"</formula>
    </cfRule>
  </conditionalFormatting>
  <conditionalFormatting sqref="K192">
    <cfRule type="expression" dxfId="2871" priority="2541">
      <formula>J192="NO CUMPLE"</formula>
    </cfRule>
    <cfRule type="expression" dxfId="2870" priority="2542">
      <formula>J192="CUMPLE"</formula>
    </cfRule>
  </conditionalFormatting>
  <conditionalFormatting sqref="K193:K194">
    <cfRule type="expression" dxfId="2869" priority="2539">
      <formula>J193="NO CUMPLE"</formula>
    </cfRule>
    <cfRule type="expression" dxfId="2868" priority="2540">
      <formula>J193="CUMPLE"</formula>
    </cfRule>
  </conditionalFormatting>
  <conditionalFormatting sqref="J201">
    <cfRule type="cellIs" dxfId="2867" priority="2537" operator="equal">
      <formula>"NO CUMPLE"</formula>
    </cfRule>
    <cfRule type="cellIs" dxfId="2866" priority="2538" operator="equal">
      <formula>"CUMPLE"</formula>
    </cfRule>
  </conditionalFormatting>
  <conditionalFormatting sqref="J202:J203">
    <cfRule type="cellIs" dxfId="2865" priority="2535" operator="equal">
      <formula>"NO CUMPLE"</formula>
    </cfRule>
    <cfRule type="cellIs" dxfId="2864" priority="2536" operator="equal">
      <formula>"CUMPLE"</formula>
    </cfRule>
  </conditionalFormatting>
  <conditionalFormatting sqref="K195">
    <cfRule type="expression" dxfId="2863" priority="2533">
      <formula>J195="NO CUMPLE"</formula>
    </cfRule>
    <cfRule type="expression" dxfId="2862" priority="2534">
      <formula>J195="CUMPLE"</formula>
    </cfRule>
  </conditionalFormatting>
  <conditionalFormatting sqref="K196:K197">
    <cfRule type="expression" dxfId="2861" priority="2531">
      <formula>J196="NO CUMPLE"</formula>
    </cfRule>
    <cfRule type="expression" dxfId="2860" priority="2532">
      <formula>J196="CUMPLE"</formula>
    </cfRule>
  </conditionalFormatting>
  <conditionalFormatting sqref="K198">
    <cfRule type="expression" dxfId="2859" priority="2529">
      <formula>J198="NO CUMPLE"</formula>
    </cfRule>
    <cfRule type="expression" dxfId="2858" priority="2530">
      <formula>J198="CUMPLE"</formula>
    </cfRule>
  </conditionalFormatting>
  <conditionalFormatting sqref="K199:K200">
    <cfRule type="expression" dxfId="2857" priority="2527">
      <formula>J199="NO CUMPLE"</formula>
    </cfRule>
    <cfRule type="expression" dxfId="2856" priority="2528">
      <formula>J199="CUMPLE"</formula>
    </cfRule>
  </conditionalFormatting>
  <conditionalFormatting sqref="K201">
    <cfRule type="expression" dxfId="2855" priority="2525">
      <formula>J201="NO CUMPLE"</formula>
    </cfRule>
    <cfRule type="expression" dxfId="2854" priority="2526">
      <formula>J201="CUMPLE"</formula>
    </cfRule>
  </conditionalFormatting>
  <conditionalFormatting sqref="K202:K203">
    <cfRule type="expression" dxfId="2853" priority="2523">
      <formula>J202="NO CUMPLE"</formula>
    </cfRule>
    <cfRule type="expression" dxfId="2852" priority="2524">
      <formula>J202="CUMPLE"</formula>
    </cfRule>
  </conditionalFormatting>
  <conditionalFormatting sqref="M193">
    <cfRule type="expression" dxfId="2851" priority="2331">
      <formula>L193="NO CUMPLE"</formula>
    </cfRule>
    <cfRule type="expression" dxfId="2850" priority="2332">
      <formula>L193="CUMPLE"</formula>
    </cfRule>
  </conditionalFormatting>
  <conditionalFormatting sqref="L192:L193">
    <cfRule type="cellIs" dxfId="2849" priority="2333" operator="equal">
      <formula>"NO CUMPLE"</formula>
    </cfRule>
    <cfRule type="cellIs" dxfId="2848" priority="2334" operator="equal">
      <formula>"CUMPLE"</formula>
    </cfRule>
  </conditionalFormatting>
  <conditionalFormatting sqref="M58">
    <cfRule type="expression" dxfId="2847" priority="2517">
      <formula>L58="NO CUMPLE"</formula>
    </cfRule>
    <cfRule type="expression" dxfId="2846" priority="2518">
      <formula>L58="CUMPLE"</formula>
    </cfRule>
  </conditionalFormatting>
  <conditionalFormatting sqref="M57">
    <cfRule type="expression" dxfId="2845" priority="2521">
      <formula>L57="NO CUMPLE"</formula>
    </cfRule>
    <cfRule type="expression" dxfId="2844" priority="2522">
      <formula>L57="CUMPLE"</formula>
    </cfRule>
  </conditionalFormatting>
  <conditionalFormatting sqref="L57:L58">
    <cfRule type="cellIs" dxfId="2843" priority="2519" operator="equal">
      <formula>"NO CUMPLE"</formula>
    </cfRule>
    <cfRule type="cellIs" dxfId="2842" priority="2520" operator="equal">
      <formula>"CUMPLE"</formula>
    </cfRule>
  </conditionalFormatting>
  <conditionalFormatting sqref="M192">
    <cfRule type="expression" dxfId="2841" priority="2335">
      <formula>L192="NO CUMPLE"</formula>
    </cfRule>
    <cfRule type="expression" dxfId="2840" priority="2336">
      <formula>L192="CUMPLE"</formula>
    </cfRule>
  </conditionalFormatting>
  <conditionalFormatting sqref="L38:L39">
    <cfRule type="cellIs" dxfId="2839" priority="2309" operator="equal">
      <formula>"NO CUMPLE"</formula>
    </cfRule>
    <cfRule type="cellIs" dxfId="2838" priority="2310" operator="equal">
      <formula>"CUMPLE"</formula>
    </cfRule>
  </conditionalFormatting>
  <conditionalFormatting sqref="M61">
    <cfRule type="expression" dxfId="2837" priority="2511">
      <formula>L61="NO CUMPLE"</formula>
    </cfRule>
    <cfRule type="expression" dxfId="2836" priority="2512">
      <formula>L61="CUMPLE"</formula>
    </cfRule>
  </conditionalFormatting>
  <conditionalFormatting sqref="M60">
    <cfRule type="expression" dxfId="2835" priority="2515">
      <formula>L60="NO CUMPLE"</formula>
    </cfRule>
    <cfRule type="expression" dxfId="2834" priority="2516">
      <formula>L60="CUMPLE"</formula>
    </cfRule>
  </conditionalFormatting>
  <conditionalFormatting sqref="L60:L61">
    <cfRule type="cellIs" dxfId="2833" priority="2513" operator="equal">
      <formula>"NO CUMPLE"</formula>
    </cfRule>
    <cfRule type="cellIs" dxfId="2832" priority="2514" operator="equal">
      <formula>"CUMPLE"</formula>
    </cfRule>
  </conditionalFormatting>
  <conditionalFormatting sqref="M64">
    <cfRule type="expression" dxfId="2831" priority="2505">
      <formula>L64="NO CUMPLE"</formula>
    </cfRule>
    <cfRule type="expression" dxfId="2830" priority="2506">
      <formula>L64="CUMPLE"</formula>
    </cfRule>
  </conditionalFormatting>
  <conditionalFormatting sqref="M63">
    <cfRule type="expression" dxfId="2829" priority="2509">
      <formula>L63="NO CUMPLE"</formula>
    </cfRule>
    <cfRule type="expression" dxfId="2828" priority="2510">
      <formula>L63="CUMPLE"</formula>
    </cfRule>
  </conditionalFormatting>
  <conditionalFormatting sqref="L63:L64">
    <cfRule type="cellIs" dxfId="2827" priority="2507" operator="equal">
      <formula>"NO CUMPLE"</formula>
    </cfRule>
    <cfRule type="cellIs" dxfId="2826" priority="2508" operator="equal">
      <formula>"CUMPLE"</formula>
    </cfRule>
  </conditionalFormatting>
  <conditionalFormatting sqref="M67">
    <cfRule type="expression" dxfId="2825" priority="2499">
      <formula>L67="NO CUMPLE"</formula>
    </cfRule>
    <cfRule type="expression" dxfId="2824" priority="2500">
      <formula>L67="CUMPLE"</formula>
    </cfRule>
  </conditionalFormatting>
  <conditionalFormatting sqref="M66">
    <cfRule type="expression" dxfId="2823" priority="2503">
      <formula>L66="NO CUMPLE"</formula>
    </cfRule>
    <cfRule type="expression" dxfId="2822" priority="2504">
      <formula>L66="CUMPLE"</formula>
    </cfRule>
  </conditionalFormatting>
  <conditionalFormatting sqref="L66:L67">
    <cfRule type="cellIs" dxfId="2821" priority="2501" operator="equal">
      <formula>"NO CUMPLE"</formula>
    </cfRule>
    <cfRule type="cellIs" dxfId="2820" priority="2502" operator="equal">
      <formula>"CUMPLE"</formula>
    </cfRule>
  </conditionalFormatting>
  <conditionalFormatting sqref="M70">
    <cfRule type="expression" dxfId="2819" priority="2493">
      <formula>L70="NO CUMPLE"</formula>
    </cfRule>
    <cfRule type="expression" dxfId="2818" priority="2494">
      <formula>L70="CUMPLE"</formula>
    </cfRule>
  </conditionalFormatting>
  <conditionalFormatting sqref="M69">
    <cfRule type="expression" dxfId="2817" priority="2497">
      <formula>L69="NO CUMPLE"</formula>
    </cfRule>
    <cfRule type="expression" dxfId="2816" priority="2498">
      <formula>L69="CUMPLE"</formula>
    </cfRule>
  </conditionalFormatting>
  <conditionalFormatting sqref="L69:L70">
    <cfRule type="cellIs" dxfId="2815" priority="2495" operator="equal">
      <formula>"NO CUMPLE"</formula>
    </cfRule>
    <cfRule type="cellIs" dxfId="2814" priority="2496" operator="equal">
      <formula>"CUMPLE"</formula>
    </cfRule>
  </conditionalFormatting>
  <conditionalFormatting sqref="M80">
    <cfRule type="expression" dxfId="2813" priority="2487">
      <formula>L80="NO CUMPLE"</formula>
    </cfRule>
    <cfRule type="expression" dxfId="2812" priority="2488">
      <formula>L80="CUMPLE"</formula>
    </cfRule>
  </conditionalFormatting>
  <conditionalFormatting sqref="M79">
    <cfRule type="expression" dxfId="2811" priority="2491">
      <formula>L79="NO CUMPLE"</formula>
    </cfRule>
    <cfRule type="expression" dxfId="2810" priority="2492">
      <formula>L79="CUMPLE"</formula>
    </cfRule>
  </conditionalFormatting>
  <conditionalFormatting sqref="L79:L80">
    <cfRule type="cellIs" dxfId="2809" priority="2489" operator="equal">
      <formula>"NO CUMPLE"</formula>
    </cfRule>
    <cfRule type="cellIs" dxfId="2808" priority="2490" operator="equal">
      <formula>"CUMPLE"</formula>
    </cfRule>
  </conditionalFormatting>
  <conditionalFormatting sqref="M83">
    <cfRule type="expression" dxfId="2807" priority="2481">
      <formula>L83="NO CUMPLE"</formula>
    </cfRule>
    <cfRule type="expression" dxfId="2806" priority="2482">
      <formula>L83="CUMPLE"</formula>
    </cfRule>
  </conditionalFormatting>
  <conditionalFormatting sqref="M82">
    <cfRule type="expression" dxfId="2805" priority="2485">
      <formula>L82="NO CUMPLE"</formula>
    </cfRule>
    <cfRule type="expression" dxfId="2804" priority="2486">
      <formula>L82="CUMPLE"</formula>
    </cfRule>
  </conditionalFormatting>
  <conditionalFormatting sqref="L82:L83">
    <cfRule type="cellIs" dxfId="2803" priority="2483" operator="equal">
      <formula>"NO CUMPLE"</formula>
    </cfRule>
    <cfRule type="cellIs" dxfId="2802" priority="2484" operator="equal">
      <formula>"CUMPLE"</formula>
    </cfRule>
  </conditionalFormatting>
  <conditionalFormatting sqref="M86">
    <cfRule type="expression" dxfId="2801" priority="2475">
      <formula>L86="NO CUMPLE"</formula>
    </cfRule>
    <cfRule type="expression" dxfId="2800" priority="2476">
      <formula>L86="CUMPLE"</formula>
    </cfRule>
  </conditionalFormatting>
  <conditionalFormatting sqref="M85">
    <cfRule type="expression" dxfId="2799" priority="2479">
      <formula>L85="NO CUMPLE"</formula>
    </cfRule>
    <cfRule type="expression" dxfId="2798" priority="2480">
      <formula>L85="CUMPLE"</formula>
    </cfRule>
  </conditionalFormatting>
  <conditionalFormatting sqref="L85:L86">
    <cfRule type="cellIs" dxfId="2797" priority="2477" operator="equal">
      <formula>"NO CUMPLE"</formula>
    </cfRule>
    <cfRule type="cellIs" dxfId="2796" priority="2478" operator="equal">
      <formula>"CUMPLE"</formula>
    </cfRule>
  </conditionalFormatting>
  <conditionalFormatting sqref="M89">
    <cfRule type="expression" dxfId="2795" priority="2469">
      <formula>L89="NO CUMPLE"</formula>
    </cfRule>
    <cfRule type="expression" dxfId="2794" priority="2470">
      <formula>L89="CUMPLE"</formula>
    </cfRule>
  </conditionalFormatting>
  <conditionalFormatting sqref="M88">
    <cfRule type="expression" dxfId="2793" priority="2473">
      <formula>L88="NO CUMPLE"</formula>
    </cfRule>
    <cfRule type="expression" dxfId="2792" priority="2474">
      <formula>L88="CUMPLE"</formula>
    </cfRule>
  </conditionalFormatting>
  <conditionalFormatting sqref="L88:L89">
    <cfRule type="cellIs" dxfId="2791" priority="2471" operator="equal">
      <formula>"NO CUMPLE"</formula>
    </cfRule>
    <cfRule type="cellIs" dxfId="2790" priority="2472" operator="equal">
      <formula>"CUMPLE"</formula>
    </cfRule>
  </conditionalFormatting>
  <conditionalFormatting sqref="M92">
    <cfRule type="expression" dxfId="2789" priority="2463">
      <formula>L92="NO CUMPLE"</formula>
    </cfRule>
    <cfRule type="expression" dxfId="2788" priority="2464">
      <formula>L92="CUMPLE"</formula>
    </cfRule>
  </conditionalFormatting>
  <conditionalFormatting sqref="M91">
    <cfRule type="expression" dxfId="2787" priority="2467">
      <formula>L91="NO CUMPLE"</formula>
    </cfRule>
    <cfRule type="expression" dxfId="2786" priority="2468">
      <formula>L91="CUMPLE"</formula>
    </cfRule>
  </conditionalFormatting>
  <conditionalFormatting sqref="L91:L92">
    <cfRule type="cellIs" dxfId="2785" priority="2465" operator="equal">
      <formula>"NO CUMPLE"</formula>
    </cfRule>
    <cfRule type="cellIs" dxfId="2784" priority="2466" operator="equal">
      <formula>"CUMPLE"</formula>
    </cfRule>
  </conditionalFormatting>
  <conditionalFormatting sqref="M102">
    <cfRule type="expression" dxfId="2783" priority="2457">
      <formula>L102="NO CUMPLE"</formula>
    </cfRule>
    <cfRule type="expression" dxfId="2782" priority="2458">
      <formula>L102="CUMPLE"</formula>
    </cfRule>
  </conditionalFormatting>
  <conditionalFormatting sqref="M101">
    <cfRule type="expression" dxfId="2781" priority="2461">
      <formula>L101="NO CUMPLE"</formula>
    </cfRule>
    <cfRule type="expression" dxfId="2780" priority="2462">
      <formula>L101="CUMPLE"</formula>
    </cfRule>
  </conditionalFormatting>
  <conditionalFormatting sqref="L101:L102">
    <cfRule type="cellIs" dxfId="2779" priority="2459" operator="equal">
      <formula>"NO CUMPLE"</formula>
    </cfRule>
    <cfRule type="cellIs" dxfId="2778" priority="2460" operator="equal">
      <formula>"CUMPLE"</formula>
    </cfRule>
  </conditionalFormatting>
  <conditionalFormatting sqref="M105">
    <cfRule type="expression" dxfId="2777" priority="2451">
      <formula>L105="NO CUMPLE"</formula>
    </cfRule>
    <cfRule type="expression" dxfId="2776" priority="2452">
      <formula>L105="CUMPLE"</formula>
    </cfRule>
  </conditionalFormatting>
  <conditionalFormatting sqref="M104">
    <cfRule type="expression" dxfId="2775" priority="2455">
      <formula>L104="NO CUMPLE"</formula>
    </cfRule>
    <cfRule type="expression" dxfId="2774" priority="2456">
      <formula>L104="CUMPLE"</formula>
    </cfRule>
  </conditionalFormatting>
  <conditionalFormatting sqref="L104:L105">
    <cfRule type="cellIs" dxfId="2773" priority="2453" operator="equal">
      <formula>"NO CUMPLE"</formula>
    </cfRule>
    <cfRule type="cellIs" dxfId="2772" priority="2454" operator="equal">
      <formula>"CUMPLE"</formula>
    </cfRule>
  </conditionalFormatting>
  <conditionalFormatting sqref="M108">
    <cfRule type="expression" dxfId="2771" priority="2445">
      <formula>L108="NO CUMPLE"</formula>
    </cfRule>
    <cfRule type="expression" dxfId="2770" priority="2446">
      <formula>L108="CUMPLE"</formula>
    </cfRule>
  </conditionalFormatting>
  <conditionalFormatting sqref="M107">
    <cfRule type="expression" dxfId="2769" priority="2449">
      <formula>L107="NO CUMPLE"</formula>
    </cfRule>
    <cfRule type="expression" dxfId="2768" priority="2450">
      <formula>L107="CUMPLE"</formula>
    </cfRule>
  </conditionalFormatting>
  <conditionalFormatting sqref="L107:L108">
    <cfRule type="cellIs" dxfId="2767" priority="2447" operator="equal">
      <formula>"NO CUMPLE"</formula>
    </cfRule>
    <cfRule type="cellIs" dxfId="2766" priority="2448" operator="equal">
      <formula>"CUMPLE"</formula>
    </cfRule>
  </conditionalFormatting>
  <conditionalFormatting sqref="M111">
    <cfRule type="expression" dxfId="2765" priority="2439">
      <formula>L111="NO CUMPLE"</formula>
    </cfRule>
    <cfRule type="expression" dxfId="2764" priority="2440">
      <formula>L111="CUMPLE"</formula>
    </cfRule>
  </conditionalFormatting>
  <conditionalFormatting sqref="M110">
    <cfRule type="expression" dxfId="2763" priority="2443">
      <formula>L110="NO CUMPLE"</formula>
    </cfRule>
    <cfRule type="expression" dxfId="2762" priority="2444">
      <formula>L110="CUMPLE"</formula>
    </cfRule>
  </conditionalFormatting>
  <conditionalFormatting sqref="L110:L111">
    <cfRule type="cellIs" dxfId="2761" priority="2441" operator="equal">
      <formula>"NO CUMPLE"</formula>
    </cfRule>
    <cfRule type="cellIs" dxfId="2760" priority="2442" operator="equal">
      <formula>"CUMPLE"</formula>
    </cfRule>
  </conditionalFormatting>
  <conditionalFormatting sqref="M123">
    <cfRule type="expression" dxfId="2759" priority="2431">
      <formula>L123="NO CUMPLE"</formula>
    </cfRule>
    <cfRule type="expression" dxfId="2758" priority="2432">
      <formula>L123="CUMPLE"</formula>
    </cfRule>
  </conditionalFormatting>
  <conditionalFormatting sqref="M157">
    <cfRule type="expression" dxfId="2757" priority="2377">
      <formula>L157="NO CUMPLE"</formula>
    </cfRule>
    <cfRule type="expression" dxfId="2756" priority="2378">
      <formula>L157="CUMPLE"</formula>
    </cfRule>
  </conditionalFormatting>
  <conditionalFormatting sqref="M158">
    <cfRule type="expression" dxfId="2755" priority="2373">
      <formula>L158="NO CUMPLE"</formula>
    </cfRule>
    <cfRule type="expression" dxfId="2754" priority="2374">
      <formula>L158="CUMPLE"</formula>
    </cfRule>
  </conditionalFormatting>
  <conditionalFormatting sqref="L157:L158">
    <cfRule type="cellIs" dxfId="2753" priority="2375" operator="equal">
      <formula>"NO CUMPLE"</formula>
    </cfRule>
    <cfRule type="cellIs" dxfId="2752" priority="2376" operator="equal">
      <formula>"CUMPLE"</formula>
    </cfRule>
  </conditionalFormatting>
  <conditionalFormatting sqref="M168">
    <cfRule type="expression" dxfId="2751" priority="2367">
      <formula>L168="NO CUMPLE"</formula>
    </cfRule>
    <cfRule type="expression" dxfId="2750" priority="2368">
      <formula>L168="CUMPLE"</formula>
    </cfRule>
  </conditionalFormatting>
  <conditionalFormatting sqref="M167">
    <cfRule type="expression" dxfId="2749" priority="2371">
      <formula>L167="NO CUMPLE"</formula>
    </cfRule>
    <cfRule type="expression" dxfId="2748" priority="2372">
      <formula>L167="CUMPLE"</formula>
    </cfRule>
  </conditionalFormatting>
  <conditionalFormatting sqref="L167:L168">
    <cfRule type="cellIs" dxfId="2747" priority="2369" operator="equal">
      <formula>"NO CUMPLE"</formula>
    </cfRule>
    <cfRule type="cellIs" dxfId="2746" priority="2370" operator="equal">
      <formula>"CUMPLE"</formula>
    </cfRule>
  </conditionalFormatting>
  <conditionalFormatting sqref="M171">
    <cfRule type="expression" dxfId="2745" priority="2361">
      <formula>L171="NO CUMPLE"</formula>
    </cfRule>
    <cfRule type="expression" dxfId="2744" priority="2362">
      <formula>L171="CUMPLE"</formula>
    </cfRule>
  </conditionalFormatting>
  <conditionalFormatting sqref="M170">
    <cfRule type="expression" dxfId="2743" priority="2365">
      <formula>L170="NO CUMPLE"</formula>
    </cfRule>
    <cfRule type="expression" dxfId="2742" priority="2366">
      <formula>L170="CUMPLE"</formula>
    </cfRule>
  </conditionalFormatting>
  <conditionalFormatting sqref="L170:L171">
    <cfRule type="cellIs" dxfId="2741" priority="2363" operator="equal">
      <formula>"NO CUMPLE"</formula>
    </cfRule>
    <cfRule type="cellIs" dxfId="2740" priority="2364" operator="equal">
      <formula>"CUMPLE"</formula>
    </cfRule>
  </conditionalFormatting>
  <conditionalFormatting sqref="M174">
    <cfRule type="expression" dxfId="2739" priority="2355">
      <formula>L174="NO CUMPLE"</formula>
    </cfRule>
    <cfRule type="expression" dxfId="2738" priority="2356">
      <formula>L174="CUMPLE"</formula>
    </cfRule>
  </conditionalFormatting>
  <conditionalFormatting sqref="M173">
    <cfRule type="expression" dxfId="2737" priority="2359">
      <formula>L173="NO CUMPLE"</formula>
    </cfRule>
    <cfRule type="expression" dxfId="2736" priority="2360">
      <formula>L173="CUMPLE"</formula>
    </cfRule>
  </conditionalFormatting>
  <conditionalFormatting sqref="L173:L174">
    <cfRule type="cellIs" dxfId="2735" priority="2357" operator="equal">
      <formula>"NO CUMPLE"</formula>
    </cfRule>
    <cfRule type="cellIs" dxfId="2734" priority="2358" operator="equal">
      <formula>"CUMPLE"</formula>
    </cfRule>
  </conditionalFormatting>
  <conditionalFormatting sqref="M177">
    <cfRule type="expression" dxfId="2733" priority="2349">
      <formula>L177="NO CUMPLE"</formula>
    </cfRule>
    <cfRule type="expression" dxfId="2732" priority="2350">
      <formula>L177="CUMPLE"</formula>
    </cfRule>
  </conditionalFormatting>
  <conditionalFormatting sqref="M176">
    <cfRule type="expression" dxfId="2731" priority="2353">
      <formula>L176="NO CUMPLE"</formula>
    </cfRule>
    <cfRule type="expression" dxfId="2730" priority="2354">
      <formula>L176="CUMPLE"</formula>
    </cfRule>
  </conditionalFormatting>
  <conditionalFormatting sqref="L176:L177">
    <cfRule type="cellIs" dxfId="2729" priority="2351" operator="equal">
      <formula>"NO CUMPLE"</formula>
    </cfRule>
    <cfRule type="cellIs" dxfId="2728" priority="2352" operator="equal">
      <formula>"CUMPLE"</formula>
    </cfRule>
  </conditionalFormatting>
  <conditionalFormatting sqref="M180">
    <cfRule type="expression" dxfId="2727" priority="2343">
      <formula>L180="NO CUMPLE"</formula>
    </cfRule>
    <cfRule type="expression" dxfId="2726" priority="2344">
      <formula>L180="CUMPLE"</formula>
    </cfRule>
  </conditionalFormatting>
  <conditionalFormatting sqref="M179">
    <cfRule type="expression" dxfId="2725" priority="2347">
      <formula>L179="NO CUMPLE"</formula>
    </cfRule>
    <cfRule type="expression" dxfId="2724" priority="2348">
      <formula>L179="CUMPLE"</formula>
    </cfRule>
  </conditionalFormatting>
  <conditionalFormatting sqref="L179:L180">
    <cfRule type="cellIs" dxfId="2723" priority="2345" operator="equal">
      <formula>"NO CUMPLE"</formula>
    </cfRule>
    <cfRule type="cellIs" dxfId="2722" priority="2346" operator="equal">
      <formula>"CUMPLE"</formula>
    </cfRule>
  </conditionalFormatting>
  <conditionalFormatting sqref="M190">
    <cfRule type="expression" dxfId="2721" priority="2337">
      <formula>L190="NO CUMPLE"</formula>
    </cfRule>
    <cfRule type="expression" dxfId="2720" priority="2338">
      <formula>L190="CUMPLE"</formula>
    </cfRule>
  </conditionalFormatting>
  <conditionalFormatting sqref="M189">
    <cfRule type="expression" dxfId="2719" priority="2341">
      <formula>L189="NO CUMPLE"</formula>
    </cfRule>
    <cfRule type="expression" dxfId="2718" priority="2342">
      <formula>L189="CUMPLE"</formula>
    </cfRule>
  </conditionalFormatting>
  <conditionalFormatting sqref="L189:L190">
    <cfRule type="cellIs" dxfId="2717" priority="2339" operator="equal">
      <formula>"NO CUMPLE"</formula>
    </cfRule>
    <cfRule type="cellIs" dxfId="2716" priority="2340" operator="equal">
      <formula>"CUMPLE"</formula>
    </cfRule>
  </conditionalFormatting>
  <conditionalFormatting sqref="M196">
    <cfRule type="expression" dxfId="2715" priority="2325">
      <formula>L196="NO CUMPLE"</formula>
    </cfRule>
    <cfRule type="expression" dxfId="2714" priority="2326">
      <formula>L196="CUMPLE"</formula>
    </cfRule>
  </conditionalFormatting>
  <conditionalFormatting sqref="M195">
    <cfRule type="expression" dxfId="2713" priority="2329">
      <formula>L195="NO CUMPLE"</formula>
    </cfRule>
    <cfRule type="expression" dxfId="2712" priority="2330">
      <formula>L195="CUMPLE"</formula>
    </cfRule>
  </conditionalFormatting>
  <conditionalFormatting sqref="L195:L196">
    <cfRule type="cellIs" dxfId="2711" priority="2327" operator="equal">
      <formula>"NO CUMPLE"</formula>
    </cfRule>
    <cfRule type="cellIs" dxfId="2710" priority="2328" operator="equal">
      <formula>"CUMPLE"</formula>
    </cfRule>
  </conditionalFormatting>
  <conditionalFormatting sqref="L44:L45">
    <cfRule type="cellIs" dxfId="2709" priority="2305" operator="equal">
      <formula>"NO CUMPLE"</formula>
    </cfRule>
    <cfRule type="cellIs" dxfId="2708" priority="2306" operator="equal">
      <formula>"CUMPLE"</formula>
    </cfRule>
  </conditionalFormatting>
  <conditionalFormatting sqref="M202">
    <cfRule type="expression" dxfId="2707" priority="2313">
      <formula>L202="NO CUMPLE"</formula>
    </cfRule>
    <cfRule type="expression" dxfId="2706" priority="2314">
      <formula>L202="CUMPLE"</formula>
    </cfRule>
  </conditionalFormatting>
  <conditionalFormatting sqref="M201">
    <cfRule type="expression" dxfId="2705" priority="2317">
      <formula>L201="NO CUMPLE"</formula>
    </cfRule>
    <cfRule type="expression" dxfId="2704" priority="2318">
      <formula>L201="CUMPLE"</formula>
    </cfRule>
  </conditionalFormatting>
  <conditionalFormatting sqref="L201:L202">
    <cfRule type="cellIs" dxfId="2703" priority="2315" operator="equal">
      <formula>"NO CUMPLE"</formula>
    </cfRule>
    <cfRule type="cellIs" dxfId="2702" priority="2316" operator="equal">
      <formula>"CUMPLE"</formula>
    </cfRule>
  </conditionalFormatting>
  <conditionalFormatting sqref="S13">
    <cfRule type="cellIs" dxfId="2701" priority="2311" operator="greaterThan">
      <formula>0</formula>
    </cfRule>
    <cfRule type="top10" dxfId="2700" priority="2312" rank="10"/>
  </conditionalFormatting>
  <conditionalFormatting sqref="L41:L42">
    <cfRule type="cellIs" dxfId="2699" priority="2307" operator="equal">
      <formula>"NO CUMPLE"</formula>
    </cfRule>
    <cfRule type="cellIs" dxfId="2698" priority="2308" operator="equal">
      <formula>"CUMPLE"</formula>
    </cfRule>
  </conditionalFormatting>
  <conditionalFormatting sqref="L47:L48">
    <cfRule type="cellIs" dxfId="2697" priority="2303" operator="equal">
      <formula>"NO CUMPLE"</formula>
    </cfRule>
    <cfRule type="cellIs" dxfId="2696" priority="2304" operator="equal">
      <formula>"CUMPLE"</formula>
    </cfRule>
  </conditionalFormatting>
  <conditionalFormatting sqref="M20 M23 M26">
    <cfRule type="expression" dxfId="2695" priority="2299">
      <formula>L20="NO CUMPLE"</formula>
    </cfRule>
    <cfRule type="expression" dxfId="2694" priority="2300">
      <formula>L20="CUMPLE"</formula>
    </cfRule>
  </conditionalFormatting>
  <conditionalFormatting sqref="M19 M22 M25">
    <cfRule type="expression" dxfId="2693" priority="2301">
      <formula>L19="NO CUMPLE"</formula>
    </cfRule>
    <cfRule type="expression" dxfId="2692" priority="2302">
      <formula>L19="CUMPLE"</formula>
    </cfRule>
  </conditionalFormatting>
  <conditionalFormatting sqref="Q16">
    <cfRule type="containsBlanks" dxfId="2691" priority="2290">
      <formula>LEN(TRIM(Q16))=0</formula>
    </cfRule>
    <cfRule type="cellIs" dxfId="2690" priority="2295" operator="equal">
      <formula>"REQUERIMIENTOS SUBSANADOS"</formula>
    </cfRule>
    <cfRule type="containsText" dxfId="2689" priority="2296" operator="containsText" text="NO SUBSANABLE">
      <formula>NOT(ISERROR(SEARCH("NO SUBSANABLE",Q16)))</formula>
    </cfRule>
    <cfRule type="containsText" dxfId="2688" priority="2297" operator="containsText" text="PENDIENTES POR SUBSANAR">
      <formula>NOT(ISERROR(SEARCH("PENDIENTES POR SUBSANAR",Q16)))</formula>
    </cfRule>
    <cfRule type="containsText" dxfId="2687" priority="2298" operator="containsText" text="SIN OBSERVACIÓN">
      <formula>NOT(ISERROR(SEARCH("SIN OBSERVACIÓN",Q16)))</formula>
    </cfRule>
  </conditionalFormatting>
  <conditionalFormatting sqref="R16">
    <cfRule type="containsBlanks" dxfId="2686" priority="2289">
      <formula>LEN(TRIM(R16))=0</formula>
    </cfRule>
    <cfRule type="cellIs" dxfId="2685" priority="2291" operator="equal">
      <formula>"NO CUMPLEN CON LO SOLICITADO"</formula>
    </cfRule>
    <cfRule type="cellIs" dxfId="2684" priority="2292" operator="equal">
      <formula>"CUMPLEN CON LO SOLICITADO"</formula>
    </cfRule>
    <cfRule type="cellIs" dxfId="2683" priority="2293" operator="equal">
      <formula>"PENDIENTES"</formula>
    </cfRule>
    <cfRule type="cellIs" dxfId="2682" priority="2294" operator="equal">
      <formula>"NINGUNO"</formula>
    </cfRule>
  </conditionalFormatting>
  <conditionalFormatting sqref="N41">
    <cfRule type="expression" dxfId="2681" priority="2286">
      <formula>N41=" "</formula>
    </cfRule>
    <cfRule type="expression" dxfId="2680" priority="2287">
      <formula>N41="NO PRESENTÓ CERTIFICADO"</formula>
    </cfRule>
    <cfRule type="expression" dxfId="2679" priority="2288">
      <formula>N41="PRESENTÓ CERTIFICADO"</formula>
    </cfRule>
  </conditionalFormatting>
  <conditionalFormatting sqref="Q41">
    <cfRule type="containsBlanks" dxfId="2678" priority="2277">
      <formula>LEN(TRIM(Q41))=0</formula>
    </cfRule>
    <cfRule type="cellIs" dxfId="2677" priority="2282" operator="equal">
      <formula>"REQUERIMIENTOS SUBSANADOS"</formula>
    </cfRule>
    <cfRule type="containsText" dxfId="2676" priority="2283" operator="containsText" text="NO SUBSANABLE">
      <formula>NOT(ISERROR(SEARCH("NO SUBSANABLE",Q41)))</formula>
    </cfRule>
    <cfRule type="containsText" dxfId="2675" priority="2284" operator="containsText" text="PENDIENTES POR SUBSANAR">
      <formula>NOT(ISERROR(SEARCH("PENDIENTES POR SUBSANAR",Q41)))</formula>
    </cfRule>
    <cfRule type="containsText" dxfId="2674" priority="2285" operator="containsText" text="SIN OBSERVACIÓN">
      <formula>NOT(ISERROR(SEARCH("SIN OBSERVACIÓN",Q41)))</formula>
    </cfRule>
  </conditionalFormatting>
  <conditionalFormatting sqref="R41">
    <cfRule type="containsBlanks" dxfId="2673" priority="2276">
      <formula>LEN(TRIM(R41))=0</formula>
    </cfRule>
    <cfRule type="cellIs" dxfId="2672" priority="2278" operator="equal">
      <formula>"NO CUMPLEN CON LO SOLICITADO"</formula>
    </cfRule>
    <cfRule type="cellIs" dxfId="2671" priority="2279" operator="equal">
      <formula>"CUMPLEN CON LO SOLICITADO"</formula>
    </cfRule>
    <cfRule type="cellIs" dxfId="2670" priority="2280" operator="equal">
      <formula>"PENDIENTES"</formula>
    </cfRule>
    <cfRule type="cellIs" dxfId="2669" priority="2281" operator="equal">
      <formula>"NINGUNO"</formula>
    </cfRule>
  </conditionalFormatting>
  <conditionalFormatting sqref="P41">
    <cfRule type="expression" dxfId="2668" priority="2271">
      <formula>Q41="NO SUBSANABLE"</formula>
    </cfRule>
    <cfRule type="expression" dxfId="2667" priority="2272">
      <formula>Q41="REQUERIMIENTOS SUBSANADOS"</formula>
    </cfRule>
    <cfRule type="expression" dxfId="2666" priority="2273">
      <formula>Q41="PENDIENTES POR SUBSANAR"</formula>
    </cfRule>
    <cfRule type="expression" dxfId="2665" priority="2274">
      <formula>Q41="SIN OBSERVACIÓN"</formula>
    </cfRule>
    <cfRule type="containsBlanks" dxfId="2664" priority="2275">
      <formula>LEN(TRIM(P41))=0</formula>
    </cfRule>
  </conditionalFormatting>
  <conditionalFormatting sqref="N44">
    <cfRule type="expression" dxfId="2663" priority="2268">
      <formula>N44=" "</formula>
    </cfRule>
    <cfRule type="expression" dxfId="2662" priority="2269">
      <formula>N44="NO PRESENTÓ CERTIFICADO"</formula>
    </cfRule>
    <cfRule type="expression" dxfId="2661" priority="2270">
      <formula>N44="PRESENTÓ CERTIFICADO"</formula>
    </cfRule>
  </conditionalFormatting>
  <conditionalFormatting sqref="Q44">
    <cfRule type="containsBlanks" dxfId="2660" priority="2259">
      <formula>LEN(TRIM(Q44))=0</formula>
    </cfRule>
    <cfRule type="cellIs" dxfId="2659" priority="2264" operator="equal">
      <formula>"REQUERIMIENTOS SUBSANADOS"</formula>
    </cfRule>
    <cfRule type="containsText" dxfId="2658" priority="2265" operator="containsText" text="NO SUBSANABLE">
      <formula>NOT(ISERROR(SEARCH("NO SUBSANABLE",Q44)))</formula>
    </cfRule>
    <cfRule type="containsText" dxfId="2657" priority="2266" operator="containsText" text="PENDIENTES POR SUBSANAR">
      <formula>NOT(ISERROR(SEARCH("PENDIENTES POR SUBSANAR",Q44)))</formula>
    </cfRule>
    <cfRule type="containsText" dxfId="2656" priority="2267" operator="containsText" text="SIN OBSERVACIÓN">
      <formula>NOT(ISERROR(SEARCH("SIN OBSERVACIÓN",Q44)))</formula>
    </cfRule>
  </conditionalFormatting>
  <conditionalFormatting sqref="R44">
    <cfRule type="containsBlanks" dxfId="2655" priority="2258">
      <formula>LEN(TRIM(R44))=0</formula>
    </cfRule>
    <cfRule type="cellIs" dxfId="2654" priority="2260" operator="equal">
      <formula>"NO CUMPLEN CON LO SOLICITADO"</formula>
    </cfRule>
    <cfRule type="cellIs" dxfId="2653" priority="2261" operator="equal">
      <formula>"CUMPLEN CON LO SOLICITADO"</formula>
    </cfRule>
    <cfRule type="cellIs" dxfId="2652" priority="2262" operator="equal">
      <formula>"PENDIENTES"</formula>
    </cfRule>
    <cfRule type="cellIs" dxfId="2651" priority="2263" operator="equal">
      <formula>"NINGUNO"</formula>
    </cfRule>
  </conditionalFormatting>
  <conditionalFormatting sqref="P44">
    <cfRule type="expression" dxfId="2650" priority="2253">
      <formula>Q44="NO SUBSANABLE"</formula>
    </cfRule>
    <cfRule type="expression" dxfId="2649" priority="2254">
      <formula>Q44="REQUERIMIENTOS SUBSANADOS"</formula>
    </cfRule>
    <cfRule type="expression" dxfId="2648" priority="2255">
      <formula>Q44="PENDIENTES POR SUBSANAR"</formula>
    </cfRule>
    <cfRule type="expression" dxfId="2647" priority="2256">
      <formula>Q44="SIN OBSERVACIÓN"</formula>
    </cfRule>
    <cfRule type="containsBlanks" dxfId="2646" priority="2257">
      <formula>LEN(TRIM(P44))=0</formula>
    </cfRule>
  </conditionalFormatting>
  <conditionalFormatting sqref="N47">
    <cfRule type="expression" dxfId="2645" priority="2250">
      <formula>N47=" "</formula>
    </cfRule>
    <cfRule type="expression" dxfId="2644" priority="2251">
      <formula>N47="NO PRESENTÓ CERTIFICADO"</formula>
    </cfRule>
    <cfRule type="expression" dxfId="2643" priority="2252">
      <formula>N47="PRESENTÓ CERTIFICADO"</formula>
    </cfRule>
  </conditionalFormatting>
  <conditionalFormatting sqref="Q47">
    <cfRule type="containsBlanks" dxfId="2642" priority="2241">
      <formula>LEN(TRIM(Q47))=0</formula>
    </cfRule>
    <cfRule type="cellIs" dxfId="2641" priority="2246" operator="equal">
      <formula>"REQUERIMIENTOS SUBSANADOS"</formula>
    </cfRule>
    <cfRule type="containsText" dxfId="2640" priority="2247" operator="containsText" text="NO SUBSANABLE">
      <formula>NOT(ISERROR(SEARCH("NO SUBSANABLE",Q47)))</formula>
    </cfRule>
    <cfRule type="containsText" dxfId="2639" priority="2248" operator="containsText" text="PENDIENTES POR SUBSANAR">
      <formula>NOT(ISERROR(SEARCH("PENDIENTES POR SUBSANAR",Q47)))</formula>
    </cfRule>
    <cfRule type="containsText" dxfId="2638" priority="2249" operator="containsText" text="SIN OBSERVACIÓN">
      <formula>NOT(ISERROR(SEARCH("SIN OBSERVACIÓN",Q47)))</formula>
    </cfRule>
  </conditionalFormatting>
  <conditionalFormatting sqref="R47">
    <cfRule type="containsBlanks" dxfId="2637" priority="2240">
      <formula>LEN(TRIM(R47))=0</formula>
    </cfRule>
    <cfRule type="cellIs" dxfId="2636" priority="2242" operator="equal">
      <formula>"NO CUMPLEN CON LO SOLICITADO"</formula>
    </cfRule>
    <cfRule type="cellIs" dxfId="2635" priority="2243" operator="equal">
      <formula>"CUMPLEN CON LO SOLICITADO"</formula>
    </cfRule>
    <cfRule type="cellIs" dxfId="2634" priority="2244" operator="equal">
      <formula>"PENDIENTES"</formula>
    </cfRule>
    <cfRule type="cellIs" dxfId="2633" priority="2245" operator="equal">
      <formula>"NINGUNO"</formula>
    </cfRule>
  </conditionalFormatting>
  <conditionalFormatting sqref="P47">
    <cfRule type="expression" dxfId="2632" priority="2235">
      <formula>Q47="NO SUBSANABLE"</formula>
    </cfRule>
    <cfRule type="expression" dxfId="2631" priority="2236">
      <formula>Q47="REQUERIMIENTOS SUBSANADOS"</formula>
    </cfRule>
    <cfRule type="expression" dxfId="2630" priority="2237">
      <formula>Q47="PENDIENTES POR SUBSANAR"</formula>
    </cfRule>
    <cfRule type="expression" dxfId="2629" priority="2238">
      <formula>Q47="SIN OBSERVACIÓN"</formula>
    </cfRule>
    <cfRule type="containsBlanks" dxfId="2628" priority="2239">
      <formula>LEN(TRIM(P47))=0</formula>
    </cfRule>
  </conditionalFormatting>
  <conditionalFormatting sqref="N88">
    <cfRule type="expression" dxfId="2627" priority="2232">
      <formula>N88=" "</formula>
    </cfRule>
    <cfRule type="expression" dxfId="2626" priority="2233">
      <formula>N88="NO PRESENTÓ CERTIFICADO"</formula>
    </cfRule>
    <cfRule type="expression" dxfId="2625" priority="2234">
      <formula>N88="PRESENTÓ CERTIFICADO"</formula>
    </cfRule>
  </conditionalFormatting>
  <conditionalFormatting sqref="Q88">
    <cfRule type="containsBlanks" dxfId="2624" priority="2223">
      <formula>LEN(TRIM(Q88))=0</formula>
    </cfRule>
    <cfRule type="cellIs" dxfId="2623" priority="2228" operator="equal">
      <formula>"REQUERIMIENTOS SUBSANADOS"</formula>
    </cfRule>
    <cfRule type="containsText" dxfId="2622" priority="2229" operator="containsText" text="NO SUBSANABLE">
      <formula>NOT(ISERROR(SEARCH("NO SUBSANABLE",Q88)))</formula>
    </cfRule>
    <cfRule type="containsText" dxfId="2621" priority="2230" operator="containsText" text="PENDIENTES POR SUBSANAR">
      <formula>NOT(ISERROR(SEARCH("PENDIENTES POR SUBSANAR",Q88)))</formula>
    </cfRule>
    <cfRule type="containsText" dxfId="2620" priority="2231" operator="containsText" text="SIN OBSERVACIÓN">
      <formula>NOT(ISERROR(SEARCH("SIN OBSERVACIÓN",Q88)))</formula>
    </cfRule>
  </conditionalFormatting>
  <conditionalFormatting sqref="R88">
    <cfRule type="containsBlanks" dxfId="2619" priority="2222">
      <formula>LEN(TRIM(R88))=0</formula>
    </cfRule>
    <cfRule type="cellIs" dxfId="2618" priority="2224" operator="equal">
      <formula>"NO CUMPLEN CON LO SOLICITADO"</formula>
    </cfRule>
    <cfRule type="cellIs" dxfId="2617" priority="2225" operator="equal">
      <formula>"CUMPLEN CON LO SOLICITADO"</formula>
    </cfRule>
    <cfRule type="cellIs" dxfId="2616" priority="2226" operator="equal">
      <formula>"PENDIENTES"</formula>
    </cfRule>
    <cfRule type="cellIs" dxfId="2615" priority="2227" operator="equal">
      <formula>"NINGUNO"</formula>
    </cfRule>
  </conditionalFormatting>
  <conditionalFormatting sqref="P88">
    <cfRule type="expression" dxfId="2614" priority="2217">
      <formula>Q88="NO SUBSANABLE"</formula>
    </cfRule>
    <cfRule type="expression" dxfId="2613" priority="2218">
      <formula>Q88="REQUERIMIENTOS SUBSANADOS"</formula>
    </cfRule>
    <cfRule type="expression" dxfId="2612" priority="2219">
      <formula>Q88="PENDIENTES POR SUBSANAR"</formula>
    </cfRule>
    <cfRule type="expression" dxfId="2611" priority="2220">
      <formula>Q88="SIN OBSERVACIÓN"</formula>
    </cfRule>
    <cfRule type="containsBlanks" dxfId="2610" priority="2221">
      <formula>LEN(TRIM(P88))=0</formula>
    </cfRule>
  </conditionalFormatting>
  <conditionalFormatting sqref="N91">
    <cfRule type="expression" dxfId="2609" priority="2214">
      <formula>N91=" "</formula>
    </cfRule>
    <cfRule type="expression" dxfId="2608" priority="2215">
      <formula>N91="NO PRESENTÓ CERTIFICADO"</formula>
    </cfRule>
    <cfRule type="expression" dxfId="2607" priority="2216">
      <formula>N91="PRESENTÓ CERTIFICADO"</formula>
    </cfRule>
  </conditionalFormatting>
  <conditionalFormatting sqref="Q91">
    <cfRule type="containsBlanks" dxfId="2606" priority="2205">
      <formula>LEN(TRIM(Q91))=0</formula>
    </cfRule>
    <cfRule type="cellIs" dxfId="2605" priority="2210" operator="equal">
      <formula>"REQUERIMIENTOS SUBSANADOS"</formula>
    </cfRule>
    <cfRule type="containsText" dxfId="2604" priority="2211" operator="containsText" text="NO SUBSANABLE">
      <formula>NOT(ISERROR(SEARCH("NO SUBSANABLE",Q91)))</formula>
    </cfRule>
    <cfRule type="containsText" dxfId="2603" priority="2212" operator="containsText" text="PENDIENTES POR SUBSANAR">
      <formula>NOT(ISERROR(SEARCH("PENDIENTES POR SUBSANAR",Q91)))</formula>
    </cfRule>
    <cfRule type="containsText" dxfId="2602" priority="2213" operator="containsText" text="SIN OBSERVACIÓN">
      <formula>NOT(ISERROR(SEARCH("SIN OBSERVACIÓN",Q91)))</formula>
    </cfRule>
  </conditionalFormatting>
  <conditionalFormatting sqref="R91">
    <cfRule type="containsBlanks" dxfId="2601" priority="2204">
      <formula>LEN(TRIM(R91))=0</formula>
    </cfRule>
    <cfRule type="cellIs" dxfId="2600" priority="2206" operator="equal">
      <formula>"NO CUMPLEN CON LO SOLICITADO"</formula>
    </cfRule>
    <cfRule type="cellIs" dxfId="2599" priority="2207" operator="equal">
      <formula>"CUMPLEN CON LO SOLICITADO"</formula>
    </cfRule>
    <cfRule type="cellIs" dxfId="2598" priority="2208" operator="equal">
      <formula>"PENDIENTES"</formula>
    </cfRule>
    <cfRule type="cellIs" dxfId="2597" priority="2209" operator="equal">
      <formula>"NINGUNO"</formula>
    </cfRule>
  </conditionalFormatting>
  <conditionalFormatting sqref="P91">
    <cfRule type="expression" dxfId="2596" priority="2199">
      <formula>Q91="NO SUBSANABLE"</formula>
    </cfRule>
    <cfRule type="expression" dxfId="2595" priority="2200">
      <formula>Q91="REQUERIMIENTOS SUBSANADOS"</formula>
    </cfRule>
    <cfRule type="expression" dxfId="2594" priority="2201">
      <formula>Q91="PENDIENTES POR SUBSANAR"</formula>
    </cfRule>
    <cfRule type="expression" dxfId="2593" priority="2202">
      <formula>Q91="SIN OBSERVACIÓN"</formula>
    </cfRule>
    <cfRule type="containsBlanks" dxfId="2592" priority="2203">
      <formula>LEN(TRIM(P91))=0</formula>
    </cfRule>
  </conditionalFormatting>
  <conditionalFormatting sqref="P107">
    <cfRule type="expression" dxfId="2591" priority="2194">
      <formula>Q107="NO SUBSANABLE"</formula>
    </cfRule>
    <cfRule type="expression" dxfId="2590" priority="2195">
      <formula>Q107="REQUERIMIENTOS SUBSANADOS"</formula>
    </cfRule>
    <cfRule type="expression" dxfId="2589" priority="2196">
      <formula>Q107="PENDIENTES POR SUBSANAR"</formula>
    </cfRule>
    <cfRule type="expression" dxfId="2588" priority="2197">
      <formula>Q107="SIN OBSERVACIÓN"</formula>
    </cfRule>
    <cfRule type="containsBlanks" dxfId="2587" priority="2198">
      <formula>LEN(TRIM(P107))=0</formula>
    </cfRule>
  </conditionalFormatting>
  <conditionalFormatting sqref="N135">
    <cfRule type="expression" dxfId="2586" priority="2191">
      <formula>N135=" "</formula>
    </cfRule>
    <cfRule type="expression" dxfId="2585" priority="2192">
      <formula>N135="NO PRESENTÓ CERTIFICADO"</formula>
    </cfRule>
    <cfRule type="expression" dxfId="2584" priority="2193">
      <formula>N135="PRESENTÓ CERTIFICADO"</formula>
    </cfRule>
  </conditionalFormatting>
  <conditionalFormatting sqref="O135">
    <cfRule type="cellIs" dxfId="2583" priority="2173" operator="equal">
      <formula>"PENDIENTE POR DESCRIPCIÓN"</formula>
    </cfRule>
    <cfRule type="cellIs" dxfId="2582" priority="2174" operator="equal">
      <formula>"DESCRIPCIÓN INSUFICIENTE"</formula>
    </cfRule>
    <cfRule type="cellIs" dxfId="2581" priority="2175" operator="equal">
      <formula>"NO ESTÁ ACORDE A ITEM 5.2.2 (T.R.)"</formula>
    </cfRule>
    <cfRule type="cellIs" dxfId="2580" priority="2176" operator="equal">
      <formula>"ACORDE A ITEM 5.2.2 (T.R.)"</formula>
    </cfRule>
    <cfRule type="cellIs" dxfId="2579" priority="2183" operator="equal">
      <formula>"PENDIENTE POR DESCRIPCIÓN"</formula>
    </cfRule>
    <cfRule type="cellIs" dxfId="2578" priority="2185" operator="equal">
      <formula>"DESCRIPCIÓN INSUFICIENTE"</formula>
    </cfRule>
    <cfRule type="cellIs" dxfId="2577" priority="2186" operator="equal">
      <formula>"NO ESTÁ ACORDE A ITEM 5.2.1 (T.R.)"</formula>
    </cfRule>
    <cfRule type="cellIs" dxfId="2576" priority="2187" operator="equal">
      <formula>"ACORDE A ITEM 5.2.1 (T.R.)"</formula>
    </cfRule>
  </conditionalFormatting>
  <conditionalFormatting sqref="Q135">
    <cfRule type="containsBlanks" dxfId="2575" priority="2178">
      <formula>LEN(TRIM(Q135))=0</formula>
    </cfRule>
    <cfRule type="cellIs" dxfId="2574" priority="2184" operator="equal">
      <formula>"REQUERIMIENTOS SUBSANADOS"</formula>
    </cfRule>
    <cfRule type="containsText" dxfId="2573" priority="2188" operator="containsText" text="NO SUBSANABLE">
      <formula>NOT(ISERROR(SEARCH("NO SUBSANABLE",Q135)))</formula>
    </cfRule>
    <cfRule type="containsText" dxfId="2572" priority="2189" operator="containsText" text="PENDIENTES POR SUBSANAR">
      <formula>NOT(ISERROR(SEARCH("PENDIENTES POR SUBSANAR",Q135)))</formula>
    </cfRule>
    <cfRule type="containsText" dxfId="2571" priority="2190" operator="containsText" text="SIN OBSERVACIÓN">
      <formula>NOT(ISERROR(SEARCH("SIN OBSERVACIÓN",Q135)))</formula>
    </cfRule>
  </conditionalFormatting>
  <conditionalFormatting sqref="R135">
    <cfRule type="containsBlanks" dxfId="2570" priority="2177">
      <formula>LEN(TRIM(R135))=0</formula>
    </cfRule>
    <cfRule type="cellIs" dxfId="2569" priority="2179" operator="equal">
      <formula>"NO CUMPLEN CON LO SOLICITADO"</formula>
    </cfRule>
    <cfRule type="cellIs" dxfId="2568" priority="2180" operator="equal">
      <formula>"CUMPLEN CON LO SOLICITADO"</formula>
    </cfRule>
    <cfRule type="cellIs" dxfId="2567" priority="2181" operator="equal">
      <formula>"PENDIENTES"</formula>
    </cfRule>
    <cfRule type="cellIs" dxfId="2566" priority="2182" operator="equal">
      <formula>"NINGUNO"</formula>
    </cfRule>
  </conditionalFormatting>
  <conditionalFormatting sqref="P135">
    <cfRule type="expression" dxfId="2565" priority="2168">
      <formula>Q135="NO SUBSANABLE"</formula>
    </cfRule>
    <cfRule type="expression" dxfId="2564" priority="2169">
      <formula>Q135="REQUERIMIENTOS SUBSANADOS"</formula>
    </cfRule>
    <cfRule type="expression" dxfId="2563" priority="2170">
      <formula>Q135="PENDIENTES POR SUBSANAR"</formula>
    </cfRule>
    <cfRule type="expression" dxfId="2562" priority="2171">
      <formula>Q135="SIN OBSERVACIÓN"</formula>
    </cfRule>
    <cfRule type="containsBlanks" dxfId="2561" priority="2172">
      <formula>LEN(TRIM(P135))=0</formula>
    </cfRule>
  </conditionalFormatting>
  <conditionalFormatting sqref="N151">
    <cfRule type="expression" dxfId="2560" priority="2165">
      <formula>N151=" "</formula>
    </cfRule>
    <cfRule type="expression" dxfId="2559" priority="2166">
      <formula>N151="NO PRESENTÓ CERTIFICADO"</formula>
    </cfRule>
    <cfRule type="expression" dxfId="2558" priority="2167">
      <formula>N151="PRESENTÓ CERTIFICADO"</formula>
    </cfRule>
  </conditionalFormatting>
  <conditionalFormatting sqref="O151">
    <cfRule type="cellIs" dxfId="2557" priority="2147" operator="equal">
      <formula>"PENDIENTE POR DESCRIPCIÓN"</formula>
    </cfRule>
    <cfRule type="cellIs" dxfId="2556" priority="2148" operator="equal">
      <formula>"DESCRIPCIÓN INSUFICIENTE"</formula>
    </cfRule>
    <cfRule type="cellIs" dxfId="2555" priority="2149" operator="equal">
      <formula>"NO ESTÁ ACORDE A ITEM 5.2.2 (T.R.)"</formula>
    </cfRule>
    <cfRule type="cellIs" dxfId="2554" priority="2150" operator="equal">
      <formula>"ACORDE A ITEM 5.2.2 (T.R.)"</formula>
    </cfRule>
    <cfRule type="cellIs" dxfId="2553" priority="2157" operator="equal">
      <formula>"PENDIENTE POR DESCRIPCIÓN"</formula>
    </cfRule>
    <cfRule type="cellIs" dxfId="2552" priority="2159" operator="equal">
      <formula>"DESCRIPCIÓN INSUFICIENTE"</formula>
    </cfRule>
    <cfRule type="cellIs" dxfId="2551" priority="2160" operator="equal">
      <formula>"NO ESTÁ ACORDE A ITEM 5.2.1 (T.R.)"</formula>
    </cfRule>
    <cfRule type="cellIs" dxfId="2550" priority="2161" operator="equal">
      <formula>"ACORDE A ITEM 5.2.1 (T.R.)"</formula>
    </cfRule>
  </conditionalFormatting>
  <conditionalFormatting sqref="Q151">
    <cfRule type="containsBlanks" dxfId="2549" priority="2152">
      <formula>LEN(TRIM(Q151))=0</formula>
    </cfRule>
    <cfRule type="cellIs" dxfId="2548" priority="2158" operator="equal">
      <formula>"REQUERIMIENTOS SUBSANADOS"</formula>
    </cfRule>
    <cfRule type="containsText" dxfId="2547" priority="2162" operator="containsText" text="NO SUBSANABLE">
      <formula>NOT(ISERROR(SEARCH("NO SUBSANABLE",Q151)))</formula>
    </cfRule>
    <cfRule type="containsText" dxfId="2546" priority="2163" operator="containsText" text="PENDIENTES POR SUBSANAR">
      <formula>NOT(ISERROR(SEARCH("PENDIENTES POR SUBSANAR",Q151)))</formula>
    </cfRule>
    <cfRule type="containsText" dxfId="2545" priority="2164" operator="containsText" text="SIN OBSERVACIÓN">
      <formula>NOT(ISERROR(SEARCH("SIN OBSERVACIÓN",Q151)))</formula>
    </cfRule>
  </conditionalFormatting>
  <conditionalFormatting sqref="R151">
    <cfRule type="containsBlanks" dxfId="2544" priority="2151">
      <formula>LEN(TRIM(R151))=0</formula>
    </cfRule>
    <cfRule type="cellIs" dxfId="2543" priority="2153" operator="equal">
      <formula>"NO CUMPLEN CON LO SOLICITADO"</formula>
    </cfRule>
    <cfRule type="cellIs" dxfId="2542" priority="2154" operator="equal">
      <formula>"CUMPLEN CON LO SOLICITADO"</formula>
    </cfRule>
    <cfRule type="cellIs" dxfId="2541" priority="2155" operator="equal">
      <formula>"PENDIENTES"</formula>
    </cfRule>
    <cfRule type="cellIs" dxfId="2540" priority="2156" operator="equal">
      <formula>"NINGUNO"</formula>
    </cfRule>
  </conditionalFormatting>
  <conditionalFormatting sqref="P151">
    <cfRule type="expression" dxfId="2539" priority="2142">
      <formula>Q151="NO SUBSANABLE"</formula>
    </cfRule>
    <cfRule type="expression" dxfId="2538" priority="2143">
      <formula>Q151="REQUERIMIENTOS SUBSANADOS"</formula>
    </cfRule>
    <cfRule type="expression" dxfId="2537" priority="2144">
      <formula>Q151="PENDIENTES POR SUBSANAR"</formula>
    </cfRule>
    <cfRule type="expression" dxfId="2536" priority="2145">
      <formula>Q151="SIN OBSERVACIÓN"</formula>
    </cfRule>
    <cfRule type="containsBlanks" dxfId="2535" priority="2146">
      <formula>LEN(TRIM(P151))=0</formula>
    </cfRule>
  </conditionalFormatting>
  <conditionalFormatting sqref="N154">
    <cfRule type="expression" dxfId="2534" priority="2139">
      <formula>N154=" "</formula>
    </cfRule>
    <cfRule type="expression" dxfId="2533" priority="2140">
      <formula>N154="NO PRESENTÓ CERTIFICADO"</formula>
    </cfRule>
    <cfRule type="expression" dxfId="2532" priority="2141">
      <formula>N154="PRESENTÓ CERTIFICADO"</formula>
    </cfRule>
  </conditionalFormatting>
  <conditionalFormatting sqref="O154">
    <cfRule type="cellIs" dxfId="2531" priority="2121" operator="equal">
      <formula>"PENDIENTE POR DESCRIPCIÓN"</formula>
    </cfRule>
    <cfRule type="cellIs" dxfId="2530" priority="2122" operator="equal">
      <formula>"DESCRIPCIÓN INSUFICIENTE"</formula>
    </cfRule>
    <cfRule type="cellIs" dxfId="2529" priority="2123" operator="equal">
      <formula>"NO ESTÁ ACORDE A ITEM 5.2.2 (T.R.)"</formula>
    </cfRule>
    <cfRule type="cellIs" dxfId="2528" priority="2124" operator="equal">
      <formula>"ACORDE A ITEM 5.2.2 (T.R.)"</formula>
    </cfRule>
    <cfRule type="cellIs" dxfId="2527" priority="2131" operator="equal">
      <formula>"PENDIENTE POR DESCRIPCIÓN"</formula>
    </cfRule>
    <cfRule type="cellIs" dxfId="2526" priority="2133" operator="equal">
      <formula>"DESCRIPCIÓN INSUFICIENTE"</formula>
    </cfRule>
    <cfRule type="cellIs" dxfId="2525" priority="2134" operator="equal">
      <formula>"NO ESTÁ ACORDE A ITEM 5.2.1 (T.R.)"</formula>
    </cfRule>
    <cfRule type="cellIs" dxfId="2524" priority="2135" operator="equal">
      <formula>"ACORDE A ITEM 5.2.1 (T.R.)"</formula>
    </cfRule>
  </conditionalFormatting>
  <conditionalFormatting sqref="Q154">
    <cfRule type="containsBlanks" dxfId="2523" priority="2126">
      <formula>LEN(TRIM(Q154))=0</formula>
    </cfRule>
    <cfRule type="cellIs" dxfId="2522" priority="2132" operator="equal">
      <formula>"REQUERIMIENTOS SUBSANADOS"</formula>
    </cfRule>
    <cfRule type="containsText" dxfId="2521" priority="2136" operator="containsText" text="NO SUBSANABLE">
      <formula>NOT(ISERROR(SEARCH("NO SUBSANABLE",Q154)))</formula>
    </cfRule>
    <cfRule type="containsText" dxfId="2520" priority="2137" operator="containsText" text="PENDIENTES POR SUBSANAR">
      <formula>NOT(ISERROR(SEARCH("PENDIENTES POR SUBSANAR",Q154)))</formula>
    </cfRule>
    <cfRule type="containsText" dxfId="2519" priority="2138" operator="containsText" text="SIN OBSERVACIÓN">
      <formula>NOT(ISERROR(SEARCH("SIN OBSERVACIÓN",Q154)))</formula>
    </cfRule>
  </conditionalFormatting>
  <conditionalFormatting sqref="R154">
    <cfRule type="containsBlanks" dxfId="2518" priority="2125">
      <formula>LEN(TRIM(R154))=0</formula>
    </cfRule>
    <cfRule type="cellIs" dxfId="2517" priority="2127" operator="equal">
      <formula>"NO CUMPLEN CON LO SOLICITADO"</formula>
    </cfRule>
    <cfRule type="cellIs" dxfId="2516" priority="2128" operator="equal">
      <formula>"CUMPLEN CON LO SOLICITADO"</formula>
    </cfRule>
    <cfRule type="cellIs" dxfId="2515" priority="2129" operator="equal">
      <formula>"PENDIENTES"</formula>
    </cfRule>
    <cfRule type="cellIs" dxfId="2514" priority="2130" operator="equal">
      <formula>"NINGUNO"</formula>
    </cfRule>
  </conditionalFormatting>
  <conditionalFormatting sqref="P154">
    <cfRule type="expression" dxfId="2513" priority="2116">
      <formula>Q154="NO SUBSANABLE"</formula>
    </cfRule>
    <cfRule type="expression" dxfId="2512" priority="2117">
      <formula>Q154="REQUERIMIENTOS SUBSANADOS"</formula>
    </cfRule>
    <cfRule type="expression" dxfId="2511" priority="2118">
      <formula>Q154="PENDIENTES POR SUBSANAR"</formula>
    </cfRule>
    <cfRule type="expression" dxfId="2510" priority="2119">
      <formula>Q154="SIN OBSERVACIÓN"</formula>
    </cfRule>
    <cfRule type="containsBlanks" dxfId="2509" priority="2120">
      <formula>LEN(TRIM(P154))=0</formula>
    </cfRule>
  </conditionalFormatting>
  <conditionalFormatting sqref="K35">
    <cfRule type="expression" dxfId="2508" priority="2114">
      <formula>J35="NO CUMPLE"</formula>
    </cfRule>
    <cfRule type="expression" dxfId="2507" priority="2115">
      <formula>J35="CUMPLE"</formula>
    </cfRule>
  </conditionalFormatting>
  <conditionalFormatting sqref="K36:K37">
    <cfRule type="expression" dxfId="2506" priority="2112">
      <formula>J36="NO CUMPLE"</formula>
    </cfRule>
    <cfRule type="expression" dxfId="2505" priority="2113">
      <formula>J36="CUMPLE"</formula>
    </cfRule>
  </conditionalFormatting>
  <conditionalFormatting sqref="K57">
    <cfRule type="expression" dxfId="2504" priority="2110">
      <formula>J57="NO CUMPLE"</formula>
    </cfRule>
    <cfRule type="expression" dxfId="2503" priority="2111">
      <formula>J57="CUMPLE"</formula>
    </cfRule>
  </conditionalFormatting>
  <conditionalFormatting sqref="K58:K59">
    <cfRule type="expression" dxfId="2502" priority="2108">
      <formula>J58="NO CUMPLE"</formula>
    </cfRule>
    <cfRule type="expression" dxfId="2501" priority="2109">
      <formula>J58="CUMPLE"</formula>
    </cfRule>
  </conditionalFormatting>
  <conditionalFormatting sqref="K79">
    <cfRule type="expression" dxfId="2500" priority="2106">
      <formula>J79="NO CUMPLE"</formula>
    </cfRule>
    <cfRule type="expression" dxfId="2499" priority="2107">
      <formula>J79="CUMPLE"</formula>
    </cfRule>
  </conditionalFormatting>
  <conditionalFormatting sqref="K80:K81">
    <cfRule type="expression" dxfId="2498" priority="2104">
      <formula>J80="NO CUMPLE"</formula>
    </cfRule>
    <cfRule type="expression" dxfId="2497" priority="2105">
      <formula>J80="CUMPLE"</formula>
    </cfRule>
  </conditionalFormatting>
  <conditionalFormatting sqref="K101">
    <cfRule type="expression" dxfId="2496" priority="2102">
      <formula>J101="NO CUMPLE"</formula>
    </cfRule>
    <cfRule type="expression" dxfId="2495" priority="2103">
      <formula>J101="CUMPLE"</formula>
    </cfRule>
  </conditionalFormatting>
  <conditionalFormatting sqref="K102:K103">
    <cfRule type="expression" dxfId="2494" priority="2100">
      <formula>J102="NO CUMPLE"</formula>
    </cfRule>
    <cfRule type="expression" dxfId="2493" priority="2101">
      <formula>J102="CUMPLE"</formula>
    </cfRule>
  </conditionalFormatting>
  <conditionalFormatting sqref="K123">
    <cfRule type="expression" dxfId="2492" priority="2098">
      <formula>J123="NO CUMPLE"</formula>
    </cfRule>
    <cfRule type="expression" dxfId="2491" priority="2099">
      <formula>J123="CUMPLE"</formula>
    </cfRule>
  </conditionalFormatting>
  <conditionalFormatting sqref="K124:K125">
    <cfRule type="expression" dxfId="2490" priority="2096">
      <formula>J124="NO CUMPLE"</formula>
    </cfRule>
    <cfRule type="expression" dxfId="2489" priority="2097">
      <formula>J124="CUMPLE"</formula>
    </cfRule>
  </conditionalFormatting>
  <conditionalFormatting sqref="K145">
    <cfRule type="expression" dxfId="2488" priority="2094">
      <formula>J145="NO CUMPLE"</formula>
    </cfRule>
    <cfRule type="expression" dxfId="2487" priority="2095">
      <formula>J145="CUMPLE"</formula>
    </cfRule>
  </conditionalFormatting>
  <conditionalFormatting sqref="K146:K147">
    <cfRule type="expression" dxfId="2486" priority="2092">
      <formula>J146="NO CUMPLE"</formula>
    </cfRule>
    <cfRule type="expression" dxfId="2485" priority="2093">
      <formula>J146="CUMPLE"</formula>
    </cfRule>
  </conditionalFormatting>
  <conditionalFormatting sqref="J167">
    <cfRule type="cellIs" dxfId="2484" priority="2090" operator="equal">
      <formula>"NO CUMPLE"</formula>
    </cfRule>
    <cfRule type="cellIs" dxfId="2483" priority="2091" operator="equal">
      <formula>"CUMPLE"</formula>
    </cfRule>
  </conditionalFormatting>
  <conditionalFormatting sqref="K167">
    <cfRule type="expression" dxfId="2482" priority="2088">
      <formula>J167="NO CUMPLE"</formula>
    </cfRule>
    <cfRule type="expression" dxfId="2481" priority="2089">
      <formula>J167="CUMPLE"</formula>
    </cfRule>
  </conditionalFormatting>
  <conditionalFormatting sqref="K168:K169">
    <cfRule type="expression" dxfId="2480" priority="2086">
      <formula>J168="NO CUMPLE"</formula>
    </cfRule>
    <cfRule type="expression" dxfId="2479" priority="2087">
      <formula>J168="CUMPLE"</formula>
    </cfRule>
  </conditionalFormatting>
  <conditionalFormatting sqref="J189">
    <cfRule type="cellIs" dxfId="2478" priority="2084" operator="equal">
      <formula>"NO CUMPLE"</formula>
    </cfRule>
    <cfRule type="cellIs" dxfId="2477" priority="2085" operator="equal">
      <formula>"CUMPLE"</formula>
    </cfRule>
  </conditionalFormatting>
  <conditionalFormatting sqref="J190:J191">
    <cfRule type="cellIs" dxfId="2476" priority="2082" operator="equal">
      <formula>"NO CUMPLE"</formula>
    </cfRule>
    <cfRule type="cellIs" dxfId="2475" priority="2083" operator="equal">
      <formula>"CUMPLE"</formula>
    </cfRule>
  </conditionalFormatting>
  <conditionalFormatting sqref="K189">
    <cfRule type="expression" dxfId="2474" priority="2080">
      <formula>J189="NO CUMPLE"</formula>
    </cfRule>
    <cfRule type="expression" dxfId="2473" priority="2081">
      <formula>J189="CUMPLE"</formula>
    </cfRule>
  </conditionalFormatting>
  <conditionalFormatting sqref="K190:K191">
    <cfRule type="expression" dxfId="2472" priority="2078">
      <formula>J190="NO CUMPLE"</formula>
    </cfRule>
    <cfRule type="expression" dxfId="2471" priority="2079">
      <formula>J190="CUMPLE"</formula>
    </cfRule>
  </conditionalFormatting>
  <conditionalFormatting sqref="S211">
    <cfRule type="cellIs" dxfId="2470" priority="2076" operator="greaterThan">
      <formula>0</formula>
    </cfRule>
    <cfRule type="top10" dxfId="2469" priority="2077" rank="10"/>
  </conditionalFormatting>
  <conditionalFormatting sqref="B226">
    <cfRule type="cellIs" dxfId="2468" priority="2074" operator="equal">
      <formula>"NO CUMPLE CON LA EXPERIENCIA REQUERIDA"</formula>
    </cfRule>
    <cfRule type="cellIs" dxfId="2467" priority="2075" operator="equal">
      <formula>"CUMPLE CON LA EXPERIENCIA REQUERIDA"</formula>
    </cfRule>
  </conditionalFormatting>
  <conditionalFormatting sqref="H211 H214 H217 H220 H223">
    <cfRule type="notContainsBlanks" dxfId="2466" priority="2073">
      <formula>LEN(TRIM(H211))&gt;0</formula>
    </cfRule>
  </conditionalFormatting>
  <conditionalFormatting sqref="G211">
    <cfRule type="notContainsBlanks" dxfId="2465" priority="2072">
      <formula>LEN(TRIM(G211))&gt;0</formula>
    </cfRule>
  </conditionalFormatting>
  <conditionalFormatting sqref="F211">
    <cfRule type="notContainsBlanks" dxfId="2464" priority="2071">
      <formula>LEN(TRIM(F211))&gt;0</formula>
    </cfRule>
  </conditionalFormatting>
  <conditionalFormatting sqref="E211">
    <cfRule type="notContainsBlanks" dxfId="2463" priority="2070">
      <formula>LEN(TRIM(E211))&gt;0</formula>
    </cfRule>
  </conditionalFormatting>
  <conditionalFormatting sqref="D211">
    <cfRule type="notContainsBlanks" dxfId="2462" priority="2069">
      <formula>LEN(TRIM(D211))&gt;0</formula>
    </cfRule>
  </conditionalFormatting>
  <conditionalFormatting sqref="C211">
    <cfRule type="notContainsBlanks" dxfId="2461" priority="2068">
      <formula>LEN(TRIM(C211))&gt;0</formula>
    </cfRule>
  </conditionalFormatting>
  <conditionalFormatting sqref="I211">
    <cfRule type="notContainsBlanks" dxfId="2460" priority="2067">
      <formula>LEN(TRIM(I211))&gt;0</formula>
    </cfRule>
  </conditionalFormatting>
  <conditionalFormatting sqref="S214">
    <cfRule type="cellIs" dxfId="2459" priority="2065" operator="greaterThan">
      <formula>0</formula>
    </cfRule>
    <cfRule type="top10" dxfId="2458" priority="2066" rank="10"/>
  </conditionalFormatting>
  <conditionalFormatting sqref="S217">
    <cfRule type="cellIs" dxfId="2457" priority="2063" operator="greaterThan">
      <formula>0</formula>
    </cfRule>
    <cfRule type="top10" dxfId="2456" priority="2064" rank="10"/>
  </conditionalFormatting>
  <conditionalFormatting sqref="G217">
    <cfRule type="notContainsBlanks" dxfId="2455" priority="2062">
      <formula>LEN(TRIM(G217))&gt;0</formula>
    </cfRule>
  </conditionalFormatting>
  <conditionalFormatting sqref="F217">
    <cfRule type="notContainsBlanks" dxfId="2454" priority="2061">
      <formula>LEN(TRIM(F217))&gt;0</formula>
    </cfRule>
  </conditionalFormatting>
  <conditionalFormatting sqref="E217">
    <cfRule type="notContainsBlanks" dxfId="2453" priority="2060">
      <formula>LEN(TRIM(E217))&gt;0</formula>
    </cfRule>
  </conditionalFormatting>
  <conditionalFormatting sqref="D217">
    <cfRule type="notContainsBlanks" dxfId="2452" priority="2059">
      <formula>LEN(TRIM(D217))&gt;0</formula>
    </cfRule>
  </conditionalFormatting>
  <conditionalFormatting sqref="C217">
    <cfRule type="notContainsBlanks" dxfId="2451" priority="2058">
      <formula>LEN(TRIM(C217))&gt;0</formula>
    </cfRule>
  </conditionalFormatting>
  <conditionalFormatting sqref="I217">
    <cfRule type="notContainsBlanks" dxfId="2450" priority="2057">
      <formula>LEN(TRIM(I217))&gt;0</formula>
    </cfRule>
  </conditionalFormatting>
  <conditionalFormatting sqref="S220">
    <cfRule type="cellIs" dxfId="2449" priority="2055" operator="greaterThan">
      <formula>0</formula>
    </cfRule>
    <cfRule type="top10" dxfId="2448" priority="2056" rank="10"/>
  </conditionalFormatting>
  <conditionalFormatting sqref="S223">
    <cfRule type="cellIs" dxfId="2447" priority="2053" operator="greaterThan">
      <formula>0</formula>
    </cfRule>
    <cfRule type="top10" dxfId="2446" priority="2054" rank="10"/>
  </conditionalFormatting>
  <conditionalFormatting sqref="G223">
    <cfRule type="notContainsBlanks" dxfId="2445" priority="2052">
      <formula>LEN(TRIM(G223))&gt;0</formula>
    </cfRule>
  </conditionalFormatting>
  <conditionalFormatting sqref="F223">
    <cfRule type="notContainsBlanks" dxfId="2444" priority="2051">
      <formula>LEN(TRIM(F223))&gt;0</formula>
    </cfRule>
  </conditionalFormatting>
  <conditionalFormatting sqref="E223">
    <cfRule type="notContainsBlanks" dxfId="2443" priority="2050">
      <formula>LEN(TRIM(E223))&gt;0</formula>
    </cfRule>
  </conditionalFormatting>
  <conditionalFormatting sqref="D223">
    <cfRule type="notContainsBlanks" dxfId="2442" priority="2049">
      <formula>LEN(TRIM(D223))&gt;0</formula>
    </cfRule>
  </conditionalFormatting>
  <conditionalFormatting sqref="C223">
    <cfRule type="notContainsBlanks" dxfId="2441" priority="2048">
      <formula>LEN(TRIM(C223))&gt;0</formula>
    </cfRule>
  </conditionalFormatting>
  <conditionalFormatting sqref="I223">
    <cfRule type="notContainsBlanks" dxfId="2440" priority="2047">
      <formula>LEN(TRIM(I223))&gt;0</formula>
    </cfRule>
  </conditionalFormatting>
  <conditionalFormatting sqref="G214">
    <cfRule type="notContainsBlanks" dxfId="2439" priority="2046">
      <formula>LEN(TRIM(G214))&gt;0</formula>
    </cfRule>
  </conditionalFormatting>
  <conditionalFormatting sqref="F214">
    <cfRule type="notContainsBlanks" dxfId="2438" priority="2045">
      <formula>LEN(TRIM(F214))&gt;0</formula>
    </cfRule>
  </conditionalFormatting>
  <conditionalFormatting sqref="E214">
    <cfRule type="notContainsBlanks" dxfId="2437" priority="2044">
      <formula>LEN(TRIM(E214))&gt;0</formula>
    </cfRule>
  </conditionalFormatting>
  <conditionalFormatting sqref="D214">
    <cfRule type="notContainsBlanks" dxfId="2436" priority="2043">
      <formula>LEN(TRIM(D214))&gt;0</formula>
    </cfRule>
  </conditionalFormatting>
  <conditionalFormatting sqref="C214">
    <cfRule type="notContainsBlanks" dxfId="2435" priority="2042">
      <formula>LEN(TRIM(C214))&gt;0</formula>
    </cfRule>
  </conditionalFormatting>
  <conditionalFormatting sqref="G220">
    <cfRule type="notContainsBlanks" dxfId="2434" priority="2041">
      <formula>LEN(TRIM(G220))&gt;0</formula>
    </cfRule>
  </conditionalFormatting>
  <conditionalFormatting sqref="F220">
    <cfRule type="notContainsBlanks" dxfId="2433" priority="2040">
      <formula>LEN(TRIM(F220))&gt;0</formula>
    </cfRule>
  </conditionalFormatting>
  <conditionalFormatting sqref="E220">
    <cfRule type="notContainsBlanks" dxfId="2432" priority="2039">
      <formula>LEN(TRIM(E220))&gt;0</formula>
    </cfRule>
  </conditionalFormatting>
  <conditionalFormatting sqref="D220">
    <cfRule type="notContainsBlanks" dxfId="2431" priority="2038">
      <formula>LEN(TRIM(D220))&gt;0</formula>
    </cfRule>
  </conditionalFormatting>
  <conditionalFormatting sqref="C220">
    <cfRule type="notContainsBlanks" dxfId="2430" priority="2037">
      <formula>LEN(TRIM(C220))&gt;0</formula>
    </cfRule>
  </conditionalFormatting>
  <conditionalFormatting sqref="I214">
    <cfRule type="notContainsBlanks" dxfId="2429" priority="2036">
      <formula>LEN(TRIM(I214))&gt;0</formula>
    </cfRule>
  </conditionalFormatting>
  <conditionalFormatting sqref="I220">
    <cfRule type="notContainsBlanks" dxfId="2428" priority="2035">
      <formula>LEN(TRIM(I220))&gt;0</formula>
    </cfRule>
  </conditionalFormatting>
  <conditionalFormatting sqref="S226">
    <cfRule type="expression" dxfId="2427" priority="2033">
      <formula>$S$28&gt;0</formula>
    </cfRule>
    <cfRule type="cellIs" dxfId="2426" priority="2034" operator="equal">
      <formula>0</formula>
    </cfRule>
  </conditionalFormatting>
  <conditionalFormatting sqref="S227">
    <cfRule type="expression" dxfId="2425" priority="2031">
      <formula>$S$28&gt;0</formula>
    </cfRule>
    <cfRule type="cellIs" dxfId="2424" priority="2032" operator="equal">
      <formula>0</formula>
    </cfRule>
  </conditionalFormatting>
  <conditionalFormatting sqref="N223">
    <cfRule type="expression" dxfId="2423" priority="2028">
      <formula>N223=" "</formula>
    </cfRule>
    <cfRule type="expression" dxfId="2422" priority="2029">
      <formula>N223="NO PRESENTÓ CERTIFICADO"</formula>
    </cfRule>
    <cfRule type="expression" dxfId="2421" priority="2030">
      <formula>N223="PRESENTÓ CERTIFICADO"</formula>
    </cfRule>
  </conditionalFormatting>
  <conditionalFormatting sqref="O223">
    <cfRule type="cellIs" dxfId="2420" priority="2010" operator="equal">
      <formula>"PENDIENTE POR DESCRIPCIÓN"</formula>
    </cfRule>
    <cfRule type="cellIs" dxfId="2419" priority="2011" operator="equal">
      <formula>"DESCRIPCIÓN INSUFICIENTE"</formula>
    </cfRule>
    <cfRule type="cellIs" dxfId="2418" priority="2012" operator="equal">
      <formula>"NO ESTÁ ACORDE A ITEM 5.2.2 (T.R.)"</formula>
    </cfRule>
    <cfRule type="cellIs" dxfId="2417" priority="2013" operator="equal">
      <formula>"ACORDE A ITEM 5.2.2 (T.R.)"</formula>
    </cfRule>
    <cfRule type="cellIs" dxfId="2416" priority="2020" operator="equal">
      <formula>"PENDIENTE POR DESCRIPCIÓN"</formula>
    </cfRule>
    <cfRule type="cellIs" dxfId="2415" priority="2022" operator="equal">
      <formula>"DESCRIPCIÓN INSUFICIENTE"</formula>
    </cfRule>
    <cfRule type="cellIs" dxfId="2414" priority="2023" operator="equal">
      <formula>"NO ESTÁ ACORDE A ITEM 5.2.1 (T.R.)"</formula>
    </cfRule>
    <cfRule type="cellIs" dxfId="2413" priority="2024" operator="equal">
      <formula>"ACORDE A ITEM 5.2.1 (T.R.)"</formula>
    </cfRule>
  </conditionalFormatting>
  <conditionalFormatting sqref="Q223">
    <cfRule type="containsBlanks" dxfId="2412" priority="2015">
      <formula>LEN(TRIM(Q223))=0</formula>
    </cfRule>
    <cfRule type="cellIs" dxfId="2411" priority="2021" operator="equal">
      <formula>"REQUERIMIENTOS SUBSANADOS"</formula>
    </cfRule>
    <cfRule type="containsText" dxfId="2410" priority="2025" operator="containsText" text="NO SUBSANABLE">
      <formula>NOT(ISERROR(SEARCH("NO SUBSANABLE",Q223)))</formula>
    </cfRule>
    <cfRule type="containsText" dxfId="2409" priority="2026" operator="containsText" text="PENDIENTES POR SUBSANAR">
      <formula>NOT(ISERROR(SEARCH("PENDIENTES POR SUBSANAR",Q223)))</formula>
    </cfRule>
    <cfRule type="containsText" dxfId="2408" priority="2027" operator="containsText" text="SIN OBSERVACIÓN">
      <formula>NOT(ISERROR(SEARCH("SIN OBSERVACIÓN",Q223)))</formula>
    </cfRule>
  </conditionalFormatting>
  <conditionalFormatting sqref="R223">
    <cfRule type="containsBlanks" dxfId="2407" priority="2014">
      <formula>LEN(TRIM(R223))=0</formula>
    </cfRule>
    <cfRule type="cellIs" dxfId="2406" priority="2016" operator="equal">
      <formula>"NO CUMPLEN CON LO SOLICITADO"</formula>
    </cfRule>
    <cfRule type="cellIs" dxfId="2405" priority="2017" operator="equal">
      <formula>"CUMPLEN CON LO SOLICITADO"</formula>
    </cfRule>
    <cfRule type="cellIs" dxfId="2404" priority="2018" operator="equal">
      <formula>"PENDIENTES"</formula>
    </cfRule>
    <cfRule type="cellIs" dxfId="2403" priority="2019" operator="equal">
      <formula>"NINGUNO"</formula>
    </cfRule>
  </conditionalFormatting>
  <conditionalFormatting sqref="P214 P217 P220 P223">
    <cfRule type="expression" dxfId="2402" priority="2005">
      <formula>Q214="NO SUBSANABLE"</formula>
    </cfRule>
    <cfRule type="expression" dxfId="2401" priority="2006">
      <formula>Q214="REQUERIMIENTOS SUBSANADOS"</formula>
    </cfRule>
    <cfRule type="expression" dxfId="2400" priority="2007">
      <formula>Q214="PENDIENTES POR SUBSANAR"</formula>
    </cfRule>
    <cfRule type="expression" dxfId="2399" priority="2008">
      <formula>Q214="SIN OBSERVACIÓN"</formula>
    </cfRule>
    <cfRule type="containsBlanks" dxfId="2398" priority="2009">
      <formula>LEN(TRIM(P214))=0</formula>
    </cfRule>
  </conditionalFormatting>
  <conditionalFormatting sqref="N214">
    <cfRule type="expression" dxfId="2397" priority="2002">
      <formula>N214=" "</formula>
    </cfRule>
    <cfRule type="expression" dxfId="2396" priority="2003">
      <formula>N214="NO PRESENTÓ CERTIFICADO"</formula>
    </cfRule>
    <cfRule type="expression" dxfId="2395" priority="2004">
      <formula>N214="PRESENTÓ CERTIFICADO"</formula>
    </cfRule>
  </conditionalFormatting>
  <conditionalFormatting sqref="N217">
    <cfRule type="expression" dxfId="2394" priority="1999">
      <formula>N217=" "</formula>
    </cfRule>
    <cfRule type="expression" dxfId="2393" priority="2000">
      <formula>N217="NO PRESENTÓ CERTIFICADO"</formula>
    </cfRule>
    <cfRule type="expression" dxfId="2392" priority="2001">
      <formula>N217="PRESENTÓ CERTIFICADO"</formula>
    </cfRule>
  </conditionalFormatting>
  <conditionalFormatting sqref="N220">
    <cfRule type="expression" dxfId="2391" priority="1996">
      <formula>N220=" "</formula>
    </cfRule>
    <cfRule type="expression" dxfId="2390" priority="1997">
      <formula>N220="NO PRESENTÓ CERTIFICADO"</formula>
    </cfRule>
    <cfRule type="expression" dxfId="2389" priority="1998">
      <formula>N220="PRESENTÓ CERTIFICADO"</formula>
    </cfRule>
  </conditionalFormatting>
  <conditionalFormatting sqref="O214">
    <cfRule type="cellIs" dxfId="2388" priority="1988" operator="equal">
      <formula>"PENDIENTE POR DESCRIPCIÓN"</formula>
    </cfRule>
    <cfRule type="cellIs" dxfId="2387" priority="1989" operator="equal">
      <formula>"DESCRIPCIÓN INSUFICIENTE"</formula>
    </cfRule>
    <cfRule type="cellIs" dxfId="2386" priority="1990" operator="equal">
      <formula>"NO ESTÁ ACORDE A ITEM 5.2.2 (T.R.)"</formula>
    </cfRule>
    <cfRule type="cellIs" dxfId="2385" priority="1991" operator="equal">
      <formula>"ACORDE A ITEM 5.2.2 (T.R.)"</formula>
    </cfRule>
    <cfRule type="cellIs" dxfId="2384" priority="1992" operator="equal">
      <formula>"PENDIENTE POR DESCRIPCIÓN"</formula>
    </cfRule>
    <cfRule type="cellIs" dxfId="2383" priority="1993" operator="equal">
      <formula>"DESCRIPCIÓN INSUFICIENTE"</formula>
    </cfRule>
    <cfRule type="cellIs" dxfId="2382" priority="1994" operator="equal">
      <formula>"NO ESTÁ ACORDE A ITEM 5.2.1 (T.R.)"</formula>
    </cfRule>
    <cfRule type="cellIs" dxfId="2381" priority="1995" operator="equal">
      <formula>"ACORDE A ITEM 5.2.1 (T.R.)"</formula>
    </cfRule>
  </conditionalFormatting>
  <conditionalFormatting sqref="O217">
    <cfRule type="cellIs" dxfId="2380" priority="1980" operator="equal">
      <formula>"PENDIENTE POR DESCRIPCIÓN"</formula>
    </cfRule>
    <cfRule type="cellIs" dxfId="2379" priority="1981" operator="equal">
      <formula>"DESCRIPCIÓN INSUFICIENTE"</formula>
    </cfRule>
    <cfRule type="cellIs" dxfId="2378" priority="1982" operator="equal">
      <formula>"NO ESTÁ ACORDE A ITEM 5.2.2 (T.R.)"</formula>
    </cfRule>
    <cfRule type="cellIs" dxfId="2377" priority="1983" operator="equal">
      <formula>"ACORDE A ITEM 5.2.2 (T.R.)"</formula>
    </cfRule>
    <cfRule type="cellIs" dxfId="2376" priority="1984" operator="equal">
      <formula>"PENDIENTE POR DESCRIPCIÓN"</formula>
    </cfRule>
    <cfRule type="cellIs" dxfId="2375" priority="1985" operator="equal">
      <formula>"DESCRIPCIÓN INSUFICIENTE"</formula>
    </cfRule>
    <cfRule type="cellIs" dxfId="2374" priority="1986" operator="equal">
      <formula>"NO ESTÁ ACORDE A ITEM 5.2.1 (T.R.)"</formula>
    </cfRule>
    <cfRule type="cellIs" dxfId="2373" priority="1987" operator="equal">
      <formula>"ACORDE A ITEM 5.2.1 (T.R.)"</formula>
    </cfRule>
  </conditionalFormatting>
  <conditionalFormatting sqref="O220">
    <cfRule type="cellIs" dxfId="2372" priority="1972" operator="equal">
      <formula>"PENDIENTE POR DESCRIPCIÓN"</formula>
    </cfRule>
    <cfRule type="cellIs" dxfId="2371" priority="1973" operator="equal">
      <formula>"DESCRIPCIÓN INSUFICIENTE"</formula>
    </cfRule>
    <cfRule type="cellIs" dxfId="2370" priority="1974" operator="equal">
      <formula>"NO ESTÁ ACORDE A ITEM 5.2.2 (T.R.)"</formula>
    </cfRule>
    <cfRule type="cellIs" dxfId="2369" priority="1975" operator="equal">
      <formula>"ACORDE A ITEM 5.2.2 (T.R.)"</formula>
    </cfRule>
    <cfRule type="cellIs" dxfId="2368" priority="1976" operator="equal">
      <formula>"PENDIENTE POR DESCRIPCIÓN"</formula>
    </cfRule>
    <cfRule type="cellIs" dxfId="2367" priority="1977" operator="equal">
      <formula>"DESCRIPCIÓN INSUFICIENTE"</formula>
    </cfRule>
    <cfRule type="cellIs" dxfId="2366" priority="1978" operator="equal">
      <formula>"NO ESTÁ ACORDE A ITEM 5.2.1 (T.R.)"</formula>
    </cfRule>
    <cfRule type="cellIs" dxfId="2365" priority="1979" operator="equal">
      <formula>"ACORDE A ITEM 5.2.1 (T.R.)"</formula>
    </cfRule>
  </conditionalFormatting>
  <conditionalFormatting sqref="Q214">
    <cfRule type="containsBlanks" dxfId="2364" priority="1963">
      <formula>LEN(TRIM(Q214))=0</formula>
    </cfRule>
    <cfRule type="cellIs" dxfId="2363" priority="1968" operator="equal">
      <formula>"REQUERIMIENTOS SUBSANADOS"</formula>
    </cfRule>
    <cfRule type="containsText" dxfId="2362" priority="1969" operator="containsText" text="NO SUBSANABLE">
      <formula>NOT(ISERROR(SEARCH("NO SUBSANABLE",Q214)))</formula>
    </cfRule>
    <cfRule type="containsText" dxfId="2361" priority="1970" operator="containsText" text="PENDIENTES POR SUBSANAR">
      <formula>NOT(ISERROR(SEARCH("PENDIENTES POR SUBSANAR",Q214)))</formula>
    </cfRule>
    <cfRule type="containsText" dxfId="2360" priority="1971" operator="containsText" text="SIN OBSERVACIÓN">
      <formula>NOT(ISERROR(SEARCH("SIN OBSERVACIÓN",Q214)))</formula>
    </cfRule>
  </conditionalFormatting>
  <conditionalFormatting sqref="R214">
    <cfRule type="containsBlanks" dxfId="2359" priority="1962">
      <formula>LEN(TRIM(R214))=0</formula>
    </cfRule>
    <cfRule type="cellIs" dxfId="2358" priority="1964" operator="equal">
      <formula>"NO CUMPLEN CON LO SOLICITADO"</formula>
    </cfRule>
    <cfRule type="cellIs" dxfId="2357" priority="1965" operator="equal">
      <formula>"CUMPLEN CON LO SOLICITADO"</formula>
    </cfRule>
    <cfRule type="cellIs" dxfId="2356" priority="1966" operator="equal">
      <formula>"PENDIENTES"</formula>
    </cfRule>
    <cfRule type="cellIs" dxfId="2355" priority="1967" operator="equal">
      <formula>"NINGUNO"</formula>
    </cfRule>
  </conditionalFormatting>
  <conditionalFormatting sqref="Q217">
    <cfRule type="containsBlanks" dxfId="2354" priority="1953">
      <formula>LEN(TRIM(Q217))=0</formula>
    </cfRule>
    <cfRule type="cellIs" dxfId="2353" priority="1958" operator="equal">
      <formula>"REQUERIMIENTOS SUBSANADOS"</formula>
    </cfRule>
    <cfRule type="containsText" dxfId="2352" priority="1959" operator="containsText" text="NO SUBSANABLE">
      <formula>NOT(ISERROR(SEARCH("NO SUBSANABLE",Q217)))</formula>
    </cfRule>
    <cfRule type="containsText" dxfId="2351" priority="1960" operator="containsText" text="PENDIENTES POR SUBSANAR">
      <formula>NOT(ISERROR(SEARCH("PENDIENTES POR SUBSANAR",Q217)))</formula>
    </cfRule>
    <cfRule type="containsText" dxfId="2350" priority="1961" operator="containsText" text="SIN OBSERVACIÓN">
      <formula>NOT(ISERROR(SEARCH("SIN OBSERVACIÓN",Q217)))</formula>
    </cfRule>
  </conditionalFormatting>
  <conditionalFormatting sqref="R217">
    <cfRule type="containsBlanks" dxfId="2349" priority="1952">
      <formula>LEN(TRIM(R217))=0</formula>
    </cfRule>
    <cfRule type="cellIs" dxfId="2348" priority="1954" operator="equal">
      <formula>"NO CUMPLEN CON LO SOLICITADO"</formula>
    </cfRule>
    <cfRule type="cellIs" dxfId="2347" priority="1955" operator="equal">
      <formula>"CUMPLEN CON LO SOLICITADO"</formula>
    </cfRule>
    <cfRule type="cellIs" dxfId="2346" priority="1956" operator="equal">
      <formula>"PENDIENTES"</formula>
    </cfRule>
    <cfRule type="cellIs" dxfId="2345" priority="1957" operator="equal">
      <formula>"NINGUNO"</formula>
    </cfRule>
  </conditionalFormatting>
  <conditionalFormatting sqref="Q220">
    <cfRule type="containsBlanks" dxfId="2344" priority="1943">
      <formula>LEN(TRIM(Q220))=0</formula>
    </cfRule>
    <cfRule type="cellIs" dxfId="2343" priority="1948" operator="equal">
      <formula>"REQUERIMIENTOS SUBSANADOS"</formula>
    </cfRule>
    <cfRule type="containsText" dxfId="2342" priority="1949" operator="containsText" text="NO SUBSANABLE">
      <formula>NOT(ISERROR(SEARCH("NO SUBSANABLE",Q220)))</formula>
    </cfRule>
    <cfRule type="containsText" dxfId="2341" priority="1950" operator="containsText" text="PENDIENTES POR SUBSANAR">
      <formula>NOT(ISERROR(SEARCH("PENDIENTES POR SUBSANAR",Q220)))</formula>
    </cfRule>
    <cfRule type="containsText" dxfId="2340" priority="1951" operator="containsText" text="SIN OBSERVACIÓN">
      <formula>NOT(ISERROR(SEARCH("SIN OBSERVACIÓN",Q220)))</formula>
    </cfRule>
  </conditionalFormatting>
  <conditionalFormatting sqref="R220">
    <cfRule type="containsBlanks" dxfId="2339" priority="1942">
      <formula>LEN(TRIM(R220))=0</formula>
    </cfRule>
    <cfRule type="cellIs" dxfId="2338" priority="1944" operator="equal">
      <formula>"NO CUMPLEN CON LO SOLICITADO"</formula>
    </cfRule>
    <cfRule type="cellIs" dxfId="2337" priority="1945" operator="equal">
      <formula>"CUMPLEN CON LO SOLICITADO"</formula>
    </cfRule>
    <cfRule type="cellIs" dxfId="2336" priority="1946" operator="equal">
      <formula>"PENDIENTES"</formula>
    </cfRule>
    <cfRule type="cellIs" dxfId="2335" priority="1947" operator="equal">
      <formula>"NINGUNO"</formula>
    </cfRule>
  </conditionalFormatting>
  <conditionalFormatting sqref="M220">
    <cfRule type="expression" dxfId="2334" priority="1900">
      <formula>L220="NO CUMPLE"</formula>
    </cfRule>
    <cfRule type="expression" dxfId="2333" priority="1901">
      <formula>L220="CUMPLE"</formula>
    </cfRule>
  </conditionalFormatting>
  <conditionalFormatting sqref="L220:L221">
    <cfRule type="cellIs" dxfId="2332" priority="1898" operator="equal">
      <formula>"NO CUMPLE"</formula>
    </cfRule>
    <cfRule type="cellIs" dxfId="2331" priority="1899" operator="equal">
      <formula>"CUMPLE"</formula>
    </cfRule>
  </conditionalFormatting>
  <conditionalFormatting sqref="M221">
    <cfRule type="expression" dxfId="2330" priority="1896">
      <formula>L221="NO CUMPLE"</formula>
    </cfRule>
    <cfRule type="expression" dxfId="2329" priority="1897">
      <formula>L221="CUMPLE"</formula>
    </cfRule>
  </conditionalFormatting>
  <conditionalFormatting sqref="J214:J222">
    <cfRule type="cellIs" dxfId="2328" priority="1940" operator="equal">
      <formula>"NO CUMPLE"</formula>
    </cfRule>
    <cfRule type="cellIs" dxfId="2327" priority="1941" operator="equal">
      <formula>"CUMPLE"</formula>
    </cfRule>
  </conditionalFormatting>
  <conditionalFormatting sqref="K214">
    <cfRule type="expression" dxfId="2326" priority="1938">
      <formula>J214="NO CUMPLE"</formula>
    </cfRule>
    <cfRule type="expression" dxfId="2325" priority="1939">
      <formula>J214="CUMPLE"</formula>
    </cfRule>
  </conditionalFormatting>
  <conditionalFormatting sqref="K215:K216">
    <cfRule type="expression" dxfId="2324" priority="1936">
      <formula>J215="NO CUMPLE"</formula>
    </cfRule>
    <cfRule type="expression" dxfId="2323" priority="1937">
      <formula>J215="CUMPLE"</formula>
    </cfRule>
  </conditionalFormatting>
  <conditionalFormatting sqref="J223">
    <cfRule type="cellIs" dxfId="2322" priority="1934" operator="equal">
      <formula>"NO CUMPLE"</formula>
    </cfRule>
    <cfRule type="cellIs" dxfId="2321" priority="1935" operator="equal">
      <formula>"CUMPLE"</formula>
    </cfRule>
  </conditionalFormatting>
  <conditionalFormatting sqref="J224:J225">
    <cfRule type="cellIs" dxfId="2320" priority="1932" operator="equal">
      <formula>"NO CUMPLE"</formula>
    </cfRule>
    <cfRule type="cellIs" dxfId="2319" priority="1933" operator="equal">
      <formula>"CUMPLE"</formula>
    </cfRule>
  </conditionalFormatting>
  <conditionalFormatting sqref="K217">
    <cfRule type="expression" dxfId="2318" priority="1930">
      <formula>J217="NO CUMPLE"</formula>
    </cfRule>
    <cfRule type="expression" dxfId="2317" priority="1931">
      <formula>J217="CUMPLE"</formula>
    </cfRule>
  </conditionalFormatting>
  <conditionalFormatting sqref="K218:K219">
    <cfRule type="expression" dxfId="2316" priority="1928">
      <formula>J218="NO CUMPLE"</formula>
    </cfRule>
    <cfRule type="expression" dxfId="2315" priority="1929">
      <formula>J218="CUMPLE"</formula>
    </cfRule>
  </conditionalFormatting>
  <conditionalFormatting sqref="K220">
    <cfRule type="expression" dxfId="2314" priority="1926">
      <formula>J220="NO CUMPLE"</formula>
    </cfRule>
    <cfRule type="expression" dxfId="2313" priority="1927">
      <formula>J220="CUMPLE"</formula>
    </cfRule>
  </conditionalFormatting>
  <conditionalFormatting sqref="K221:K222">
    <cfRule type="expression" dxfId="2312" priority="1924">
      <formula>J221="NO CUMPLE"</formula>
    </cfRule>
    <cfRule type="expression" dxfId="2311" priority="1925">
      <formula>J221="CUMPLE"</formula>
    </cfRule>
  </conditionalFormatting>
  <conditionalFormatting sqref="K223">
    <cfRule type="expression" dxfId="2310" priority="1922">
      <formula>J223="NO CUMPLE"</formula>
    </cfRule>
    <cfRule type="expression" dxfId="2309" priority="1923">
      <formula>J223="CUMPLE"</formula>
    </cfRule>
  </conditionalFormatting>
  <conditionalFormatting sqref="K224:K225">
    <cfRule type="expression" dxfId="2308" priority="1920">
      <formula>J224="NO CUMPLE"</formula>
    </cfRule>
    <cfRule type="expression" dxfId="2307" priority="1921">
      <formula>J224="CUMPLE"</formula>
    </cfRule>
  </conditionalFormatting>
  <conditionalFormatting sqref="M215">
    <cfRule type="expression" dxfId="2306" priority="1908">
      <formula>L215="NO CUMPLE"</formula>
    </cfRule>
    <cfRule type="expression" dxfId="2305" priority="1909">
      <formula>L215="CUMPLE"</formula>
    </cfRule>
  </conditionalFormatting>
  <conditionalFormatting sqref="L214:L215">
    <cfRule type="cellIs" dxfId="2304" priority="1910" operator="equal">
      <formula>"NO CUMPLE"</formula>
    </cfRule>
    <cfRule type="cellIs" dxfId="2303" priority="1911" operator="equal">
      <formula>"CUMPLE"</formula>
    </cfRule>
  </conditionalFormatting>
  <conditionalFormatting sqref="M214">
    <cfRule type="expression" dxfId="2302" priority="1912">
      <formula>L214="NO CUMPLE"</formula>
    </cfRule>
    <cfRule type="expression" dxfId="2301" priority="1913">
      <formula>L214="CUMPLE"</formula>
    </cfRule>
  </conditionalFormatting>
  <conditionalFormatting sqref="M212">
    <cfRule type="expression" dxfId="2300" priority="1914">
      <formula>L212="NO CUMPLE"</formula>
    </cfRule>
    <cfRule type="expression" dxfId="2299" priority="1915">
      <formula>L212="CUMPLE"</formula>
    </cfRule>
  </conditionalFormatting>
  <conditionalFormatting sqref="M211">
    <cfRule type="expression" dxfId="2298" priority="1918">
      <formula>L211="NO CUMPLE"</formula>
    </cfRule>
    <cfRule type="expression" dxfId="2297" priority="1919">
      <formula>L211="CUMPLE"</formula>
    </cfRule>
  </conditionalFormatting>
  <conditionalFormatting sqref="L211:L212">
    <cfRule type="cellIs" dxfId="2296" priority="1916" operator="equal">
      <formula>"NO CUMPLE"</formula>
    </cfRule>
    <cfRule type="cellIs" dxfId="2295" priority="1917" operator="equal">
      <formula>"CUMPLE"</formula>
    </cfRule>
  </conditionalFormatting>
  <conditionalFormatting sqref="M218">
    <cfRule type="expression" dxfId="2294" priority="1902">
      <formula>L218="NO CUMPLE"</formula>
    </cfRule>
    <cfRule type="expression" dxfId="2293" priority="1903">
      <formula>L218="CUMPLE"</formula>
    </cfRule>
  </conditionalFormatting>
  <conditionalFormatting sqref="M217">
    <cfRule type="expression" dxfId="2292" priority="1906">
      <formula>L217="NO CUMPLE"</formula>
    </cfRule>
    <cfRule type="expression" dxfId="2291" priority="1907">
      <formula>L217="CUMPLE"</formula>
    </cfRule>
  </conditionalFormatting>
  <conditionalFormatting sqref="L217:L218">
    <cfRule type="cellIs" dxfId="2290" priority="1904" operator="equal">
      <formula>"NO CUMPLE"</formula>
    </cfRule>
    <cfRule type="cellIs" dxfId="2289" priority="1905" operator="equal">
      <formula>"CUMPLE"</formula>
    </cfRule>
  </conditionalFormatting>
  <conditionalFormatting sqref="M224">
    <cfRule type="expression" dxfId="2288" priority="1890">
      <formula>L224="NO CUMPLE"</formula>
    </cfRule>
    <cfRule type="expression" dxfId="2287" priority="1891">
      <formula>L224="CUMPLE"</formula>
    </cfRule>
  </conditionalFormatting>
  <conditionalFormatting sqref="M223">
    <cfRule type="expression" dxfId="2286" priority="1894">
      <formula>L223="NO CUMPLE"</formula>
    </cfRule>
    <cfRule type="expression" dxfId="2285" priority="1895">
      <formula>L223="CUMPLE"</formula>
    </cfRule>
  </conditionalFormatting>
  <conditionalFormatting sqref="L223:L224">
    <cfRule type="cellIs" dxfId="2284" priority="1892" operator="equal">
      <formula>"NO CUMPLE"</formula>
    </cfRule>
    <cfRule type="cellIs" dxfId="2283" priority="1893" operator="equal">
      <formula>"CUMPLE"</formula>
    </cfRule>
  </conditionalFormatting>
  <conditionalFormatting sqref="J211">
    <cfRule type="cellIs" dxfId="2282" priority="1888" operator="equal">
      <formula>"NO CUMPLE"</formula>
    </cfRule>
    <cfRule type="cellIs" dxfId="2281" priority="1889" operator="equal">
      <formula>"CUMPLE"</formula>
    </cfRule>
  </conditionalFormatting>
  <conditionalFormatting sqref="J212:J213">
    <cfRule type="cellIs" dxfId="2280" priority="1886" operator="equal">
      <formula>"NO CUMPLE"</formula>
    </cfRule>
    <cfRule type="cellIs" dxfId="2279" priority="1887" operator="equal">
      <formula>"CUMPLE"</formula>
    </cfRule>
  </conditionalFormatting>
  <conditionalFormatting sqref="K211">
    <cfRule type="expression" dxfId="2278" priority="1884">
      <formula>J211="NO CUMPLE"</formula>
    </cfRule>
    <cfRule type="expression" dxfId="2277" priority="1885">
      <formula>J211="CUMPLE"</formula>
    </cfRule>
  </conditionalFormatting>
  <conditionalFormatting sqref="K212:K213">
    <cfRule type="expression" dxfId="2276" priority="1882">
      <formula>J212="NO CUMPLE"</formula>
    </cfRule>
    <cfRule type="expression" dxfId="2275" priority="1883">
      <formula>J212="CUMPLE"</formula>
    </cfRule>
  </conditionalFormatting>
  <conditionalFormatting sqref="M41">
    <cfRule type="expression" dxfId="2274" priority="1868">
      <formula>L41="NO CUMPLE"</formula>
    </cfRule>
    <cfRule type="expression" dxfId="2273" priority="1869">
      <formula>L41="CUMPLE"</formula>
    </cfRule>
  </conditionalFormatting>
  <conditionalFormatting sqref="M42">
    <cfRule type="expression" dxfId="2272" priority="1866">
      <formula>L42="NO CUMPLE"</formula>
    </cfRule>
    <cfRule type="expression" dxfId="2271" priority="1867">
      <formula>L42="CUMPLE"</formula>
    </cfRule>
  </conditionalFormatting>
  <conditionalFormatting sqref="M17">
    <cfRule type="expression" dxfId="2270" priority="1878">
      <formula>L17="NO CUMPLE"</formula>
    </cfRule>
    <cfRule type="expression" dxfId="2269" priority="1879">
      <formula>L17="CUMPLE"</formula>
    </cfRule>
  </conditionalFormatting>
  <conditionalFormatting sqref="M16">
    <cfRule type="expression" dxfId="2268" priority="1880">
      <formula>L16="NO CUMPLE"</formula>
    </cfRule>
    <cfRule type="expression" dxfId="2267" priority="1881">
      <formula>L16="CUMPLE"</formula>
    </cfRule>
  </conditionalFormatting>
  <conditionalFormatting sqref="M36">
    <cfRule type="expression" dxfId="2266" priority="1874">
      <formula>L36="NO CUMPLE"</formula>
    </cfRule>
    <cfRule type="expression" dxfId="2265" priority="1875">
      <formula>L36="CUMPLE"</formula>
    </cfRule>
  </conditionalFormatting>
  <conditionalFormatting sqref="M35">
    <cfRule type="expression" dxfId="2264" priority="1876">
      <formula>L35="NO CUMPLE"</formula>
    </cfRule>
    <cfRule type="expression" dxfId="2263" priority="1877">
      <formula>L35="CUMPLE"</formula>
    </cfRule>
  </conditionalFormatting>
  <conditionalFormatting sqref="M39">
    <cfRule type="expression" dxfId="2262" priority="1870">
      <formula>L39="NO CUMPLE"</formula>
    </cfRule>
    <cfRule type="expression" dxfId="2261" priority="1871">
      <formula>L39="CUMPLE"</formula>
    </cfRule>
  </conditionalFormatting>
  <conditionalFormatting sqref="M38">
    <cfRule type="expression" dxfId="2260" priority="1872">
      <formula>L38="NO CUMPLE"</formula>
    </cfRule>
    <cfRule type="expression" dxfId="2259" priority="1873">
      <formula>L38="CUMPLE"</formula>
    </cfRule>
  </conditionalFormatting>
  <conditionalFormatting sqref="M45">
    <cfRule type="expression" dxfId="2258" priority="1862">
      <formula>L45="NO CUMPLE"</formula>
    </cfRule>
    <cfRule type="expression" dxfId="2257" priority="1863">
      <formula>L45="CUMPLE"</formula>
    </cfRule>
  </conditionalFormatting>
  <conditionalFormatting sqref="M44">
    <cfRule type="expression" dxfId="2256" priority="1864">
      <formula>L44="NO CUMPLE"</formula>
    </cfRule>
    <cfRule type="expression" dxfId="2255" priority="1865">
      <formula>L44="CUMPLE"</formula>
    </cfRule>
  </conditionalFormatting>
  <conditionalFormatting sqref="M48">
    <cfRule type="expression" dxfId="2254" priority="1858">
      <formula>L48="NO CUMPLE"</formula>
    </cfRule>
    <cfRule type="expression" dxfId="2253" priority="1859">
      <formula>L48="CUMPLE"</formula>
    </cfRule>
  </conditionalFormatting>
  <conditionalFormatting sqref="M47">
    <cfRule type="expression" dxfId="2252" priority="1860">
      <formula>L47="NO CUMPLE"</formula>
    </cfRule>
    <cfRule type="expression" dxfId="2251" priority="1861">
      <formula>L47="CUMPLE"</formula>
    </cfRule>
  </conditionalFormatting>
  <conditionalFormatting sqref="B248">
    <cfRule type="cellIs" dxfId="2250" priority="1856" operator="equal">
      <formula>"NO CUMPLE CON LA EXPERIENCIA REQUERIDA"</formula>
    </cfRule>
    <cfRule type="cellIs" dxfId="2249" priority="1857" operator="equal">
      <formula>"CUMPLE CON LA EXPERIENCIA REQUERIDA"</formula>
    </cfRule>
  </conditionalFormatting>
  <conditionalFormatting sqref="H233 H236 H239 H242 H245">
    <cfRule type="notContainsBlanks" dxfId="2248" priority="1855">
      <formula>LEN(TRIM(H233))&gt;0</formula>
    </cfRule>
  </conditionalFormatting>
  <conditionalFormatting sqref="G233">
    <cfRule type="notContainsBlanks" dxfId="2247" priority="1854">
      <formula>LEN(TRIM(G233))&gt;0</formula>
    </cfRule>
  </conditionalFormatting>
  <conditionalFormatting sqref="F233">
    <cfRule type="notContainsBlanks" dxfId="2246" priority="1853">
      <formula>LEN(TRIM(F233))&gt;0</formula>
    </cfRule>
  </conditionalFormatting>
  <conditionalFormatting sqref="E233">
    <cfRule type="notContainsBlanks" dxfId="2245" priority="1852">
      <formula>LEN(TRIM(E233))&gt;0</formula>
    </cfRule>
  </conditionalFormatting>
  <conditionalFormatting sqref="D233">
    <cfRule type="notContainsBlanks" dxfId="2244" priority="1851">
      <formula>LEN(TRIM(D233))&gt;0</formula>
    </cfRule>
  </conditionalFormatting>
  <conditionalFormatting sqref="C233">
    <cfRule type="notContainsBlanks" dxfId="2243" priority="1850">
      <formula>LEN(TRIM(C233))&gt;0</formula>
    </cfRule>
  </conditionalFormatting>
  <conditionalFormatting sqref="I233">
    <cfRule type="notContainsBlanks" dxfId="2242" priority="1849">
      <formula>LEN(TRIM(I233))&gt;0</formula>
    </cfRule>
  </conditionalFormatting>
  <conditionalFormatting sqref="S236">
    <cfRule type="cellIs" dxfId="2241" priority="1847" operator="greaterThan">
      <formula>0</formula>
    </cfRule>
    <cfRule type="top10" dxfId="2240" priority="1848" rank="10"/>
  </conditionalFormatting>
  <conditionalFormatting sqref="S239">
    <cfRule type="cellIs" dxfId="2239" priority="1845" operator="greaterThan">
      <formula>0</formula>
    </cfRule>
    <cfRule type="top10" dxfId="2238" priority="1846" rank="10"/>
  </conditionalFormatting>
  <conditionalFormatting sqref="G239">
    <cfRule type="notContainsBlanks" dxfId="2237" priority="1844">
      <formula>LEN(TRIM(G239))&gt;0</formula>
    </cfRule>
  </conditionalFormatting>
  <conditionalFormatting sqref="F239">
    <cfRule type="notContainsBlanks" dxfId="2236" priority="1843">
      <formula>LEN(TRIM(F239))&gt;0</formula>
    </cfRule>
  </conditionalFormatting>
  <conditionalFormatting sqref="E239">
    <cfRule type="notContainsBlanks" dxfId="2235" priority="1842">
      <formula>LEN(TRIM(E239))&gt;0</formula>
    </cfRule>
  </conditionalFormatting>
  <conditionalFormatting sqref="D239">
    <cfRule type="notContainsBlanks" dxfId="2234" priority="1841">
      <formula>LEN(TRIM(D239))&gt;0</formula>
    </cfRule>
  </conditionalFormatting>
  <conditionalFormatting sqref="C239">
    <cfRule type="notContainsBlanks" dxfId="2233" priority="1840">
      <formula>LEN(TRIM(C239))&gt;0</formula>
    </cfRule>
  </conditionalFormatting>
  <conditionalFormatting sqref="I239">
    <cfRule type="notContainsBlanks" dxfId="2232" priority="1839">
      <formula>LEN(TRIM(I239))&gt;0</formula>
    </cfRule>
  </conditionalFormatting>
  <conditionalFormatting sqref="S242">
    <cfRule type="cellIs" dxfId="2231" priority="1837" operator="greaterThan">
      <formula>0</formula>
    </cfRule>
    <cfRule type="top10" dxfId="2230" priority="1838" rank="10"/>
  </conditionalFormatting>
  <conditionalFormatting sqref="S245">
    <cfRule type="cellIs" dxfId="2229" priority="1835" operator="greaterThan">
      <formula>0</formula>
    </cfRule>
    <cfRule type="top10" dxfId="2228" priority="1836" rank="10"/>
  </conditionalFormatting>
  <conditionalFormatting sqref="G245">
    <cfRule type="notContainsBlanks" dxfId="2227" priority="1834">
      <formula>LEN(TRIM(G245))&gt;0</formula>
    </cfRule>
  </conditionalFormatting>
  <conditionalFormatting sqref="F245">
    <cfRule type="notContainsBlanks" dxfId="2226" priority="1833">
      <formula>LEN(TRIM(F245))&gt;0</formula>
    </cfRule>
  </conditionalFormatting>
  <conditionalFormatting sqref="E245">
    <cfRule type="notContainsBlanks" dxfId="2225" priority="1832">
      <formula>LEN(TRIM(E245))&gt;0</formula>
    </cfRule>
  </conditionalFormatting>
  <conditionalFormatting sqref="D245">
    <cfRule type="notContainsBlanks" dxfId="2224" priority="1831">
      <formula>LEN(TRIM(D245))&gt;0</formula>
    </cfRule>
  </conditionalFormatting>
  <conditionalFormatting sqref="C245">
    <cfRule type="notContainsBlanks" dxfId="2223" priority="1830">
      <formula>LEN(TRIM(C245))&gt;0</formula>
    </cfRule>
  </conditionalFormatting>
  <conditionalFormatting sqref="I245">
    <cfRule type="notContainsBlanks" dxfId="2222" priority="1829">
      <formula>LEN(TRIM(I245))&gt;0</formula>
    </cfRule>
  </conditionalFormatting>
  <conditionalFormatting sqref="G236">
    <cfRule type="notContainsBlanks" dxfId="2221" priority="1828">
      <formula>LEN(TRIM(G236))&gt;0</formula>
    </cfRule>
  </conditionalFormatting>
  <conditionalFormatting sqref="F236">
    <cfRule type="notContainsBlanks" dxfId="2220" priority="1827">
      <formula>LEN(TRIM(F236))&gt;0</formula>
    </cfRule>
  </conditionalFormatting>
  <conditionalFormatting sqref="E236">
    <cfRule type="notContainsBlanks" dxfId="2219" priority="1826">
      <formula>LEN(TRIM(E236))&gt;0</formula>
    </cfRule>
  </conditionalFormatting>
  <conditionalFormatting sqref="D236">
    <cfRule type="notContainsBlanks" dxfId="2218" priority="1825">
      <formula>LEN(TRIM(D236))&gt;0</formula>
    </cfRule>
  </conditionalFormatting>
  <conditionalFormatting sqref="C236">
    <cfRule type="notContainsBlanks" dxfId="2217" priority="1824">
      <formula>LEN(TRIM(C236))&gt;0</formula>
    </cfRule>
  </conditionalFormatting>
  <conditionalFormatting sqref="G242">
    <cfRule type="notContainsBlanks" dxfId="2216" priority="1823">
      <formula>LEN(TRIM(G242))&gt;0</formula>
    </cfRule>
  </conditionalFormatting>
  <conditionalFormatting sqref="F242">
    <cfRule type="notContainsBlanks" dxfId="2215" priority="1822">
      <formula>LEN(TRIM(F242))&gt;0</formula>
    </cfRule>
  </conditionalFormatting>
  <conditionalFormatting sqref="E242">
    <cfRule type="notContainsBlanks" dxfId="2214" priority="1821">
      <formula>LEN(TRIM(E242))&gt;0</formula>
    </cfRule>
  </conditionalFormatting>
  <conditionalFormatting sqref="D242">
    <cfRule type="notContainsBlanks" dxfId="2213" priority="1820">
      <formula>LEN(TRIM(D242))&gt;0</formula>
    </cfRule>
  </conditionalFormatting>
  <conditionalFormatting sqref="C242">
    <cfRule type="notContainsBlanks" dxfId="2212" priority="1819">
      <formula>LEN(TRIM(C242))&gt;0</formula>
    </cfRule>
  </conditionalFormatting>
  <conditionalFormatting sqref="I242">
    <cfRule type="notContainsBlanks" dxfId="2211" priority="1818">
      <formula>LEN(TRIM(I242))&gt;0</formula>
    </cfRule>
  </conditionalFormatting>
  <conditionalFormatting sqref="S248">
    <cfRule type="expression" dxfId="2210" priority="1816">
      <formula>$S$28&gt;0</formula>
    </cfRule>
    <cfRule type="cellIs" dxfId="2209" priority="1817" operator="equal">
      <formula>0</formula>
    </cfRule>
  </conditionalFormatting>
  <conditionalFormatting sqref="S249">
    <cfRule type="expression" dxfId="2208" priority="1814">
      <formula>$S$28&gt;0</formula>
    </cfRule>
    <cfRule type="cellIs" dxfId="2207" priority="1815" operator="equal">
      <formula>0</formula>
    </cfRule>
  </conditionalFormatting>
  <conditionalFormatting sqref="N245">
    <cfRule type="expression" dxfId="2206" priority="1811">
      <formula>N245=" "</formula>
    </cfRule>
    <cfRule type="expression" dxfId="2205" priority="1812">
      <formula>N245="NO PRESENTÓ CERTIFICADO"</formula>
    </cfRule>
    <cfRule type="expression" dxfId="2204" priority="1813">
      <formula>N245="PRESENTÓ CERTIFICADO"</formula>
    </cfRule>
  </conditionalFormatting>
  <conditionalFormatting sqref="O245">
    <cfRule type="cellIs" dxfId="2203" priority="1793" operator="equal">
      <formula>"PENDIENTE POR DESCRIPCIÓN"</formula>
    </cfRule>
    <cfRule type="cellIs" dxfId="2202" priority="1794" operator="equal">
      <formula>"DESCRIPCIÓN INSUFICIENTE"</formula>
    </cfRule>
    <cfRule type="cellIs" dxfId="2201" priority="1795" operator="equal">
      <formula>"NO ESTÁ ACORDE A ITEM 5.2.2 (T.R.)"</formula>
    </cfRule>
    <cfRule type="cellIs" dxfId="2200" priority="1796" operator="equal">
      <formula>"ACORDE A ITEM 5.2.2 (T.R.)"</formula>
    </cfRule>
    <cfRule type="cellIs" dxfId="2199" priority="1803" operator="equal">
      <formula>"PENDIENTE POR DESCRIPCIÓN"</formula>
    </cfRule>
    <cfRule type="cellIs" dxfId="2198" priority="1805" operator="equal">
      <formula>"DESCRIPCIÓN INSUFICIENTE"</formula>
    </cfRule>
    <cfRule type="cellIs" dxfId="2197" priority="1806" operator="equal">
      <formula>"NO ESTÁ ACORDE A ITEM 5.2.1 (T.R.)"</formula>
    </cfRule>
    <cfRule type="cellIs" dxfId="2196" priority="1807" operator="equal">
      <formula>"ACORDE A ITEM 5.2.1 (T.R.)"</formula>
    </cfRule>
  </conditionalFormatting>
  <conditionalFormatting sqref="Q245">
    <cfRule type="containsBlanks" dxfId="2195" priority="1798">
      <formula>LEN(TRIM(Q245))=0</formula>
    </cfRule>
    <cfRule type="cellIs" dxfId="2194" priority="1804" operator="equal">
      <formula>"REQUERIMIENTOS SUBSANADOS"</formula>
    </cfRule>
    <cfRule type="containsText" dxfId="2193" priority="1808" operator="containsText" text="NO SUBSANABLE">
      <formula>NOT(ISERROR(SEARCH("NO SUBSANABLE",Q245)))</formula>
    </cfRule>
    <cfRule type="containsText" dxfId="2192" priority="1809" operator="containsText" text="PENDIENTES POR SUBSANAR">
      <formula>NOT(ISERROR(SEARCH("PENDIENTES POR SUBSANAR",Q245)))</formula>
    </cfRule>
    <cfRule type="containsText" dxfId="2191" priority="1810" operator="containsText" text="SIN OBSERVACIÓN">
      <formula>NOT(ISERROR(SEARCH("SIN OBSERVACIÓN",Q245)))</formula>
    </cfRule>
  </conditionalFormatting>
  <conditionalFormatting sqref="R245">
    <cfRule type="containsBlanks" dxfId="2190" priority="1797">
      <formula>LEN(TRIM(R245))=0</formula>
    </cfRule>
    <cfRule type="cellIs" dxfId="2189" priority="1799" operator="equal">
      <formula>"NO CUMPLEN CON LO SOLICITADO"</formula>
    </cfRule>
    <cfRule type="cellIs" dxfId="2188" priority="1800" operator="equal">
      <formula>"CUMPLEN CON LO SOLICITADO"</formula>
    </cfRule>
    <cfRule type="cellIs" dxfId="2187" priority="1801" operator="equal">
      <formula>"PENDIENTES"</formula>
    </cfRule>
    <cfRule type="cellIs" dxfId="2186" priority="1802" operator="equal">
      <formula>"NINGUNO"</formula>
    </cfRule>
  </conditionalFormatting>
  <conditionalFormatting sqref="P242 P245">
    <cfRule type="expression" dxfId="2185" priority="1788">
      <formula>Q242="NO SUBSANABLE"</formula>
    </cfRule>
    <cfRule type="expression" dxfId="2184" priority="1789">
      <formula>Q242="REQUERIMIENTOS SUBSANADOS"</formula>
    </cfRule>
    <cfRule type="expression" dxfId="2183" priority="1790">
      <formula>Q242="PENDIENTES POR SUBSANAR"</formula>
    </cfRule>
    <cfRule type="expression" dxfId="2182" priority="1791">
      <formula>Q242="SIN OBSERVACIÓN"</formula>
    </cfRule>
    <cfRule type="containsBlanks" dxfId="2181" priority="1792">
      <formula>LEN(TRIM(P242))=0</formula>
    </cfRule>
  </conditionalFormatting>
  <conditionalFormatting sqref="N242">
    <cfRule type="expression" dxfId="2180" priority="1785">
      <formula>N242=" "</formula>
    </cfRule>
    <cfRule type="expression" dxfId="2179" priority="1786">
      <formula>N242="NO PRESENTÓ CERTIFICADO"</formula>
    </cfRule>
    <cfRule type="expression" dxfId="2178" priority="1787">
      <formula>N242="PRESENTÓ CERTIFICADO"</formula>
    </cfRule>
  </conditionalFormatting>
  <conditionalFormatting sqref="O242">
    <cfRule type="cellIs" dxfId="2177" priority="1777" operator="equal">
      <formula>"PENDIENTE POR DESCRIPCIÓN"</formula>
    </cfRule>
    <cfRule type="cellIs" dxfId="2176" priority="1778" operator="equal">
      <formula>"DESCRIPCIÓN INSUFICIENTE"</formula>
    </cfRule>
    <cfRule type="cellIs" dxfId="2175" priority="1779" operator="equal">
      <formula>"NO ESTÁ ACORDE A ITEM 5.2.2 (T.R.)"</formula>
    </cfRule>
    <cfRule type="cellIs" dxfId="2174" priority="1780" operator="equal">
      <formula>"ACORDE A ITEM 5.2.2 (T.R.)"</formula>
    </cfRule>
    <cfRule type="cellIs" dxfId="2173" priority="1781" operator="equal">
      <formula>"PENDIENTE POR DESCRIPCIÓN"</formula>
    </cfRule>
    <cfRule type="cellIs" dxfId="2172" priority="1782" operator="equal">
      <formula>"DESCRIPCIÓN INSUFICIENTE"</formula>
    </cfRule>
    <cfRule type="cellIs" dxfId="2171" priority="1783" operator="equal">
      <formula>"NO ESTÁ ACORDE A ITEM 5.2.1 (T.R.)"</formula>
    </cfRule>
    <cfRule type="cellIs" dxfId="2170" priority="1784" operator="equal">
      <formula>"ACORDE A ITEM 5.2.1 (T.R.)"</formula>
    </cfRule>
  </conditionalFormatting>
  <conditionalFormatting sqref="Q242">
    <cfRule type="containsBlanks" dxfId="2169" priority="1768">
      <formula>LEN(TRIM(Q242))=0</formula>
    </cfRule>
    <cfRule type="cellIs" dxfId="2168" priority="1773" operator="equal">
      <formula>"REQUERIMIENTOS SUBSANADOS"</formula>
    </cfRule>
    <cfRule type="containsText" dxfId="2167" priority="1774" operator="containsText" text="NO SUBSANABLE">
      <formula>NOT(ISERROR(SEARCH("NO SUBSANABLE",Q242)))</formula>
    </cfRule>
    <cfRule type="containsText" dxfId="2166" priority="1775" operator="containsText" text="PENDIENTES POR SUBSANAR">
      <formula>NOT(ISERROR(SEARCH("PENDIENTES POR SUBSANAR",Q242)))</formula>
    </cfRule>
    <cfRule type="containsText" dxfId="2165" priority="1776" operator="containsText" text="SIN OBSERVACIÓN">
      <formula>NOT(ISERROR(SEARCH("SIN OBSERVACIÓN",Q242)))</formula>
    </cfRule>
  </conditionalFormatting>
  <conditionalFormatting sqref="R242">
    <cfRule type="containsBlanks" dxfId="2164" priority="1767">
      <formula>LEN(TRIM(R242))=0</formula>
    </cfRule>
    <cfRule type="cellIs" dxfId="2163" priority="1769" operator="equal">
      <formula>"NO CUMPLEN CON LO SOLICITADO"</formula>
    </cfRule>
    <cfRule type="cellIs" dxfId="2162" priority="1770" operator="equal">
      <formula>"CUMPLEN CON LO SOLICITADO"</formula>
    </cfRule>
    <cfRule type="cellIs" dxfId="2161" priority="1771" operator="equal">
      <formula>"PENDIENTES"</formula>
    </cfRule>
    <cfRule type="cellIs" dxfId="2160" priority="1772" operator="equal">
      <formula>"NINGUNO"</formula>
    </cfRule>
  </conditionalFormatting>
  <conditionalFormatting sqref="M242">
    <cfRule type="expression" dxfId="2159" priority="1725">
      <formula>L242="NO CUMPLE"</formula>
    </cfRule>
    <cfRule type="expression" dxfId="2158" priority="1726">
      <formula>L242="CUMPLE"</formula>
    </cfRule>
  </conditionalFormatting>
  <conditionalFormatting sqref="L242:L243">
    <cfRule type="cellIs" dxfId="2157" priority="1723" operator="equal">
      <formula>"NO CUMPLE"</formula>
    </cfRule>
    <cfRule type="cellIs" dxfId="2156" priority="1724" operator="equal">
      <formula>"CUMPLE"</formula>
    </cfRule>
  </conditionalFormatting>
  <conditionalFormatting sqref="M243">
    <cfRule type="expression" dxfId="2155" priority="1721">
      <formula>L243="NO CUMPLE"</formula>
    </cfRule>
    <cfRule type="expression" dxfId="2154" priority="1722">
      <formula>L243="CUMPLE"</formula>
    </cfRule>
  </conditionalFormatting>
  <conditionalFormatting sqref="J242:J244">
    <cfRule type="cellIs" dxfId="2153" priority="1765" operator="equal">
      <formula>"NO CUMPLE"</formula>
    </cfRule>
    <cfRule type="cellIs" dxfId="2152" priority="1766" operator="equal">
      <formula>"CUMPLE"</formula>
    </cfRule>
  </conditionalFormatting>
  <conditionalFormatting sqref="K236">
    <cfRule type="expression" dxfId="2151" priority="1763">
      <formula>J236="NO CUMPLE"</formula>
    </cfRule>
    <cfRule type="expression" dxfId="2150" priority="1764">
      <formula>J236="CUMPLE"</formula>
    </cfRule>
  </conditionalFormatting>
  <conditionalFormatting sqref="K237:K238">
    <cfRule type="expression" dxfId="2149" priority="1761">
      <formula>J237="NO CUMPLE"</formula>
    </cfRule>
    <cfRule type="expression" dxfId="2148" priority="1762">
      <formula>J237="CUMPLE"</formula>
    </cfRule>
  </conditionalFormatting>
  <conditionalFormatting sqref="J245">
    <cfRule type="cellIs" dxfId="2147" priority="1759" operator="equal">
      <formula>"NO CUMPLE"</formula>
    </cfRule>
    <cfRule type="cellIs" dxfId="2146" priority="1760" operator="equal">
      <formula>"CUMPLE"</formula>
    </cfRule>
  </conditionalFormatting>
  <conditionalFormatting sqref="J246:J247">
    <cfRule type="cellIs" dxfId="2145" priority="1757" operator="equal">
      <formula>"NO CUMPLE"</formula>
    </cfRule>
    <cfRule type="cellIs" dxfId="2144" priority="1758" operator="equal">
      <formula>"CUMPLE"</formula>
    </cfRule>
  </conditionalFormatting>
  <conditionalFormatting sqref="K239">
    <cfRule type="expression" dxfId="2143" priority="1755">
      <formula>J239="NO CUMPLE"</formula>
    </cfRule>
    <cfRule type="expression" dxfId="2142" priority="1756">
      <formula>J239="CUMPLE"</formula>
    </cfRule>
  </conditionalFormatting>
  <conditionalFormatting sqref="K240:K241">
    <cfRule type="expression" dxfId="2141" priority="1753">
      <formula>J240="NO CUMPLE"</formula>
    </cfRule>
    <cfRule type="expression" dxfId="2140" priority="1754">
      <formula>J240="CUMPLE"</formula>
    </cfRule>
  </conditionalFormatting>
  <conditionalFormatting sqref="K242">
    <cfRule type="expression" dxfId="2139" priority="1751">
      <formula>J242="NO CUMPLE"</formula>
    </cfRule>
    <cfRule type="expression" dxfId="2138" priority="1752">
      <formula>J242="CUMPLE"</formula>
    </cfRule>
  </conditionalFormatting>
  <conditionalFormatting sqref="K243:K244">
    <cfRule type="expression" dxfId="2137" priority="1749">
      <formula>J243="NO CUMPLE"</formula>
    </cfRule>
    <cfRule type="expression" dxfId="2136" priority="1750">
      <formula>J243="CUMPLE"</formula>
    </cfRule>
  </conditionalFormatting>
  <conditionalFormatting sqref="K245">
    <cfRule type="expression" dxfId="2135" priority="1747">
      <formula>J245="NO CUMPLE"</formula>
    </cfRule>
    <cfRule type="expression" dxfId="2134" priority="1748">
      <formula>J245="CUMPLE"</formula>
    </cfRule>
  </conditionalFormatting>
  <conditionalFormatting sqref="K246:K247">
    <cfRule type="expression" dxfId="2133" priority="1745">
      <formula>J246="NO CUMPLE"</formula>
    </cfRule>
    <cfRule type="expression" dxfId="2132" priority="1746">
      <formula>J246="CUMPLE"</formula>
    </cfRule>
  </conditionalFormatting>
  <conditionalFormatting sqref="M237">
    <cfRule type="expression" dxfId="2131" priority="1733">
      <formula>L237="NO CUMPLE"</formula>
    </cfRule>
    <cfRule type="expression" dxfId="2130" priority="1734">
      <formula>L237="CUMPLE"</formula>
    </cfRule>
  </conditionalFormatting>
  <conditionalFormatting sqref="L236:L237">
    <cfRule type="cellIs" dxfId="2129" priority="1735" operator="equal">
      <formula>"NO CUMPLE"</formula>
    </cfRule>
    <cfRule type="cellIs" dxfId="2128" priority="1736" operator="equal">
      <formula>"CUMPLE"</formula>
    </cfRule>
  </conditionalFormatting>
  <conditionalFormatting sqref="M236">
    <cfRule type="expression" dxfId="2127" priority="1737">
      <formula>L236="NO CUMPLE"</formula>
    </cfRule>
    <cfRule type="expression" dxfId="2126" priority="1738">
      <formula>L236="CUMPLE"</formula>
    </cfRule>
  </conditionalFormatting>
  <conditionalFormatting sqref="M234">
    <cfRule type="expression" dxfId="2125" priority="1739">
      <formula>L234="NO CUMPLE"</formula>
    </cfRule>
    <cfRule type="expression" dxfId="2124" priority="1740">
      <formula>L234="CUMPLE"</formula>
    </cfRule>
  </conditionalFormatting>
  <conditionalFormatting sqref="M233">
    <cfRule type="expression" dxfId="2123" priority="1743">
      <formula>L233="NO CUMPLE"</formula>
    </cfRule>
    <cfRule type="expression" dxfId="2122" priority="1744">
      <formula>L233="CUMPLE"</formula>
    </cfRule>
  </conditionalFormatting>
  <conditionalFormatting sqref="L233:L234">
    <cfRule type="cellIs" dxfId="2121" priority="1741" operator="equal">
      <formula>"NO CUMPLE"</formula>
    </cfRule>
    <cfRule type="cellIs" dxfId="2120" priority="1742" operator="equal">
      <formula>"CUMPLE"</formula>
    </cfRule>
  </conditionalFormatting>
  <conditionalFormatting sqref="M240">
    <cfRule type="expression" dxfId="2119" priority="1727">
      <formula>L240="NO CUMPLE"</formula>
    </cfRule>
    <cfRule type="expression" dxfId="2118" priority="1728">
      <formula>L240="CUMPLE"</formula>
    </cfRule>
  </conditionalFormatting>
  <conditionalFormatting sqref="M239">
    <cfRule type="expression" dxfId="2117" priority="1731">
      <formula>L239="NO CUMPLE"</formula>
    </cfRule>
    <cfRule type="expression" dxfId="2116" priority="1732">
      <formula>L239="CUMPLE"</formula>
    </cfRule>
  </conditionalFormatting>
  <conditionalFormatting sqref="L239:L240">
    <cfRule type="cellIs" dxfId="2115" priority="1729" operator="equal">
      <formula>"NO CUMPLE"</formula>
    </cfRule>
    <cfRule type="cellIs" dxfId="2114" priority="1730" operator="equal">
      <formula>"CUMPLE"</formula>
    </cfRule>
  </conditionalFormatting>
  <conditionalFormatting sqref="M246">
    <cfRule type="expression" dxfId="2113" priority="1715">
      <formula>L246="NO CUMPLE"</formula>
    </cfRule>
    <cfRule type="expression" dxfId="2112" priority="1716">
      <formula>L246="CUMPLE"</formula>
    </cfRule>
  </conditionalFormatting>
  <conditionalFormatting sqref="M245">
    <cfRule type="expression" dxfId="2111" priority="1719">
      <formula>L245="NO CUMPLE"</formula>
    </cfRule>
    <cfRule type="expression" dxfId="2110" priority="1720">
      <formula>L245="CUMPLE"</formula>
    </cfRule>
  </conditionalFormatting>
  <conditionalFormatting sqref="L245:L246">
    <cfRule type="cellIs" dxfId="2109" priority="1717" operator="equal">
      <formula>"NO CUMPLE"</formula>
    </cfRule>
    <cfRule type="cellIs" dxfId="2108" priority="1718" operator="equal">
      <formula>"CUMPLE"</formula>
    </cfRule>
  </conditionalFormatting>
  <conditionalFormatting sqref="J233">
    <cfRule type="cellIs" dxfId="2107" priority="1713" operator="equal">
      <formula>"NO CUMPLE"</formula>
    </cfRule>
    <cfRule type="cellIs" dxfId="2106" priority="1714" operator="equal">
      <formula>"CUMPLE"</formula>
    </cfRule>
  </conditionalFormatting>
  <conditionalFormatting sqref="J234:J235">
    <cfRule type="cellIs" dxfId="2105" priority="1711" operator="equal">
      <formula>"NO CUMPLE"</formula>
    </cfRule>
    <cfRule type="cellIs" dxfId="2104" priority="1712" operator="equal">
      <formula>"CUMPLE"</formula>
    </cfRule>
  </conditionalFormatting>
  <conditionalFormatting sqref="K233">
    <cfRule type="expression" dxfId="2103" priority="1709">
      <formula>J233="NO CUMPLE"</formula>
    </cfRule>
    <cfRule type="expression" dxfId="2102" priority="1710">
      <formula>J233="CUMPLE"</formula>
    </cfRule>
  </conditionalFormatting>
  <conditionalFormatting sqref="K234:K235">
    <cfRule type="expression" dxfId="2101" priority="1707">
      <formula>J234="NO CUMPLE"</formula>
    </cfRule>
    <cfRule type="expression" dxfId="2100" priority="1708">
      <formula>J234="CUMPLE"</formula>
    </cfRule>
  </conditionalFormatting>
  <conditionalFormatting sqref="S255">
    <cfRule type="cellIs" dxfId="2099" priority="1705" operator="greaterThan">
      <formula>0</formula>
    </cfRule>
    <cfRule type="top10" dxfId="2098" priority="1706" rank="10"/>
  </conditionalFormatting>
  <conditionalFormatting sqref="B270">
    <cfRule type="cellIs" dxfId="2097" priority="1703" operator="equal">
      <formula>"NO CUMPLE CON LA EXPERIENCIA REQUERIDA"</formula>
    </cfRule>
    <cfRule type="cellIs" dxfId="2096" priority="1704" operator="equal">
      <formula>"CUMPLE CON LA EXPERIENCIA REQUERIDA"</formula>
    </cfRule>
  </conditionalFormatting>
  <conditionalFormatting sqref="H255">
    <cfRule type="notContainsBlanks" dxfId="2095" priority="1702">
      <formula>LEN(TRIM(H255))&gt;0</formula>
    </cfRule>
  </conditionalFormatting>
  <conditionalFormatting sqref="G255">
    <cfRule type="notContainsBlanks" dxfId="2094" priority="1701">
      <formula>LEN(TRIM(G255))&gt;0</formula>
    </cfRule>
  </conditionalFormatting>
  <conditionalFormatting sqref="F255">
    <cfRule type="notContainsBlanks" dxfId="2093" priority="1700">
      <formula>LEN(TRIM(F255))&gt;0</formula>
    </cfRule>
  </conditionalFormatting>
  <conditionalFormatting sqref="E255">
    <cfRule type="notContainsBlanks" dxfId="2092" priority="1699">
      <formula>LEN(TRIM(E255))&gt;0</formula>
    </cfRule>
  </conditionalFormatting>
  <conditionalFormatting sqref="D255">
    <cfRule type="notContainsBlanks" dxfId="2091" priority="1698">
      <formula>LEN(TRIM(D255))&gt;0</formula>
    </cfRule>
  </conditionalFormatting>
  <conditionalFormatting sqref="C255">
    <cfRule type="notContainsBlanks" dxfId="2090" priority="1697">
      <formula>LEN(TRIM(C255))&gt;0</formula>
    </cfRule>
  </conditionalFormatting>
  <conditionalFormatting sqref="I255">
    <cfRule type="notContainsBlanks" dxfId="2089" priority="1696">
      <formula>LEN(TRIM(I255))&gt;0</formula>
    </cfRule>
  </conditionalFormatting>
  <conditionalFormatting sqref="S258">
    <cfRule type="cellIs" dxfId="2088" priority="1694" operator="greaterThan">
      <formula>0</formula>
    </cfRule>
    <cfRule type="top10" dxfId="2087" priority="1695" rank="10"/>
  </conditionalFormatting>
  <conditionalFormatting sqref="S261">
    <cfRule type="cellIs" dxfId="2086" priority="1692" operator="greaterThan">
      <formula>0</formula>
    </cfRule>
    <cfRule type="top10" dxfId="2085" priority="1693" rank="10"/>
  </conditionalFormatting>
  <conditionalFormatting sqref="G261">
    <cfRule type="notContainsBlanks" dxfId="2084" priority="1691">
      <formula>LEN(TRIM(G261))&gt;0</formula>
    </cfRule>
  </conditionalFormatting>
  <conditionalFormatting sqref="F261">
    <cfRule type="notContainsBlanks" dxfId="2083" priority="1690">
      <formula>LEN(TRIM(F261))&gt;0</formula>
    </cfRule>
  </conditionalFormatting>
  <conditionalFormatting sqref="E261">
    <cfRule type="notContainsBlanks" dxfId="2082" priority="1689">
      <formula>LEN(TRIM(E261))&gt;0</formula>
    </cfRule>
  </conditionalFormatting>
  <conditionalFormatting sqref="D261">
    <cfRule type="notContainsBlanks" dxfId="2081" priority="1688">
      <formula>LEN(TRIM(D261))&gt;0</formula>
    </cfRule>
  </conditionalFormatting>
  <conditionalFormatting sqref="C261">
    <cfRule type="notContainsBlanks" dxfId="2080" priority="1687">
      <formula>LEN(TRIM(C261))&gt;0</formula>
    </cfRule>
  </conditionalFormatting>
  <conditionalFormatting sqref="S264">
    <cfRule type="cellIs" dxfId="2079" priority="1685" operator="greaterThan">
      <formula>0</formula>
    </cfRule>
    <cfRule type="top10" dxfId="2078" priority="1686" rank="10"/>
  </conditionalFormatting>
  <conditionalFormatting sqref="S267">
    <cfRule type="cellIs" dxfId="2077" priority="1683" operator="greaterThan">
      <formula>0</formula>
    </cfRule>
    <cfRule type="top10" dxfId="2076" priority="1684" rank="10"/>
  </conditionalFormatting>
  <conditionalFormatting sqref="G267">
    <cfRule type="notContainsBlanks" dxfId="2075" priority="1682">
      <formula>LEN(TRIM(G267))&gt;0</formula>
    </cfRule>
  </conditionalFormatting>
  <conditionalFormatting sqref="F267">
    <cfRule type="notContainsBlanks" dxfId="2074" priority="1681">
      <formula>LEN(TRIM(F267))&gt;0</formula>
    </cfRule>
  </conditionalFormatting>
  <conditionalFormatting sqref="E267">
    <cfRule type="notContainsBlanks" dxfId="2073" priority="1680">
      <formula>LEN(TRIM(E267))&gt;0</formula>
    </cfRule>
  </conditionalFormatting>
  <conditionalFormatting sqref="D267">
    <cfRule type="notContainsBlanks" dxfId="2072" priority="1679">
      <formula>LEN(TRIM(D267))&gt;0</formula>
    </cfRule>
  </conditionalFormatting>
  <conditionalFormatting sqref="C267">
    <cfRule type="notContainsBlanks" dxfId="2071" priority="1678">
      <formula>LEN(TRIM(C267))&gt;0</formula>
    </cfRule>
  </conditionalFormatting>
  <conditionalFormatting sqref="G258">
    <cfRule type="notContainsBlanks" dxfId="2070" priority="1677">
      <formula>LEN(TRIM(G258))&gt;0</formula>
    </cfRule>
  </conditionalFormatting>
  <conditionalFormatting sqref="F258">
    <cfRule type="notContainsBlanks" dxfId="2069" priority="1676">
      <formula>LEN(TRIM(F258))&gt;0</formula>
    </cfRule>
  </conditionalFormatting>
  <conditionalFormatting sqref="E258">
    <cfRule type="notContainsBlanks" dxfId="2068" priority="1675">
      <formula>LEN(TRIM(E258))&gt;0</formula>
    </cfRule>
  </conditionalFormatting>
  <conditionalFormatting sqref="D258">
    <cfRule type="notContainsBlanks" dxfId="2067" priority="1674">
      <formula>LEN(TRIM(D258))&gt;0</formula>
    </cfRule>
  </conditionalFormatting>
  <conditionalFormatting sqref="C258">
    <cfRule type="notContainsBlanks" dxfId="2066" priority="1673">
      <formula>LEN(TRIM(C258))&gt;0</formula>
    </cfRule>
  </conditionalFormatting>
  <conditionalFormatting sqref="G264">
    <cfRule type="notContainsBlanks" dxfId="2065" priority="1672">
      <formula>LEN(TRIM(G264))&gt;0</formula>
    </cfRule>
  </conditionalFormatting>
  <conditionalFormatting sqref="F264">
    <cfRule type="notContainsBlanks" dxfId="2064" priority="1671">
      <formula>LEN(TRIM(F264))&gt;0</formula>
    </cfRule>
  </conditionalFormatting>
  <conditionalFormatting sqref="E264">
    <cfRule type="notContainsBlanks" dxfId="2063" priority="1670">
      <formula>LEN(TRIM(E264))&gt;0</formula>
    </cfRule>
  </conditionalFormatting>
  <conditionalFormatting sqref="D264">
    <cfRule type="notContainsBlanks" dxfId="2062" priority="1669">
      <formula>LEN(TRIM(D264))&gt;0</formula>
    </cfRule>
  </conditionalFormatting>
  <conditionalFormatting sqref="C264">
    <cfRule type="notContainsBlanks" dxfId="2061" priority="1668">
      <formula>LEN(TRIM(C264))&gt;0</formula>
    </cfRule>
  </conditionalFormatting>
  <conditionalFormatting sqref="S270">
    <cfRule type="expression" dxfId="2060" priority="1666">
      <formula>$S$28&gt;0</formula>
    </cfRule>
    <cfRule type="cellIs" dxfId="2059" priority="1667" operator="equal">
      <formula>0</formula>
    </cfRule>
  </conditionalFormatting>
  <conditionalFormatting sqref="S271">
    <cfRule type="expression" dxfId="2058" priority="1664">
      <formula>$S$28&gt;0</formula>
    </cfRule>
    <cfRule type="cellIs" dxfId="2057" priority="1665" operator="equal">
      <formula>0</formula>
    </cfRule>
  </conditionalFormatting>
  <conditionalFormatting sqref="N255">
    <cfRule type="expression" dxfId="2056" priority="1661">
      <formula>N255=" "</formula>
    </cfRule>
    <cfRule type="expression" dxfId="2055" priority="1662">
      <formula>N255="NO PRESENTÓ CERTIFICADO"</formula>
    </cfRule>
    <cfRule type="expression" dxfId="2054" priority="1663">
      <formula>N255="PRESENTÓ CERTIFICADO"</formula>
    </cfRule>
  </conditionalFormatting>
  <conditionalFormatting sqref="O255">
    <cfRule type="cellIs" dxfId="2053" priority="1643" operator="equal">
      <formula>"PENDIENTE POR DESCRIPCIÓN"</formula>
    </cfRule>
    <cfRule type="cellIs" dxfId="2052" priority="1644" operator="equal">
      <formula>"DESCRIPCIÓN INSUFICIENTE"</formula>
    </cfRule>
    <cfRule type="cellIs" dxfId="2051" priority="1645" operator="equal">
      <formula>"NO ESTÁ ACORDE A ITEM 5.2.2 (T.R.)"</formula>
    </cfRule>
    <cfRule type="cellIs" dxfId="2050" priority="1646" operator="equal">
      <formula>"ACORDE A ITEM 5.2.2 (T.R.)"</formula>
    </cfRule>
    <cfRule type="cellIs" dxfId="2049" priority="1653" operator="equal">
      <formula>"PENDIENTE POR DESCRIPCIÓN"</formula>
    </cfRule>
    <cfRule type="cellIs" dxfId="2048" priority="1655" operator="equal">
      <formula>"DESCRIPCIÓN INSUFICIENTE"</formula>
    </cfRule>
    <cfRule type="cellIs" dxfId="2047" priority="1656" operator="equal">
      <formula>"NO ESTÁ ACORDE A ITEM 5.2.1 (T.R.)"</formula>
    </cfRule>
    <cfRule type="cellIs" dxfId="2046" priority="1657" operator="equal">
      <formula>"ACORDE A ITEM 5.2.1 (T.R.)"</formula>
    </cfRule>
  </conditionalFormatting>
  <conditionalFormatting sqref="Q255">
    <cfRule type="containsBlanks" dxfId="2045" priority="1648">
      <formula>LEN(TRIM(Q255))=0</formula>
    </cfRule>
    <cfRule type="cellIs" dxfId="2044" priority="1654" operator="equal">
      <formula>"REQUERIMIENTOS SUBSANADOS"</formula>
    </cfRule>
    <cfRule type="containsText" dxfId="2043" priority="1658" operator="containsText" text="NO SUBSANABLE">
      <formula>NOT(ISERROR(SEARCH("NO SUBSANABLE",Q255)))</formula>
    </cfRule>
    <cfRule type="containsText" dxfId="2042" priority="1659" operator="containsText" text="PENDIENTES POR SUBSANAR">
      <formula>NOT(ISERROR(SEARCH("PENDIENTES POR SUBSANAR",Q255)))</formula>
    </cfRule>
    <cfRule type="containsText" dxfId="2041" priority="1660" operator="containsText" text="SIN OBSERVACIÓN">
      <formula>NOT(ISERROR(SEARCH("SIN OBSERVACIÓN",Q255)))</formula>
    </cfRule>
  </conditionalFormatting>
  <conditionalFormatting sqref="R255">
    <cfRule type="containsBlanks" dxfId="2040" priority="1647">
      <formula>LEN(TRIM(R255))=0</formula>
    </cfRule>
    <cfRule type="cellIs" dxfId="2039" priority="1649" operator="equal">
      <formula>"NO CUMPLEN CON LO SOLICITADO"</formula>
    </cfRule>
    <cfRule type="cellIs" dxfId="2038" priority="1650" operator="equal">
      <formula>"CUMPLEN CON LO SOLICITADO"</formula>
    </cfRule>
    <cfRule type="cellIs" dxfId="2037" priority="1651" operator="equal">
      <formula>"PENDIENTES"</formula>
    </cfRule>
    <cfRule type="cellIs" dxfId="2036" priority="1652" operator="equal">
      <formula>"NINGUNO"</formula>
    </cfRule>
  </conditionalFormatting>
  <conditionalFormatting sqref="P255">
    <cfRule type="expression" dxfId="2035" priority="1638">
      <formula>Q255="NO SUBSANABLE"</formula>
    </cfRule>
    <cfRule type="expression" dxfId="2034" priority="1639">
      <formula>Q255="REQUERIMIENTOS SUBSANADOS"</formula>
    </cfRule>
    <cfRule type="expression" dxfId="2033" priority="1640">
      <formula>Q255="PENDIENTES POR SUBSANAR"</formula>
    </cfRule>
    <cfRule type="expression" dxfId="2032" priority="1641">
      <formula>Q255="SIN OBSERVACIÓN"</formula>
    </cfRule>
    <cfRule type="containsBlanks" dxfId="2031" priority="1642">
      <formula>LEN(TRIM(P255))=0</formula>
    </cfRule>
  </conditionalFormatting>
  <conditionalFormatting sqref="M264">
    <cfRule type="expression" dxfId="2030" priority="1598">
      <formula>L264="NO CUMPLE"</formula>
    </cfRule>
    <cfRule type="expression" dxfId="2029" priority="1599">
      <formula>L264="CUMPLE"</formula>
    </cfRule>
  </conditionalFormatting>
  <conditionalFormatting sqref="L264:L265">
    <cfRule type="cellIs" dxfId="2028" priority="1596" operator="equal">
      <formula>"NO CUMPLE"</formula>
    </cfRule>
    <cfRule type="cellIs" dxfId="2027" priority="1597" operator="equal">
      <formula>"CUMPLE"</formula>
    </cfRule>
  </conditionalFormatting>
  <conditionalFormatting sqref="M265">
    <cfRule type="expression" dxfId="2026" priority="1594">
      <formula>L265="NO CUMPLE"</formula>
    </cfRule>
    <cfRule type="expression" dxfId="2025" priority="1595">
      <formula>L265="CUMPLE"</formula>
    </cfRule>
  </conditionalFormatting>
  <conditionalFormatting sqref="J258:J266">
    <cfRule type="cellIs" dxfId="2024" priority="1636" operator="equal">
      <formula>"NO CUMPLE"</formula>
    </cfRule>
    <cfRule type="cellIs" dxfId="2023" priority="1637" operator="equal">
      <formula>"CUMPLE"</formula>
    </cfRule>
  </conditionalFormatting>
  <conditionalFormatting sqref="K258">
    <cfRule type="expression" dxfId="2022" priority="1634">
      <formula>J258="NO CUMPLE"</formula>
    </cfRule>
    <cfRule type="expression" dxfId="2021" priority="1635">
      <formula>J258="CUMPLE"</formula>
    </cfRule>
  </conditionalFormatting>
  <conditionalFormatting sqref="K259:K260">
    <cfRule type="expression" dxfId="2020" priority="1632">
      <formula>J259="NO CUMPLE"</formula>
    </cfRule>
    <cfRule type="expression" dxfId="2019" priority="1633">
      <formula>J259="CUMPLE"</formula>
    </cfRule>
  </conditionalFormatting>
  <conditionalFormatting sqref="J268:J269">
    <cfRule type="cellIs" dxfId="2018" priority="1630" operator="equal">
      <formula>"NO CUMPLE"</formula>
    </cfRule>
    <cfRule type="cellIs" dxfId="2017" priority="1631" operator="equal">
      <formula>"CUMPLE"</formula>
    </cfRule>
  </conditionalFormatting>
  <conditionalFormatting sqref="K261">
    <cfRule type="expression" dxfId="2016" priority="1628">
      <formula>J261="NO CUMPLE"</formula>
    </cfRule>
    <cfRule type="expression" dxfId="2015" priority="1629">
      <formula>J261="CUMPLE"</formula>
    </cfRule>
  </conditionalFormatting>
  <conditionalFormatting sqref="K262:K263">
    <cfRule type="expression" dxfId="2014" priority="1626">
      <formula>J262="NO CUMPLE"</formula>
    </cfRule>
    <cfRule type="expression" dxfId="2013" priority="1627">
      <formula>J262="CUMPLE"</formula>
    </cfRule>
  </conditionalFormatting>
  <conditionalFormatting sqref="K264">
    <cfRule type="expression" dxfId="2012" priority="1624">
      <formula>J264="NO CUMPLE"</formula>
    </cfRule>
    <cfRule type="expression" dxfId="2011" priority="1625">
      <formula>J264="CUMPLE"</formula>
    </cfRule>
  </conditionalFormatting>
  <conditionalFormatting sqref="K265:K266">
    <cfRule type="expression" dxfId="2010" priority="1622">
      <formula>J265="NO CUMPLE"</formula>
    </cfRule>
    <cfRule type="expression" dxfId="2009" priority="1623">
      <formula>J265="CUMPLE"</formula>
    </cfRule>
  </conditionalFormatting>
  <conditionalFormatting sqref="K267">
    <cfRule type="expression" dxfId="2008" priority="1620">
      <formula>J267="NO CUMPLE"</formula>
    </cfRule>
    <cfRule type="expression" dxfId="2007" priority="1621">
      <formula>J267="CUMPLE"</formula>
    </cfRule>
  </conditionalFormatting>
  <conditionalFormatting sqref="K268:K269">
    <cfRule type="expression" dxfId="2006" priority="1618">
      <formula>J268="NO CUMPLE"</formula>
    </cfRule>
    <cfRule type="expression" dxfId="2005" priority="1619">
      <formula>J268="CUMPLE"</formula>
    </cfRule>
  </conditionalFormatting>
  <conditionalFormatting sqref="M259">
    <cfRule type="expression" dxfId="2004" priority="1606">
      <formula>L259="NO CUMPLE"</formula>
    </cfRule>
    <cfRule type="expression" dxfId="2003" priority="1607">
      <formula>L259="CUMPLE"</formula>
    </cfRule>
  </conditionalFormatting>
  <conditionalFormatting sqref="L258:L259">
    <cfRule type="cellIs" dxfId="2002" priority="1608" operator="equal">
      <formula>"NO CUMPLE"</formula>
    </cfRule>
    <cfRule type="cellIs" dxfId="2001" priority="1609" operator="equal">
      <formula>"CUMPLE"</formula>
    </cfRule>
  </conditionalFormatting>
  <conditionalFormatting sqref="M258">
    <cfRule type="expression" dxfId="2000" priority="1610">
      <formula>L258="NO CUMPLE"</formula>
    </cfRule>
    <cfRule type="expression" dxfId="1999" priority="1611">
      <formula>L258="CUMPLE"</formula>
    </cfRule>
  </conditionalFormatting>
  <conditionalFormatting sqref="M256">
    <cfRule type="expression" dxfId="1998" priority="1612">
      <formula>L256="NO CUMPLE"</formula>
    </cfRule>
    <cfRule type="expression" dxfId="1997" priority="1613">
      <formula>L256="CUMPLE"</formula>
    </cfRule>
  </conditionalFormatting>
  <conditionalFormatting sqref="M255">
    <cfRule type="expression" dxfId="1996" priority="1616">
      <formula>L255="NO CUMPLE"</formula>
    </cfRule>
    <cfRule type="expression" dxfId="1995" priority="1617">
      <formula>L255="CUMPLE"</formula>
    </cfRule>
  </conditionalFormatting>
  <conditionalFormatting sqref="L255:L256">
    <cfRule type="cellIs" dxfId="1994" priority="1614" operator="equal">
      <formula>"NO CUMPLE"</formula>
    </cfRule>
    <cfRule type="cellIs" dxfId="1993" priority="1615" operator="equal">
      <formula>"CUMPLE"</formula>
    </cfRule>
  </conditionalFormatting>
  <conditionalFormatting sqref="M262">
    <cfRule type="expression" dxfId="1992" priority="1600">
      <formula>L262="NO CUMPLE"</formula>
    </cfRule>
    <cfRule type="expression" dxfId="1991" priority="1601">
      <formula>L262="CUMPLE"</formula>
    </cfRule>
  </conditionalFormatting>
  <conditionalFormatting sqref="M261">
    <cfRule type="expression" dxfId="1990" priority="1604">
      <formula>L261="NO CUMPLE"</formula>
    </cfRule>
    <cfRule type="expression" dxfId="1989" priority="1605">
      <formula>L261="CUMPLE"</formula>
    </cfRule>
  </conditionalFormatting>
  <conditionalFormatting sqref="L261:L262">
    <cfRule type="cellIs" dxfId="1988" priority="1602" operator="equal">
      <formula>"NO CUMPLE"</formula>
    </cfRule>
    <cfRule type="cellIs" dxfId="1987" priority="1603" operator="equal">
      <formula>"CUMPLE"</formula>
    </cfRule>
  </conditionalFormatting>
  <conditionalFormatting sqref="M268">
    <cfRule type="expression" dxfId="1986" priority="1588">
      <formula>L268="NO CUMPLE"</formula>
    </cfRule>
    <cfRule type="expression" dxfId="1985" priority="1589">
      <formula>L268="CUMPLE"</formula>
    </cfRule>
  </conditionalFormatting>
  <conditionalFormatting sqref="M267">
    <cfRule type="expression" dxfId="1984" priority="1592">
      <formula>L267="NO CUMPLE"</formula>
    </cfRule>
    <cfRule type="expression" dxfId="1983" priority="1593">
      <formula>L267="CUMPLE"</formula>
    </cfRule>
  </conditionalFormatting>
  <conditionalFormatting sqref="L267:L268">
    <cfRule type="cellIs" dxfId="1982" priority="1590" operator="equal">
      <formula>"NO CUMPLE"</formula>
    </cfRule>
    <cfRule type="cellIs" dxfId="1981" priority="1591" operator="equal">
      <formula>"CUMPLE"</formula>
    </cfRule>
  </conditionalFormatting>
  <conditionalFormatting sqref="K255">
    <cfRule type="expression" dxfId="1980" priority="1586">
      <formula>J255="NO CUMPLE"</formula>
    </cfRule>
    <cfRule type="expression" dxfId="1979" priority="1587">
      <formula>J255="CUMPLE"</formula>
    </cfRule>
  </conditionalFormatting>
  <conditionalFormatting sqref="K256:K257">
    <cfRule type="expression" dxfId="1978" priority="1584">
      <formula>J256="NO CUMPLE"</formula>
    </cfRule>
    <cfRule type="expression" dxfId="1977" priority="1585">
      <formula>J256="CUMPLE"</formula>
    </cfRule>
  </conditionalFormatting>
  <conditionalFormatting sqref="S277">
    <cfRule type="cellIs" dxfId="1976" priority="1582" operator="greaterThan">
      <formula>0</formula>
    </cfRule>
    <cfRule type="top10" dxfId="1975" priority="1583" rank="10"/>
  </conditionalFormatting>
  <conditionalFormatting sqref="B292">
    <cfRule type="cellIs" dxfId="1974" priority="1580" operator="equal">
      <formula>"NO CUMPLE CON LA EXPERIENCIA REQUERIDA"</formula>
    </cfRule>
    <cfRule type="cellIs" dxfId="1973" priority="1581" operator="equal">
      <formula>"CUMPLE CON LA EXPERIENCIA REQUERIDA"</formula>
    </cfRule>
  </conditionalFormatting>
  <conditionalFormatting sqref="H277 H280 H283 H286 H289">
    <cfRule type="notContainsBlanks" dxfId="1972" priority="1579">
      <formula>LEN(TRIM(H277))&gt;0</formula>
    </cfRule>
  </conditionalFormatting>
  <conditionalFormatting sqref="G277">
    <cfRule type="notContainsBlanks" dxfId="1971" priority="1578">
      <formula>LEN(TRIM(G277))&gt;0</formula>
    </cfRule>
  </conditionalFormatting>
  <conditionalFormatting sqref="F277">
    <cfRule type="notContainsBlanks" dxfId="1970" priority="1577">
      <formula>LEN(TRIM(F277))&gt;0</formula>
    </cfRule>
  </conditionalFormatting>
  <conditionalFormatting sqref="E277">
    <cfRule type="notContainsBlanks" dxfId="1969" priority="1576">
      <formula>LEN(TRIM(E277))&gt;0</formula>
    </cfRule>
  </conditionalFormatting>
  <conditionalFormatting sqref="D277">
    <cfRule type="notContainsBlanks" dxfId="1968" priority="1575">
      <formula>LEN(TRIM(D277))&gt;0</formula>
    </cfRule>
  </conditionalFormatting>
  <conditionalFormatting sqref="C277">
    <cfRule type="notContainsBlanks" dxfId="1967" priority="1574">
      <formula>LEN(TRIM(C277))&gt;0</formula>
    </cfRule>
  </conditionalFormatting>
  <conditionalFormatting sqref="I277">
    <cfRule type="notContainsBlanks" dxfId="1966" priority="1573">
      <formula>LEN(TRIM(I277))&gt;0</formula>
    </cfRule>
  </conditionalFormatting>
  <conditionalFormatting sqref="S280">
    <cfRule type="cellIs" dxfId="1965" priority="1571" operator="greaterThan">
      <formula>0</formula>
    </cfRule>
    <cfRule type="top10" dxfId="1964" priority="1572" rank="10"/>
  </conditionalFormatting>
  <conditionalFormatting sqref="S283">
    <cfRule type="cellIs" dxfId="1963" priority="1569" operator="greaterThan">
      <formula>0</formula>
    </cfRule>
    <cfRule type="top10" dxfId="1962" priority="1570" rank="10"/>
  </conditionalFormatting>
  <conditionalFormatting sqref="G283">
    <cfRule type="notContainsBlanks" dxfId="1961" priority="1568">
      <formula>LEN(TRIM(G283))&gt;0</formula>
    </cfRule>
  </conditionalFormatting>
  <conditionalFormatting sqref="F283">
    <cfRule type="notContainsBlanks" dxfId="1960" priority="1567">
      <formula>LEN(TRIM(F283))&gt;0</formula>
    </cfRule>
  </conditionalFormatting>
  <conditionalFormatting sqref="E283">
    <cfRule type="notContainsBlanks" dxfId="1959" priority="1566">
      <formula>LEN(TRIM(E283))&gt;0</formula>
    </cfRule>
  </conditionalFormatting>
  <conditionalFormatting sqref="D283">
    <cfRule type="notContainsBlanks" dxfId="1958" priority="1565">
      <formula>LEN(TRIM(D283))&gt;0</formula>
    </cfRule>
  </conditionalFormatting>
  <conditionalFormatting sqref="C283">
    <cfRule type="notContainsBlanks" dxfId="1957" priority="1564">
      <formula>LEN(TRIM(C283))&gt;0</formula>
    </cfRule>
  </conditionalFormatting>
  <conditionalFormatting sqref="I283">
    <cfRule type="notContainsBlanks" dxfId="1956" priority="1563">
      <formula>LEN(TRIM(I283))&gt;0</formula>
    </cfRule>
  </conditionalFormatting>
  <conditionalFormatting sqref="S286">
    <cfRule type="cellIs" dxfId="1955" priority="1561" operator="greaterThan">
      <formula>0</formula>
    </cfRule>
    <cfRule type="top10" dxfId="1954" priority="1562" rank="10"/>
  </conditionalFormatting>
  <conditionalFormatting sqref="S289">
    <cfRule type="cellIs" dxfId="1953" priority="1559" operator="greaterThan">
      <formula>0</formula>
    </cfRule>
    <cfRule type="top10" dxfId="1952" priority="1560" rank="10"/>
  </conditionalFormatting>
  <conditionalFormatting sqref="G289">
    <cfRule type="notContainsBlanks" dxfId="1951" priority="1558">
      <formula>LEN(TRIM(G289))&gt;0</formula>
    </cfRule>
  </conditionalFormatting>
  <conditionalFormatting sqref="F289">
    <cfRule type="notContainsBlanks" dxfId="1950" priority="1557">
      <formula>LEN(TRIM(F289))&gt;0</formula>
    </cfRule>
  </conditionalFormatting>
  <conditionalFormatting sqref="E289">
    <cfRule type="notContainsBlanks" dxfId="1949" priority="1556">
      <formula>LEN(TRIM(E289))&gt;0</formula>
    </cfRule>
  </conditionalFormatting>
  <conditionalFormatting sqref="D289">
    <cfRule type="notContainsBlanks" dxfId="1948" priority="1555">
      <formula>LEN(TRIM(D289))&gt;0</formula>
    </cfRule>
  </conditionalFormatting>
  <conditionalFormatting sqref="C289">
    <cfRule type="notContainsBlanks" dxfId="1947" priority="1554">
      <formula>LEN(TRIM(C289))&gt;0</formula>
    </cfRule>
  </conditionalFormatting>
  <conditionalFormatting sqref="I289">
    <cfRule type="notContainsBlanks" dxfId="1946" priority="1553">
      <formula>LEN(TRIM(I289))&gt;0</formula>
    </cfRule>
  </conditionalFormatting>
  <conditionalFormatting sqref="G280">
    <cfRule type="notContainsBlanks" dxfId="1945" priority="1552">
      <formula>LEN(TRIM(G280))&gt;0</formula>
    </cfRule>
  </conditionalFormatting>
  <conditionalFormatting sqref="F280">
    <cfRule type="notContainsBlanks" dxfId="1944" priority="1551">
      <formula>LEN(TRIM(F280))&gt;0</formula>
    </cfRule>
  </conditionalFormatting>
  <conditionalFormatting sqref="E280">
    <cfRule type="notContainsBlanks" dxfId="1943" priority="1550">
      <formula>LEN(TRIM(E280))&gt;0</formula>
    </cfRule>
  </conditionalFormatting>
  <conditionalFormatting sqref="D280">
    <cfRule type="notContainsBlanks" dxfId="1942" priority="1549">
      <formula>LEN(TRIM(D280))&gt;0</formula>
    </cfRule>
  </conditionalFormatting>
  <conditionalFormatting sqref="C280">
    <cfRule type="notContainsBlanks" dxfId="1941" priority="1548">
      <formula>LEN(TRIM(C280))&gt;0</formula>
    </cfRule>
  </conditionalFormatting>
  <conditionalFormatting sqref="G286">
    <cfRule type="notContainsBlanks" dxfId="1940" priority="1547">
      <formula>LEN(TRIM(G286))&gt;0</formula>
    </cfRule>
  </conditionalFormatting>
  <conditionalFormatting sqref="F286">
    <cfRule type="notContainsBlanks" dxfId="1939" priority="1546">
      <formula>LEN(TRIM(F286))&gt;0</formula>
    </cfRule>
  </conditionalFormatting>
  <conditionalFormatting sqref="E286">
    <cfRule type="notContainsBlanks" dxfId="1938" priority="1545">
      <formula>LEN(TRIM(E286))&gt;0</formula>
    </cfRule>
  </conditionalFormatting>
  <conditionalFormatting sqref="D286">
    <cfRule type="notContainsBlanks" dxfId="1937" priority="1544">
      <formula>LEN(TRIM(D286))&gt;0</formula>
    </cfRule>
  </conditionalFormatting>
  <conditionalFormatting sqref="C286">
    <cfRule type="notContainsBlanks" dxfId="1936" priority="1543">
      <formula>LEN(TRIM(C286))&gt;0</formula>
    </cfRule>
  </conditionalFormatting>
  <conditionalFormatting sqref="I280">
    <cfRule type="notContainsBlanks" dxfId="1935" priority="1542">
      <formula>LEN(TRIM(I280))&gt;0</formula>
    </cfRule>
  </conditionalFormatting>
  <conditionalFormatting sqref="I286">
    <cfRule type="notContainsBlanks" dxfId="1934" priority="1541">
      <formula>LEN(TRIM(I286))&gt;0</formula>
    </cfRule>
  </conditionalFormatting>
  <conditionalFormatting sqref="S292">
    <cfRule type="expression" dxfId="1933" priority="1539">
      <formula>$S$28&gt;0</formula>
    </cfRule>
    <cfRule type="cellIs" dxfId="1932" priority="1540" operator="equal">
      <formula>0</formula>
    </cfRule>
  </conditionalFormatting>
  <conditionalFormatting sqref="S293">
    <cfRule type="expression" dxfId="1931" priority="1537">
      <formula>$S$28&gt;0</formula>
    </cfRule>
    <cfRule type="cellIs" dxfId="1930" priority="1538" operator="equal">
      <formula>0</formula>
    </cfRule>
  </conditionalFormatting>
  <conditionalFormatting sqref="N277">
    <cfRule type="expression" dxfId="1929" priority="1534">
      <formula>N277=" "</formula>
    </cfRule>
    <cfRule type="expression" dxfId="1928" priority="1535">
      <formula>N277="NO PRESENTÓ CERTIFICADO"</formula>
    </cfRule>
    <cfRule type="expression" dxfId="1927" priority="1536">
      <formula>N277="PRESENTÓ CERTIFICADO"</formula>
    </cfRule>
  </conditionalFormatting>
  <conditionalFormatting sqref="O277">
    <cfRule type="cellIs" dxfId="1926" priority="1526" operator="equal">
      <formula>"PENDIENTE POR DESCRIPCIÓN"</formula>
    </cfRule>
    <cfRule type="cellIs" dxfId="1925" priority="1527" operator="equal">
      <formula>"DESCRIPCIÓN INSUFICIENTE"</formula>
    </cfRule>
    <cfRule type="cellIs" dxfId="1924" priority="1528" operator="equal">
      <formula>"NO ESTÁ ACORDE A ITEM 5.2.2 (T.R.)"</formula>
    </cfRule>
    <cfRule type="cellIs" dxfId="1923" priority="1529" operator="equal">
      <formula>"ACORDE A ITEM 5.2.2 (T.R.)"</formula>
    </cfRule>
    <cfRule type="cellIs" dxfId="1922" priority="1530" operator="equal">
      <formula>"PENDIENTE POR DESCRIPCIÓN"</formula>
    </cfRule>
    <cfRule type="cellIs" dxfId="1921" priority="1531" operator="equal">
      <formula>"DESCRIPCIÓN INSUFICIENTE"</formula>
    </cfRule>
    <cfRule type="cellIs" dxfId="1920" priority="1532" operator="equal">
      <formula>"NO ESTÁ ACORDE A ITEM 5.2.1 (T.R.)"</formula>
    </cfRule>
    <cfRule type="cellIs" dxfId="1919" priority="1533" operator="equal">
      <formula>"ACORDE A ITEM 5.2.1 (T.R.)"</formula>
    </cfRule>
  </conditionalFormatting>
  <conditionalFormatting sqref="P277">
    <cfRule type="expression" dxfId="1918" priority="1521">
      <formula>Q277="NO SUBSANABLE"</formula>
    </cfRule>
    <cfRule type="expression" dxfId="1917" priority="1522">
      <formula>Q277="REQUERIMIENTOS SUBSANADOS"</formula>
    </cfRule>
    <cfRule type="expression" dxfId="1916" priority="1523">
      <formula>Q277="PENDIENTES POR SUBSANAR"</formula>
    </cfRule>
    <cfRule type="expression" dxfId="1915" priority="1524">
      <formula>Q277="SIN OBSERVACIÓN"</formula>
    </cfRule>
    <cfRule type="containsBlanks" dxfId="1914" priority="1525">
      <formula>LEN(TRIM(P277))=0</formula>
    </cfRule>
  </conditionalFormatting>
  <conditionalFormatting sqref="N289">
    <cfRule type="expression" dxfId="1913" priority="1518">
      <formula>N289=" "</formula>
    </cfRule>
    <cfRule type="expression" dxfId="1912" priority="1519">
      <formula>N289="NO PRESENTÓ CERTIFICADO"</formula>
    </cfRule>
    <cfRule type="expression" dxfId="1911" priority="1520">
      <formula>N289="PRESENTÓ CERTIFICADO"</formula>
    </cfRule>
  </conditionalFormatting>
  <conditionalFormatting sqref="O289">
    <cfRule type="cellIs" dxfId="1910" priority="1500" operator="equal">
      <formula>"PENDIENTE POR DESCRIPCIÓN"</formula>
    </cfRule>
    <cfRule type="cellIs" dxfId="1909" priority="1501" operator="equal">
      <formula>"DESCRIPCIÓN INSUFICIENTE"</formula>
    </cfRule>
    <cfRule type="cellIs" dxfId="1908" priority="1502" operator="equal">
      <formula>"NO ESTÁ ACORDE A ITEM 5.2.2 (T.R.)"</formula>
    </cfRule>
    <cfRule type="cellIs" dxfId="1907" priority="1503" operator="equal">
      <formula>"ACORDE A ITEM 5.2.2 (T.R.)"</formula>
    </cfRule>
    <cfRule type="cellIs" dxfId="1906" priority="1510" operator="equal">
      <formula>"PENDIENTE POR DESCRIPCIÓN"</formula>
    </cfRule>
    <cfRule type="cellIs" dxfId="1905" priority="1512" operator="equal">
      <formula>"DESCRIPCIÓN INSUFICIENTE"</formula>
    </cfRule>
    <cfRule type="cellIs" dxfId="1904" priority="1513" operator="equal">
      <formula>"NO ESTÁ ACORDE A ITEM 5.2.1 (T.R.)"</formula>
    </cfRule>
    <cfRule type="cellIs" dxfId="1903" priority="1514" operator="equal">
      <formula>"ACORDE A ITEM 5.2.1 (T.R.)"</formula>
    </cfRule>
  </conditionalFormatting>
  <conditionalFormatting sqref="Q289">
    <cfRule type="containsBlanks" dxfId="1902" priority="1505">
      <formula>LEN(TRIM(Q289))=0</formula>
    </cfRule>
    <cfRule type="cellIs" dxfId="1901" priority="1511" operator="equal">
      <formula>"REQUERIMIENTOS SUBSANADOS"</formula>
    </cfRule>
    <cfRule type="containsText" dxfId="1900" priority="1515" operator="containsText" text="NO SUBSANABLE">
      <formula>NOT(ISERROR(SEARCH("NO SUBSANABLE",Q289)))</formula>
    </cfRule>
    <cfRule type="containsText" dxfId="1899" priority="1516" operator="containsText" text="PENDIENTES POR SUBSANAR">
      <formula>NOT(ISERROR(SEARCH("PENDIENTES POR SUBSANAR",Q289)))</formula>
    </cfRule>
    <cfRule type="containsText" dxfId="1898" priority="1517" operator="containsText" text="SIN OBSERVACIÓN">
      <formula>NOT(ISERROR(SEARCH("SIN OBSERVACIÓN",Q289)))</formula>
    </cfRule>
  </conditionalFormatting>
  <conditionalFormatting sqref="R289">
    <cfRule type="containsBlanks" dxfId="1897" priority="1504">
      <formula>LEN(TRIM(R289))=0</formula>
    </cfRule>
    <cfRule type="cellIs" dxfId="1896" priority="1506" operator="equal">
      <formula>"NO CUMPLEN CON LO SOLICITADO"</formula>
    </cfRule>
    <cfRule type="cellIs" dxfId="1895" priority="1507" operator="equal">
      <formula>"CUMPLEN CON LO SOLICITADO"</formula>
    </cfRule>
    <cfRule type="cellIs" dxfId="1894" priority="1508" operator="equal">
      <formula>"PENDIENTES"</formula>
    </cfRule>
    <cfRule type="cellIs" dxfId="1893" priority="1509" operator="equal">
      <formula>"NINGUNO"</formula>
    </cfRule>
  </conditionalFormatting>
  <conditionalFormatting sqref="P280 P283 P286 P289">
    <cfRule type="expression" dxfId="1892" priority="1495">
      <formula>Q280="NO SUBSANABLE"</formula>
    </cfRule>
    <cfRule type="expression" dxfId="1891" priority="1496">
      <formula>Q280="REQUERIMIENTOS SUBSANADOS"</formula>
    </cfRule>
    <cfRule type="expression" dxfId="1890" priority="1497">
      <formula>Q280="PENDIENTES POR SUBSANAR"</formula>
    </cfRule>
    <cfRule type="expression" dxfId="1889" priority="1498">
      <formula>Q280="SIN OBSERVACIÓN"</formula>
    </cfRule>
    <cfRule type="containsBlanks" dxfId="1888" priority="1499">
      <formula>LEN(TRIM(P280))=0</formula>
    </cfRule>
  </conditionalFormatting>
  <conditionalFormatting sqref="N286">
    <cfRule type="expression" dxfId="1887" priority="1492">
      <formula>N286=" "</formula>
    </cfRule>
    <cfRule type="expression" dxfId="1886" priority="1493">
      <formula>N286="NO PRESENTÓ CERTIFICADO"</formula>
    </cfRule>
    <cfRule type="expression" dxfId="1885" priority="1494">
      <formula>N286="PRESENTÓ CERTIFICADO"</formula>
    </cfRule>
  </conditionalFormatting>
  <conditionalFormatting sqref="O286">
    <cfRule type="cellIs" dxfId="1884" priority="1484" operator="equal">
      <formula>"PENDIENTE POR DESCRIPCIÓN"</formula>
    </cfRule>
    <cfRule type="cellIs" dxfId="1883" priority="1485" operator="equal">
      <formula>"DESCRIPCIÓN INSUFICIENTE"</formula>
    </cfRule>
    <cfRule type="cellIs" dxfId="1882" priority="1486" operator="equal">
      <formula>"NO ESTÁ ACORDE A ITEM 5.2.2 (T.R.)"</formula>
    </cfRule>
    <cfRule type="cellIs" dxfId="1881" priority="1487" operator="equal">
      <formula>"ACORDE A ITEM 5.2.2 (T.R.)"</formula>
    </cfRule>
    <cfRule type="cellIs" dxfId="1880" priority="1488" operator="equal">
      <formula>"PENDIENTE POR DESCRIPCIÓN"</formula>
    </cfRule>
    <cfRule type="cellIs" dxfId="1879" priority="1489" operator="equal">
      <formula>"DESCRIPCIÓN INSUFICIENTE"</formula>
    </cfRule>
    <cfRule type="cellIs" dxfId="1878" priority="1490" operator="equal">
      <formula>"NO ESTÁ ACORDE A ITEM 5.2.1 (T.R.)"</formula>
    </cfRule>
    <cfRule type="cellIs" dxfId="1877" priority="1491" operator="equal">
      <formula>"ACORDE A ITEM 5.2.1 (T.R.)"</formula>
    </cfRule>
  </conditionalFormatting>
  <conditionalFormatting sqref="Q283">
    <cfRule type="containsBlanks" dxfId="1876" priority="1475">
      <formula>LEN(TRIM(Q283))=0</formula>
    </cfRule>
    <cfRule type="cellIs" dxfId="1875" priority="1480" operator="equal">
      <formula>"REQUERIMIENTOS SUBSANADOS"</formula>
    </cfRule>
    <cfRule type="containsText" dxfId="1874" priority="1481" operator="containsText" text="NO SUBSANABLE">
      <formula>NOT(ISERROR(SEARCH("NO SUBSANABLE",Q283)))</formula>
    </cfRule>
    <cfRule type="containsText" dxfId="1873" priority="1482" operator="containsText" text="PENDIENTES POR SUBSANAR">
      <formula>NOT(ISERROR(SEARCH("PENDIENTES POR SUBSANAR",Q283)))</formula>
    </cfRule>
    <cfRule type="containsText" dxfId="1872" priority="1483" operator="containsText" text="SIN OBSERVACIÓN">
      <formula>NOT(ISERROR(SEARCH("SIN OBSERVACIÓN",Q283)))</formula>
    </cfRule>
  </conditionalFormatting>
  <conditionalFormatting sqref="R283">
    <cfRule type="containsBlanks" dxfId="1871" priority="1474">
      <formula>LEN(TRIM(R283))=0</formula>
    </cfRule>
    <cfRule type="cellIs" dxfId="1870" priority="1476" operator="equal">
      <formula>"NO CUMPLEN CON LO SOLICITADO"</formula>
    </cfRule>
    <cfRule type="cellIs" dxfId="1869" priority="1477" operator="equal">
      <formula>"CUMPLEN CON LO SOLICITADO"</formula>
    </cfRule>
    <cfRule type="cellIs" dxfId="1868" priority="1478" operator="equal">
      <formula>"PENDIENTES"</formula>
    </cfRule>
    <cfRule type="cellIs" dxfId="1867" priority="1479" operator="equal">
      <formula>"NINGUNO"</formula>
    </cfRule>
  </conditionalFormatting>
  <conditionalFormatting sqref="Q286">
    <cfRule type="containsBlanks" dxfId="1866" priority="1465">
      <formula>LEN(TRIM(Q286))=0</formula>
    </cfRule>
    <cfRule type="cellIs" dxfId="1865" priority="1470" operator="equal">
      <formula>"REQUERIMIENTOS SUBSANADOS"</formula>
    </cfRule>
    <cfRule type="containsText" dxfId="1864" priority="1471" operator="containsText" text="NO SUBSANABLE">
      <formula>NOT(ISERROR(SEARCH("NO SUBSANABLE",Q286)))</formula>
    </cfRule>
    <cfRule type="containsText" dxfId="1863" priority="1472" operator="containsText" text="PENDIENTES POR SUBSANAR">
      <formula>NOT(ISERROR(SEARCH("PENDIENTES POR SUBSANAR",Q286)))</formula>
    </cfRule>
    <cfRule type="containsText" dxfId="1862" priority="1473" operator="containsText" text="SIN OBSERVACIÓN">
      <formula>NOT(ISERROR(SEARCH("SIN OBSERVACIÓN",Q286)))</formula>
    </cfRule>
  </conditionalFormatting>
  <conditionalFormatting sqref="R286">
    <cfRule type="containsBlanks" dxfId="1861" priority="1464">
      <formula>LEN(TRIM(R286))=0</formula>
    </cfRule>
    <cfRule type="cellIs" dxfId="1860" priority="1466" operator="equal">
      <formula>"NO CUMPLEN CON LO SOLICITADO"</formula>
    </cfRule>
    <cfRule type="cellIs" dxfId="1859" priority="1467" operator="equal">
      <formula>"CUMPLEN CON LO SOLICITADO"</formula>
    </cfRule>
    <cfRule type="cellIs" dxfId="1858" priority="1468" operator="equal">
      <formula>"PENDIENTES"</formula>
    </cfRule>
    <cfRule type="cellIs" dxfId="1857" priority="1469" operator="equal">
      <formula>"NINGUNO"</formula>
    </cfRule>
  </conditionalFormatting>
  <conditionalFormatting sqref="M286">
    <cfRule type="expression" dxfId="1856" priority="1422">
      <formula>L286="NO CUMPLE"</formula>
    </cfRule>
    <cfRule type="expression" dxfId="1855" priority="1423">
      <formula>L286="CUMPLE"</formula>
    </cfRule>
  </conditionalFormatting>
  <conditionalFormatting sqref="L286:L287">
    <cfRule type="cellIs" dxfId="1854" priority="1420" operator="equal">
      <formula>"NO CUMPLE"</formula>
    </cfRule>
    <cfRule type="cellIs" dxfId="1853" priority="1421" operator="equal">
      <formula>"CUMPLE"</formula>
    </cfRule>
  </conditionalFormatting>
  <conditionalFormatting sqref="M287">
    <cfRule type="expression" dxfId="1852" priority="1418">
      <formula>L287="NO CUMPLE"</formula>
    </cfRule>
    <cfRule type="expression" dxfId="1851" priority="1419">
      <formula>L287="CUMPLE"</formula>
    </cfRule>
  </conditionalFormatting>
  <conditionalFormatting sqref="J280:J288">
    <cfRule type="cellIs" dxfId="1850" priority="1462" operator="equal">
      <formula>"NO CUMPLE"</formula>
    </cfRule>
    <cfRule type="cellIs" dxfId="1849" priority="1463" operator="equal">
      <formula>"CUMPLE"</formula>
    </cfRule>
  </conditionalFormatting>
  <conditionalFormatting sqref="K280">
    <cfRule type="expression" dxfId="1848" priority="1460">
      <formula>J280="NO CUMPLE"</formula>
    </cfRule>
    <cfRule type="expression" dxfId="1847" priority="1461">
      <formula>J280="CUMPLE"</formula>
    </cfRule>
  </conditionalFormatting>
  <conditionalFormatting sqref="K281:K282">
    <cfRule type="expression" dxfId="1846" priority="1458">
      <formula>J281="NO CUMPLE"</formula>
    </cfRule>
    <cfRule type="expression" dxfId="1845" priority="1459">
      <formula>J281="CUMPLE"</formula>
    </cfRule>
  </conditionalFormatting>
  <conditionalFormatting sqref="J289">
    <cfRule type="cellIs" dxfId="1844" priority="1456" operator="equal">
      <formula>"NO CUMPLE"</formula>
    </cfRule>
    <cfRule type="cellIs" dxfId="1843" priority="1457" operator="equal">
      <formula>"CUMPLE"</formula>
    </cfRule>
  </conditionalFormatting>
  <conditionalFormatting sqref="J290:J291">
    <cfRule type="cellIs" dxfId="1842" priority="1454" operator="equal">
      <formula>"NO CUMPLE"</formula>
    </cfRule>
    <cfRule type="cellIs" dxfId="1841" priority="1455" operator="equal">
      <formula>"CUMPLE"</formula>
    </cfRule>
  </conditionalFormatting>
  <conditionalFormatting sqref="K283">
    <cfRule type="expression" dxfId="1840" priority="1452">
      <formula>J283="NO CUMPLE"</formula>
    </cfRule>
    <cfRule type="expression" dxfId="1839" priority="1453">
      <formula>J283="CUMPLE"</formula>
    </cfRule>
  </conditionalFormatting>
  <conditionalFormatting sqref="K284:K285">
    <cfRule type="expression" dxfId="1838" priority="1450">
      <formula>J284="NO CUMPLE"</formula>
    </cfRule>
    <cfRule type="expression" dxfId="1837" priority="1451">
      <formula>J284="CUMPLE"</formula>
    </cfRule>
  </conditionalFormatting>
  <conditionalFormatting sqref="K286">
    <cfRule type="expression" dxfId="1836" priority="1448">
      <formula>J286="NO CUMPLE"</formula>
    </cfRule>
    <cfRule type="expression" dxfId="1835" priority="1449">
      <formula>J286="CUMPLE"</formula>
    </cfRule>
  </conditionalFormatting>
  <conditionalFormatting sqref="K287:K288">
    <cfRule type="expression" dxfId="1834" priority="1446">
      <formula>J287="NO CUMPLE"</formula>
    </cfRule>
    <cfRule type="expression" dxfId="1833" priority="1447">
      <formula>J287="CUMPLE"</formula>
    </cfRule>
  </conditionalFormatting>
  <conditionalFormatting sqref="K289">
    <cfRule type="expression" dxfId="1832" priority="1444">
      <formula>J289="NO CUMPLE"</formula>
    </cfRule>
    <cfRule type="expression" dxfId="1831" priority="1445">
      <formula>J289="CUMPLE"</formula>
    </cfRule>
  </conditionalFormatting>
  <conditionalFormatting sqref="K290:K291">
    <cfRule type="expression" dxfId="1830" priority="1442">
      <formula>J290="NO CUMPLE"</formula>
    </cfRule>
    <cfRule type="expression" dxfId="1829" priority="1443">
      <formula>J290="CUMPLE"</formula>
    </cfRule>
  </conditionalFormatting>
  <conditionalFormatting sqref="M281">
    <cfRule type="expression" dxfId="1828" priority="1430">
      <formula>L281="NO CUMPLE"</formula>
    </cfRule>
    <cfRule type="expression" dxfId="1827" priority="1431">
      <formula>L281="CUMPLE"</formula>
    </cfRule>
  </conditionalFormatting>
  <conditionalFormatting sqref="L280:L281">
    <cfRule type="cellIs" dxfId="1826" priority="1432" operator="equal">
      <formula>"NO CUMPLE"</formula>
    </cfRule>
    <cfRule type="cellIs" dxfId="1825" priority="1433" operator="equal">
      <formula>"CUMPLE"</formula>
    </cfRule>
  </conditionalFormatting>
  <conditionalFormatting sqref="M280">
    <cfRule type="expression" dxfId="1824" priority="1434">
      <formula>L280="NO CUMPLE"</formula>
    </cfRule>
    <cfRule type="expression" dxfId="1823" priority="1435">
      <formula>L280="CUMPLE"</formula>
    </cfRule>
  </conditionalFormatting>
  <conditionalFormatting sqref="M278">
    <cfRule type="expression" dxfId="1822" priority="1436">
      <formula>L278="NO CUMPLE"</formula>
    </cfRule>
    <cfRule type="expression" dxfId="1821" priority="1437">
      <formula>L278="CUMPLE"</formula>
    </cfRule>
  </conditionalFormatting>
  <conditionalFormatting sqref="M277">
    <cfRule type="expression" dxfId="1820" priority="1440">
      <formula>L277="NO CUMPLE"</formula>
    </cfRule>
    <cfRule type="expression" dxfId="1819" priority="1441">
      <formula>L277="CUMPLE"</formula>
    </cfRule>
  </conditionalFormatting>
  <conditionalFormatting sqref="L277:L278">
    <cfRule type="cellIs" dxfId="1818" priority="1438" operator="equal">
      <formula>"NO CUMPLE"</formula>
    </cfRule>
    <cfRule type="cellIs" dxfId="1817" priority="1439" operator="equal">
      <formula>"CUMPLE"</formula>
    </cfRule>
  </conditionalFormatting>
  <conditionalFormatting sqref="M284">
    <cfRule type="expression" dxfId="1816" priority="1424">
      <formula>L284="NO CUMPLE"</formula>
    </cfRule>
    <cfRule type="expression" dxfId="1815" priority="1425">
      <formula>L284="CUMPLE"</formula>
    </cfRule>
  </conditionalFormatting>
  <conditionalFormatting sqref="M283">
    <cfRule type="expression" dxfId="1814" priority="1428">
      <formula>L283="NO CUMPLE"</formula>
    </cfRule>
    <cfRule type="expression" dxfId="1813" priority="1429">
      <formula>L283="CUMPLE"</formula>
    </cfRule>
  </conditionalFormatting>
  <conditionalFormatting sqref="L283:L284">
    <cfRule type="cellIs" dxfId="1812" priority="1426" operator="equal">
      <formula>"NO CUMPLE"</formula>
    </cfRule>
    <cfRule type="cellIs" dxfId="1811" priority="1427" operator="equal">
      <formula>"CUMPLE"</formula>
    </cfRule>
  </conditionalFormatting>
  <conditionalFormatting sqref="M290">
    <cfRule type="expression" dxfId="1810" priority="1412">
      <formula>L290="NO CUMPLE"</formula>
    </cfRule>
    <cfRule type="expression" dxfId="1809" priority="1413">
      <formula>L290="CUMPLE"</formula>
    </cfRule>
  </conditionalFormatting>
  <conditionalFormatting sqref="M289">
    <cfRule type="expression" dxfId="1808" priority="1416">
      <formula>L289="NO CUMPLE"</formula>
    </cfRule>
    <cfRule type="expression" dxfId="1807" priority="1417">
      <formula>L289="CUMPLE"</formula>
    </cfRule>
  </conditionalFormatting>
  <conditionalFormatting sqref="L289:L290">
    <cfRule type="cellIs" dxfId="1806" priority="1414" operator="equal">
      <formula>"NO CUMPLE"</formula>
    </cfRule>
    <cfRule type="cellIs" dxfId="1805" priority="1415" operator="equal">
      <formula>"CUMPLE"</formula>
    </cfRule>
  </conditionalFormatting>
  <conditionalFormatting sqref="J277">
    <cfRule type="cellIs" dxfId="1804" priority="1410" operator="equal">
      <formula>"NO CUMPLE"</formula>
    </cfRule>
    <cfRule type="cellIs" dxfId="1803" priority="1411" operator="equal">
      <formula>"CUMPLE"</formula>
    </cfRule>
  </conditionalFormatting>
  <conditionalFormatting sqref="J278:J279">
    <cfRule type="cellIs" dxfId="1802" priority="1408" operator="equal">
      <formula>"NO CUMPLE"</formula>
    </cfRule>
    <cfRule type="cellIs" dxfId="1801" priority="1409" operator="equal">
      <formula>"CUMPLE"</formula>
    </cfRule>
  </conditionalFormatting>
  <conditionalFormatting sqref="K277">
    <cfRule type="expression" dxfId="1800" priority="1406">
      <formula>J277="NO CUMPLE"</formula>
    </cfRule>
    <cfRule type="expression" dxfId="1799" priority="1407">
      <formula>J277="CUMPLE"</formula>
    </cfRule>
  </conditionalFormatting>
  <conditionalFormatting sqref="K278:K279">
    <cfRule type="expression" dxfId="1798" priority="1404">
      <formula>J278="NO CUMPLE"</formula>
    </cfRule>
    <cfRule type="expression" dxfId="1797" priority="1405">
      <formula>J278="CUMPLE"</formula>
    </cfRule>
  </conditionalFormatting>
  <conditionalFormatting sqref="S299">
    <cfRule type="cellIs" dxfId="1796" priority="1402" operator="greaterThan">
      <formula>0</formula>
    </cfRule>
    <cfRule type="top10" dxfId="1795" priority="1403" rank="10"/>
  </conditionalFormatting>
  <conditionalFormatting sqref="B314">
    <cfRule type="cellIs" dxfId="1794" priority="1400" operator="equal">
      <formula>"NO CUMPLE CON LA EXPERIENCIA REQUERIDA"</formula>
    </cfRule>
    <cfRule type="cellIs" dxfId="1793" priority="1401" operator="equal">
      <formula>"CUMPLE CON LA EXPERIENCIA REQUERIDA"</formula>
    </cfRule>
  </conditionalFormatting>
  <conditionalFormatting sqref="H299 H302 H305 H308 H311">
    <cfRule type="notContainsBlanks" dxfId="1792" priority="1399">
      <formula>LEN(TRIM(H299))&gt;0</formula>
    </cfRule>
  </conditionalFormatting>
  <conditionalFormatting sqref="G299">
    <cfRule type="notContainsBlanks" dxfId="1791" priority="1398">
      <formula>LEN(TRIM(G299))&gt;0</formula>
    </cfRule>
  </conditionalFormatting>
  <conditionalFormatting sqref="F299">
    <cfRule type="notContainsBlanks" dxfId="1790" priority="1397">
      <formula>LEN(TRIM(F299))&gt;0</formula>
    </cfRule>
  </conditionalFormatting>
  <conditionalFormatting sqref="E299">
    <cfRule type="notContainsBlanks" dxfId="1789" priority="1396">
      <formula>LEN(TRIM(E299))&gt;0</formula>
    </cfRule>
  </conditionalFormatting>
  <conditionalFormatting sqref="D299">
    <cfRule type="notContainsBlanks" dxfId="1788" priority="1395">
      <formula>LEN(TRIM(D299))&gt;0</formula>
    </cfRule>
  </conditionalFormatting>
  <conditionalFormatting sqref="C299">
    <cfRule type="notContainsBlanks" dxfId="1787" priority="1394">
      <formula>LEN(TRIM(C299))&gt;0</formula>
    </cfRule>
  </conditionalFormatting>
  <conditionalFormatting sqref="I299">
    <cfRule type="notContainsBlanks" dxfId="1786" priority="1393">
      <formula>LEN(TRIM(I299))&gt;0</formula>
    </cfRule>
  </conditionalFormatting>
  <conditionalFormatting sqref="S302">
    <cfRule type="cellIs" dxfId="1785" priority="1391" operator="greaterThan">
      <formula>0</formula>
    </cfRule>
    <cfRule type="top10" dxfId="1784" priority="1392" rank="10"/>
  </conditionalFormatting>
  <conditionalFormatting sqref="S305">
    <cfRule type="cellIs" dxfId="1783" priority="1389" operator="greaterThan">
      <formula>0</formula>
    </cfRule>
    <cfRule type="top10" dxfId="1782" priority="1390" rank="10"/>
  </conditionalFormatting>
  <conditionalFormatting sqref="G305">
    <cfRule type="notContainsBlanks" dxfId="1781" priority="1388">
      <formula>LEN(TRIM(G305))&gt;0</formula>
    </cfRule>
  </conditionalFormatting>
  <conditionalFormatting sqref="F305">
    <cfRule type="notContainsBlanks" dxfId="1780" priority="1387">
      <formula>LEN(TRIM(F305))&gt;0</formula>
    </cfRule>
  </conditionalFormatting>
  <conditionalFormatting sqref="E305">
    <cfRule type="notContainsBlanks" dxfId="1779" priority="1386">
      <formula>LEN(TRIM(E305))&gt;0</formula>
    </cfRule>
  </conditionalFormatting>
  <conditionalFormatting sqref="D305">
    <cfRule type="notContainsBlanks" dxfId="1778" priority="1385">
      <formula>LEN(TRIM(D305))&gt;0</formula>
    </cfRule>
  </conditionalFormatting>
  <conditionalFormatting sqref="C305">
    <cfRule type="notContainsBlanks" dxfId="1777" priority="1384">
      <formula>LEN(TRIM(C305))&gt;0</formula>
    </cfRule>
  </conditionalFormatting>
  <conditionalFormatting sqref="I305">
    <cfRule type="notContainsBlanks" dxfId="1776" priority="1383">
      <formula>LEN(TRIM(I305))&gt;0</formula>
    </cfRule>
  </conditionalFormatting>
  <conditionalFormatting sqref="S308">
    <cfRule type="cellIs" dxfId="1775" priority="1381" operator="greaterThan">
      <formula>0</formula>
    </cfRule>
    <cfRule type="top10" dxfId="1774" priority="1382" rank="10"/>
  </conditionalFormatting>
  <conditionalFormatting sqref="S311">
    <cfRule type="cellIs" dxfId="1773" priority="1379" operator="greaterThan">
      <formula>0</formula>
    </cfRule>
    <cfRule type="top10" dxfId="1772" priority="1380" rank="10"/>
  </conditionalFormatting>
  <conditionalFormatting sqref="G311">
    <cfRule type="notContainsBlanks" dxfId="1771" priority="1378">
      <formula>LEN(TRIM(G311))&gt;0</formula>
    </cfRule>
  </conditionalFormatting>
  <conditionalFormatting sqref="F311">
    <cfRule type="notContainsBlanks" dxfId="1770" priority="1377">
      <formula>LEN(TRIM(F311))&gt;0</formula>
    </cfRule>
  </conditionalFormatting>
  <conditionalFormatting sqref="E311">
    <cfRule type="notContainsBlanks" dxfId="1769" priority="1376">
      <formula>LEN(TRIM(E311))&gt;0</formula>
    </cfRule>
  </conditionalFormatting>
  <conditionalFormatting sqref="D311">
    <cfRule type="notContainsBlanks" dxfId="1768" priority="1375">
      <formula>LEN(TRIM(D311))&gt;0</formula>
    </cfRule>
  </conditionalFormatting>
  <conditionalFormatting sqref="C311">
    <cfRule type="notContainsBlanks" dxfId="1767" priority="1374">
      <formula>LEN(TRIM(C311))&gt;0</formula>
    </cfRule>
  </conditionalFormatting>
  <conditionalFormatting sqref="I311">
    <cfRule type="notContainsBlanks" dxfId="1766" priority="1373">
      <formula>LEN(TRIM(I311))&gt;0</formula>
    </cfRule>
  </conditionalFormatting>
  <conditionalFormatting sqref="G302">
    <cfRule type="notContainsBlanks" dxfId="1765" priority="1372">
      <formula>LEN(TRIM(G302))&gt;0</formula>
    </cfRule>
  </conditionalFormatting>
  <conditionalFormatting sqref="F302">
    <cfRule type="notContainsBlanks" dxfId="1764" priority="1371">
      <formula>LEN(TRIM(F302))&gt;0</formula>
    </cfRule>
  </conditionalFormatting>
  <conditionalFormatting sqref="E302">
    <cfRule type="notContainsBlanks" dxfId="1763" priority="1370">
      <formula>LEN(TRIM(E302))&gt;0</formula>
    </cfRule>
  </conditionalFormatting>
  <conditionalFormatting sqref="D302">
    <cfRule type="notContainsBlanks" dxfId="1762" priority="1369">
      <formula>LEN(TRIM(D302))&gt;0</formula>
    </cfRule>
  </conditionalFormatting>
  <conditionalFormatting sqref="C302">
    <cfRule type="notContainsBlanks" dxfId="1761" priority="1368">
      <formula>LEN(TRIM(C302))&gt;0</formula>
    </cfRule>
  </conditionalFormatting>
  <conditionalFormatting sqref="G308">
    <cfRule type="notContainsBlanks" dxfId="1760" priority="1367">
      <formula>LEN(TRIM(G308))&gt;0</formula>
    </cfRule>
  </conditionalFormatting>
  <conditionalFormatting sqref="F308">
    <cfRule type="notContainsBlanks" dxfId="1759" priority="1366">
      <formula>LEN(TRIM(F308))&gt;0</formula>
    </cfRule>
  </conditionalFormatting>
  <conditionalFormatting sqref="E308">
    <cfRule type="notContainsBlanks" dxfId="1758" priority="1365">
      <formula>LEN(TRIM(E308))&gt;0</formula>
    </cfRule>
  </conditionalFormatting>
  <conditionalFormatting sqref="D308">
    <cfRule type="notContainsBlanks" dxfId="1757" priority="1364">
      <formula>LEN(TRIM(D308))&gt;0</formula>
    </cfRule>
  </conditionalFormatting>
  <conditionalFormatting sqref="C308">
    <cfRule type="notContainsBlanks" dxfId="1756" priority="1363">
      <formula>LEN(TRIM(C308))&gt;0</formula>
    </cfRule>
  </conditionalFormatting>
  <conditionalFormatting sqref="I302">
    <cfRule type="notContainsBlanks" dxfId="1755" priority="1362">
      <formula>LEN(TRIM(I302))&gt;0</formula>
    </cfRule>
  </conditionalFormatting>
  <conditionalFormatting sqref="I308">
    <cfRule type="notContainsBlanks" dxfId="1754" priority="1361">
      <formula>LEN(TRIM(I308))&gt;0</formula>
    </cfRule>
  </conditionalFormatting>
  <conditionalFormatting sqref="S314">
    <cfRule type="expression" dxfId="1753" priority="1359">
      <formula>$S$28&gt;0</formula>
    </cfRule>
    <cfRule type="cellIs" dxfId="1752" priority="1360" operator="equal">
      <formula>0</formula>
    </cfRule>
  </conditionalFormatting>
  <conditionalFormatting sqref="S315">
    <cfRule type="expression" dxfId="1751" priority="1357">
      <formula>$S$28&gt;0</formula>
    </cfRule>
    <cfRule type="cellIs" dxfId="1750" priority="1358" operator="equal">
      <formula>0</formula>
    </cfRule>
  </conditionalFormatting>
  <conditionalFormatting sqref="N299">
    <cfRule type="expression" dxfId="1749" priority="1354">
      <formula>N299=" "</formula>
    </cfRule>
    <cfRule type="expression" dxfId="1748" priority="1355">
      <formula>N299="NO PRESENTÓ CERTIFICADO"</formula>
    </cfRule>
    <cfRule type="expression" dxfId="1747" priority="1356">
      <formula>N299="PRESENTÓ CERTIFICADO"</formula>
    </cfRule>
  </conditionalFormatting>
  <conditionalFormatting sqref="O299">
    <cfRule type="cellIs" dxfId="1746" priority="1336" operator="equal">
      <formula>"PENDIENTE POR DESCRIPCIÓN"</formula>
    </cfRule>
    <cfRule type="cellIs" dxfId="1745" priority="1337" operator="equal">
      <formula>"DESCRIPCIÓN INSUFICIENTE"</formula>
    </cfRule>
    <cfRule type="cellIs" dxfId="1744" priority="1338" operator="equal">
      <formula>"NO ESTÁ ACORDE A ITEM 5.2.2 (T.R.)"</formula>
    </cfRule>
    <cfRule type="cellIs" dxfId="1743" priority="1339" operator="equal">
      <formula>"ACORDE A ITEM 5.2.2 (T.R.)"</formula>
    </cfRule>
    <cfRule type="cellIs" dxfId="1742" priority="1346" operator="equal">
      <formula>"PENDIENTE POR DESCRIPCIÓN"</formula>
    </cfRule>
    <cfRule type="cellIs" dxfId="1741" priority="1348" operator="equal">
      <formula>"DESCRIPCIÓN INSUFICIENTE"</formula>
    </cfRule>
    <cfRule type="cellIs" dxfId="1740" priority="1349" operator="equal">
      <formula>"NO ESTÁ ACORDE A ITEM 5.2.1 (T.R.)"</formula>
    </cfRule>
    <cfRule type="cellIs" dxfId="1739" priority="1350" operator="equal">
      <formula>"ACORDE A ITEM 5.2.1 (T.R.)"</formula>
    </cfRule>
  </conditionalFormatting>
  <conditionalFormatting sqref="Q299">
    <cfRule type="containsBlanks" dxfId="1738" priority="1341">
      <formula>LEN(TRIM(Q299))=0</formula>
    </cfRule>
    <cfRule type="cellIs" dxfId="1737" priority="1347" operator="equal">
      <formula>"REQUERIMIENTOS SUBSANADOS"</formula>
    </cfRule>
    <cfRule type="containsText" dxfId="1736" priority="1351" operator="containsText" text="NO SUBSANABLE">
      <formula>NOT(ISERROR(SEARCH("NO SUBSANABLE",Q299)))</formula>
    </cfRule>
    <cfRule type="containsText" dxfId="1735" priority="1352" operator="containsText" text="PENDIENTES POR SUBSANAR">
      <formula>NOT(ISERROR(SEARCH("PENDIENTES POR SUBSANAR",Q299)))</formula>
    </cfRule>
    <cfRule type="containsText" dxfId="1734" priority="1353" operator="containsText" text="SIN OBSERVACIÓN">
      <formula>NOT(ISERROR(SEARCH("SIN OBSERVACIÓN",Q299)))</formula>
    </cfRule>
  </conditionalFormatting>
  <conditionalFormatting sqref="R299">
    <cfRule type="containsBlanks" dxfId="1733" priority="1340">
      <formula>LEN(TRIM(R299))=0</formula>
    </cfRule>
    <cfRule type="cellIs" dxfId="1732" priority="1342" operator="equal">
      <formula>"NO CUMPLEN CON LO SOLICITADO"</formula>
    </cfRule>
    <cfRule type="cellIs" dxfId="1731" priority="1343" operator="equal">
      <formula>"CUMPLEN CON LO SOLICITADO"</formula>
    </cfRule>
    <cfRule type="cellIs" dxfId="1730" priority="1344" operator="equal">
      <formula>"PENDIENTES"</formula>
    </cfRule>
    <cfRule type="cellIs" dxfId="1729" priority="1345" operator="equal">
      <formula>"NINGUNO"</formula>
    </cfRule>
  </conditionalFormatting>
  <conditionalFormatting sqref="P299">
    <cfRule type="expression" dxfId="1728" priority="1331">
      <formula>Q299="NO SUBSANABLE"</formula>
    </cfRule>
    <cfRule type="expression" dxfId="1727" priority="1332">
      <formula>Q299="REQUERIMIENTOS SUBSANADOS"</formula>
    </cfRule>
    <cfRule type="expression" dxfId="1726" priority="1333">
      <formula>Q299="PENDIENTES POR SUBSANAR"</formula>
    </cfRule>
    <cfRule type="expression" dxfId="1725" priority="1334">
      <formula>Q299="SIN OBSERVACIÓN"</formula>
    </cfRule>
    <cfRule type="containsBlanks" dxfId="1724" priority="1335">
      <formula>LEN(TRIM(P299))=0</formula>
    </cfRule>
  </conditionalFormatting>
  <conditionalFormatting sqref="N311">
    <cfRule type="expression" dxfId="1723" priority="1328">
      <formula>N311=" "</formula>
    </cfRule>
    <cfRule type="expression" dxfId="1722" priority="1329">
      <formula>N311="NO PRESENTÓ CERTIFICADO"</formula>
    </cfRule>
    <cfRule type="expression" dxfId="1721" priority="1330">
      <formula>N311="PRESENTÓ CERTIFICADO"</formula>
    </cfRule>
  </conditionalFormatting>
  <conditionalFormatting sqref="O311">
    <cfRule type="cellIs" dxfId="1720" priority="1310" operator="equal">
      <formula>"PENDIENTE POR DESCRIPCIÓN"</formula>
    </cfRule>
    <cfRule type="cellIs" dxfId="1719" priority="1311" operator="equal">
      <formula>"DESCRIPCIÓN INSUFICIENTE"</formula>
    </cfRule>
    <cfRule type="cellIs" dxfId="1718" priority="1312" operator="equal">
      <formula>"NO ESTÁ ACORDE A ITEM 5.2.2 (T.R.)"</formula>
    </cfRule>
    <cfRule type="cellIs" dxfId="1717" priority="1313" operator="equal">
      <formula>"ACORDE A ITEM 5.2.2 (T.R.)"</formula>
    </cfRule>
    <cfRule type="cellIs" dxfId="1716" priority="1320" operator="equal">
      <formula>"PENDIENTE POR DESCRIPCIÓN"</formula>
    </cfRule>
    <cfRule type="cellIs" dxfId="1715" priority="1322" operator="equal">
      <formula>"DESCRIPCIÓN INSUFICIENTE"</formula>
    </cfRule>
    <cfRule type="cellIs" dxfId="1714" priority="1323" operator="equal">
      <formula>"NO ESTÁ ACORDE A ITEM 5.2.1 (T.R.)"</formula>
    </cfRule>
    <cfRule type="cellIs" dxfId="1713" priority="1324" operator="equal">
      <formula>"ACORDE A ITEM 5.2.1 (T.R.)"</formula>
    </cfRule>
  </conditionalFormatting>
  <conditionalFormatting sqref="Q311">
    <cfRule type="containsBlanks" dxfId="1712" priority="1315">
      <formula>LEN(TRIM(Q311))=0</formula>
    </cfRule>
    <cfRule type="cellIs" dxfId="1711" priority="1321" operator="equal">
      <formula>"REQUERIMIENTOS SUBSANADOS"</formula>
    </cfRule>
    <cfRule type="containsText" dxfId="1710" priority="1325" operator="containsText" text="NO SUBSANABLE">
      <formula>NOT(ISERROR(SEARCH("NO SUBSANABLE",Q311)))</formula>
    </cfRule>
    <cfRule type="containsText" dxfId="1709" priority="1326" operator="containsText" text="PENDIENTES POR SUBSANAR">
      <formula>NOT(ISERROR(SEARCH("PENDIENTES POR SUBSANAR",Q311)))</formula>
    </cfRule>
    <cfRule type="containsText" dxfId="1708" priority="1327" operator="containsText" text="SIN OBSERVACIÓN">
      <formula>NOT(ISERROR(SEARCH("SIN OBSERVACIÓN",Q311)))</formula>
    </cfRule>
  </conditionalFormatting>
  <conditionalFormatting sqref="R311">
    <cfRule type="containsBlanks" dxfId="1707" priority="1314">
      <formula>LEN(TRIM(R311))=0</formula>
    </cfRule>
    <cfRule type="cellIs" dxfId="1706" priority="1316" operator="equal">
      <formula>"NO CUMPLEN CON LO SOLICITADO"</formula>
    </cfRule>
    <cfRule type="cellIs" dxfId="1705" priority="1317" operator="equal">
      <formula>"CUMPLEN CON LO SOLICITADO"</formula>
    </cfRule>
    <cfRule type="cellIs" dxfId="1704" priority="1318" operator="equal">
      <formula>"PENDIENTES"</formula>
    </cfRule>
    <cfRule type="cellIs" dxfId="1703" priority="1319" operator="equal">
      <formula>"NINGUNO"</formula>
    </cfRule>
  </conditionalFormatting>
  <conditionalFormatting sqref="P302 P305 P308 P311">
    <cfRule type="expression" dxfId="1702" priority="1305">
      <formula>Q302="NO SUBSANABLE"</formula>
    </cfRule>
    <cfRule type="expression" dxfId="1701" priority="1306">
      <formula>Q302="REQUERIMIENTOS SUBSANADOS"</formula>
    </cfRule>
    <cfRule type="expression" dxfId="1700" priority="1307">
      <formula>Q302="PENDIENTES POR SUBSANAR"</formula>
    </cfRule>
    <cfRule type="expression" dxfId="1699" priority="1308">
      <formula>Q302="SIN OBSERVACIÓN"</formula>
    </cfRule>
    <cfRule type="containsBlanks" dxfId="1698" priority="1309">
      <formula>LEN(TRIM(P302))=0</formula>
    </cfRule>
  </conditionalFormatting>
  <conditionalFormatting sqref="N302">
    <cfRule type="expression" dxfId="1697" priority="1302">
      <formula>N302=" "</formula>
    </cfRule>
    <cfRule type="expression" dxfId="1696" priority="1303">
      <formula>N302="NO PRESENTÓ CERTIFICADO"</formula>
    </cfRule>
    <cfRule type="expression" dxfId="1695" priority="1304">
      <formula>N302="PRESENTÓ CERTIFICADO"</formula>
    </cfRule>
  </conditionalFormatting>
  <conditionalFormatting sqref="N305">
    <cfRule type="expression" dxfId="1694" priority="1299">
      <formula>N305=" "</formula>
    </cfRule>
    <cfRule type="expression" dxfId="1693" priority="1300">
      <formula>N305="NO PRESENTÓ CERTIFICADO"</formula>
    </cfRule>
    <cfRule type="expression" dxfId="1692" priority="1301">
      <formula>N305="PRESENTÓ CERTIFICADO"</formula>
    </cfRule>
  </conditionalFormatting>
  <conditionalFormatting sqref="N308">
    <cfRule type="expression" dxfId="1691" priority="1296">
      <formula>N308=" "</formula>
    </cfRule>
    <cfRule type="expression" dxfId="1690" priority="1297">
      <formula>N308="NO PRESENTÓ CERTIFICADO"</formula>
    </cfRule>
    <cfRule type="expression" dxfId="1689" priority="1298">
      <formula>N308="PRESENTÓ CERTIFICADO"</formula>
    </cfRule>
  </conditionalFormatting>
  <conditionalFormatting sqref="O302">
    <cfRule type="cellIs" dxfId="1688" priority="1288" operator="equal">
      <formula>"PENDIENTE POR DESCRIPCIÓN"</formula>
    </cfRule>
    <cfRule type="cellIs" dxfId="1687" priority="1289" operator="equal">
      <formula>"DESCRIPCIÓN INSUFICIENTE"</formula>
    </cfRule>
    <cfRule type="cellIs" dxfId="1686" priority="1290" operator="equal">
      <formula>"NO ESTÁ ACORDE A ITEM 5.2.2 (T.R.)"</formula>
    </cfRule>
    <cfRule type="cellIs" dxfId="1685" priority="1291" operator="equal">
      <formula>"ACORDE A ITEM 5.2.2 (T.R.)"</formula>
    </cfRule>
    <cfRule type="cellIs" dxfId="1684" priority="1292" operator="equal">
      <formula>"PENDIENTE POR DESCRIPCIÓN"</formula>
    </cfRule>
    <cfRule type="cellIs" dxfId="1683" priority="1293" operator="equal">
      <formula>"DESCRIPCIÓN INSUFICIENTE"</formula>
    </cfRule>
    <cfRule type="cellIs" dxfId="1682" priority="1294" operator="equal">
      <formula>"NO ESTÁ ACORDE A ITEM 5.2.1 (T.R.)"</formula>
    </cfRule>
    <cfRule type="cellIs" dxfId="1681" priority="1295" operator="equal">
      <formula>"ACORDE A ITEM 5.2.1 (T.R.)"</formula>
    </cfRule>
  </conditionalFormatting>
  <conditionalFormatting sqref="O305">
    <cfRule type="cellIs" dxfId="1680" priority="1280" operator="equal">
      <formula>"PENDIENTE POR DESCRIPCIÓN"</formula>
    </cfRule>
    <cfRule type="cellIs" dxfId="1679" priority="1281" operator="equal">
      <formula>"DESCRIPCIÓN INSUFICIENTE"</formula>
    </cfRule>
    <cfRule type="cellIs" dxfId="1678" priority="1282" operator="equal">
      <formula>"NO ESTÁ ACORDE A ITEM 5.2.2 (T.R.)"</formula>
    </cfRule>
    <cfRule type="cellIs" dxfId="1677" priority="1283" operator="equal">
      <formula>"ACORDE A ITEM 5.2.2 (T.R.)"</formula>
    </cfRule>
    <cfRule type="cellIs" dxfId="1676" priority="1284" operator="equal">
      <formula>"PENDIENTE POR DESCRIPCIÓN"</formula>
    </cfRule>
    <cfRule type="cellIs" dxfId="1675" priority="1285" operator="equal">
      <formula>"DESCRIPCIÓN INSUFICIENTE"</formula>
    </cfRule>
    <cfRule type="cellIs" dxfId="1674" priority="1286" operator="equal">
      <formula>"NO ESTÁ ACORDE A ITEM 5.2.1 (T.R.)"</formula>
    </cfRule>
    <cfRule type="cellIs" dxfId="1673" priority="1287" operator="equal">
      <formula>"ACORDE A ITEM 5.2.1 (T.R.)"</formula>
    </cfRule>
  </conditionalFormatting>
  <conditionalFormatting sqref="O308">
    <cfRule type="cellIs" dxfId="1672" priority="1272" operator="equal">
      <formula>"PENDIENTE POR DESCRIPCIÓN"</formula>
    </cfRule>
    <cfRule type="cellIs" dxfId="1671" priority="1273" operator="equal">
      <formula>"DESCRIPCIÓN INSUFICIENTE"</formula>
    </cfRule>
    <cfRule type="cellIs" dxfId="1670" priority="1274" operator="equal">
      <formula>"NO ESTÁ ACORDE A ITEM 5.2.2 (T.R.)"</formula>
    </cfRule>
    <cfRule type="cellIs" dxfId="1669" priority="1275" operator="equal">
      <formula>"ACORDE A ITEM 5.2.2 (T.R.)"</formula>
    </cfRule>
    <cfRule type="cellIs" dxfId="1668" priority="1276" operator="equal">
      <formula>"PENDIENTE POR DESCRIPCIÓN"</formula>
    </cfRule>
    <cfRule type="cellIs" dxfId="1667" priority="1277" operator="equal">
      <formula>"DESCRIPCIÓN INSUFICIENTE"</formula>
    </cfRule>
    <cfRule type="cellIs" dxfId="1666" priority="1278" operator="equal">
      <formula>"NO ESTÁ ACORDE A ITEM 5.2.1 (T.R.)"</formula>
    </cfRule>
    <cfRule type="cellIs" dxfId="1665" priority="1279" operator="equal">
      <formula>"ACORDE A ITEM 5.2.1 (T.R.)"</formula>
    </cfRule>
  </conditionalFormatting>
  <conditionalFormatting sqref="Q302">
    <cfRule type="containsBlanks" dxfId="1664" priority="1263">
      <formula>LEN(TRIM(Q302))=0</formula>
    </cfRule>
    <cfRule type="cellIs" dxfId="1663" priority="1268" operator="equal">
      <formula>"REQUERIMIENTOS SUBSANADOS"</formula>
    </cfRule>
    <cfRule type="containsText" dxfId="1662" priority="1269" operator="containsText" text="NO SUBSANABLE">
      <formula>NOT(ISERROR(SEARCH("NO SUBSANABLE",Q302)))</formula>
    </cfRule>
    <cfRule type="containsText" dxfId="1661" priority="1270" operator="containsText" text="PENDIENTES POR SUBSANAR">
      <formula>NOT(ISERROR(SEARCH("PENDIENTES POR SUBSANAR",Q302)))</formula>
    </cfRule>
    <cfRule type="containsText" dxfId="1660" priority="1271" operator="containsText" text="SIN OBSERVACIÓN">
      <formula>NOT(ISERROR(SEARCH("SIN OBSERVACIÓN",Q302)))</formula>
    </cfRule>
  </conditionalFormatting>
  <conditionalFormatting sqref="R302">
    <cfRule type="containsBlanks" dxfId="1659" priority="1262">
      <formula>LEN(TRIM(R302))=0</formula>
    </cfRule>
    <cfRule type="cellIs" dxfId="1658" priority="1264" operator="equal">
      <formula>"NO CUMPLEN CON LO SOLICITADO"</formula>
    </cfRule>
    <cfRule type="cellIs" dxfId="1657" priority="1265" operator="equal">
      <formula>"CUMPLEN CON LO SOLICITADO"</formula>
    </cfRule>
    <cfRule type="cellIs" dxfId="1656" priority="1266" operator="equal">
      <formula>"PENDIENTES"</formula>
    </cfRule>
    <cfRule type="cellIs" dxfId="1655" priority="1267" operator="equal">
      <formula>"NINGUNO"</formula>
    </cfRule>
  </conditionalFormatting>
  <conditionalFormatting sqref="Q305">
    <cfRule type="containsBlanks" dxfId="1654" priority="1253">
      <formula>LEN(TRIM(Q305))=0</formula>
    </cfRule>
    <cfRule type="cellIs" dxfId="1653" priority="1258" operator="equal">
      <formula>"REQUERIMIENTOS SUBSANADOS"</formula>
    </cfRule>
    <cfRule type="containsText" dxfId="1652" priority="1259" operator="containsText" text="NO SUBSANABLE">
      <formula>NOT(ISERROR(SEARCH("NO SUBSANABLE",Q305)))</formula>
    </cfRule>
    <cfRule type="containsText" dxfId="1651" priority="1260" operator="containsText" text="PENDIENTES POR SUBSANAR">
      <formula>NOT(ISERROR(SEARCH("PENDIENTES POR SUBSANAR",Q305)))</formula>
    </cfRule>
    <cfRule type="containsText" dxfId="1650" priority="1261" operator="containsText" text="SIN OBSERVACIÓN">
      <formula>NOT(ISERROR(SEARCH("SIN OBSERVACIÓN",Q305)))</formula>
    </cfRule>
  </conditionalFormatting>
  <conditionalFormatting sqref="R305">
    <cfRule type="containsBlanks" dxfId="1649" priority="1252">
      <formula>LEN(TRIM(R305))=0</formula>
    </cfRule>
    <cfRule type="cellIs" dxfId="1648" priority="1254" operator="equal">
      <formula>"NO CUMPLEN CON LO SOLICITADO"</formula>
    </cfRule>
    <cfRule type="cellIs" dxfId="1647" priority="1255" operator="equal">
      <formula>"CUMPLEN CON LO SOLICITADO"</formula>
    </cfRule>
    <cfRule type="cellIs" dxfId="1646" priority="1256" operator="equal">
      <formula>"PENDIENTES"</formula>
    </cfRule>
    <cfRule type="cellIs" dxfId="1645" priority="1257" operator="equal">
      <formula>"NINGUNO"</formula>
    </cfRule>
  </conditionalFormatting>
  <conditionalFormatting sqref="Q308">
    <cfRule type="containsBlanks" dxfId="1644" priority="1243">
      <formula>LEN(TRIM(Q308))=0</formula>
    </cfRule>
    <cfRule type="cellIs" dxfId="1643" priority="1248" operator="equal">
      <formula>"REQUERIMIENTOS SUBSANADOS"</formula>
    </cfRule>
    <cfRule type="containsText" dxfId="1642" priority="1249" operator="containsText" text="NO SUBSANABLE">
      <formula>NOT(ISERROR(SEARCH("NO SUBSANABLE",Q308)))</formula>
    </cfRule>
    <cfRule type="containsText" dxfId="1641" priority="1250" operator="containsText" text="PENDIENTES POR SUBSANAR">
      <formula>NOT(ISERROR(SEARCH("PENDIENTES POR SUBSANAR",Q308)))</formula>
    </cfRule>
    <cfRule type="containsText" dxfId="1640" priority="1251" operator="containsText" text="SIN OBSERVACIÓN">
      <formula>NOT(ISERROR(SEARCH("SIN OBSERVACIÓN",Q308)))</formula>
    </cfRule>
  </conditionalFormatting>
  <conditionalFormatting sqref="R308">
    <cfRule type="containsBlanks" dxfId="1639" priority="1242">
      <formula>LEN(TRIM(R308))=0</formula>
    </cfRule>
    <cfRule type="cellIs" dxfId="1638" priority="1244" operator="equal">
      <formula>"NO CUMPLEN CON LO SOLICITADO"</formula>
    </cfRule>
    <cfRule type="cellIs" dxfId="1637" priority="1245" operator="equal">
      <formula>"CUMPLEN CON LO SOLICITADO"</formula>
    </cfRule>
    <cfRule type="cellIs" dxfId="1636" priority="1246" operator="equal">
      <formula>"PENDIENTES"</formula>
    </cfRule>
    <cfRule type="cellIs" dxfId="1635" priority="1247" operator="equal">
      <formula>"NINGUNO"</formula>
    </cfRule>
  </conditionalFormatting>
  <conditionalFormatting sqref="M308">
    <cfRule type="expression" dxfId="1634" priority="1200">
      <formula>L308="NO CUMPLE"</formula>
    </cfRule>
    <cfRule type="expression" dxfId="1633" priority="1201">
      <formula>L308="CUMPLE"</formula>
    </cfRule>
  </conditionalFormatting>
  <conditionalFormatting sqref="L308:L309">
    <cfRule type="cellIs" dxfId="1632" priority="1198" operator="equal">
      <formula>"NO CUMPLE"</formula>
    </cfRule>
    <cfRule type="cellIs" dxfId="1631" priority="1199" operator="equal">
      <formula>"CUMPLE"</formula>
    </cfRule>
  </conditionalFormatting>
  <conditionalFormatting sqref="M309">
    <cfRule type="expression" dxfId="1630" priority="1196">
      <formula>L309="NO CUMPLE"</formula>
    </cfRule>
    <cfRule type="expression" dxfId="1629" priority="1197">
      <formula>L309="CUMPLE"</formula>
    </cfRule>
  </conditionalFormatting>
  <conditionalFormatting sqref="J302:J310">
    <cfRule type="cellIs" dxfId="1628" priority="1240" operator="equal">
      <formula>"NO CUMPLE"</formula>
    </cfRule>
    <cfRule type="cellIs" dxfId="1627" priority="1241" operator="equal">
      <formula>"CUMPLE"</formula>
    </cfRule>
  </conditionalFormatting>
  <conditionalFormatting sqref="K302">
    <cfRule type="expression" dxfId="1626" priority="1238">
      <formula>J302="NO CUMPLE"</formula>
    </cfRule>
    <cfRule type="expression" dxfId="1625" priority="1239">
      <formula>J302="CUMPLE"</formula>
    </cfRule>
  </conditionalFormatting>
  <conditionalFormatting sqref="K303:K304">
    <cfRule type="expression" dxfId="1624" priority="1236">
      <formula>J303="NO CUMPLE"</formula>
    </cfRule>
    <cfRule type="expression" dxfId="1623" priority="1237">
      <formula>J303="CUMPLE"</formula>
    </cfRule>
  </conditionalFormatting>
  <conditionalFormatting sqref="J311">
    <cfRule type="cellIs" dxfId="1622" priority="1234" operator="equal">
      <formula>"NO CUMPLE"</formula>
    </cfRule>
    <cfRule type="cellIs" dxfId="1621" priority="1235" operator="equal">
      <formula>"CUMPLE"</formula>
    </cfRule>
  </conditionalFormatting>
  <conditionalFormatting sqref="J312:J313">
    <cfRule type="cellIs" dxfId="1620" priority="1232" operator="equal">
      <formula>"NO CUMPLE"</formula>
    </cfRule>
    <cfRule type="cellIs" dxfId="1619" priority="1233" operator="equal">
      <formula>"CUMPLE"</formula>
    </cfRule>
  </conditionalFormatting>
  <conditionalFormatting sqref="K305">
    <cfRule type="expression" dxfId="1618" priority="1230">
      <formula>J305="NO CUMPLE"</formula>
    </cfRule>
    <cfRule type="expression" dxfId="1617" priority="1231">
      <formula>J305="CUMPLE"</formula>
    </cfRule>
  </conditionalFormatting>
  <conditionalFormatting sqref="K306:K307">
    <cfRule type="expression" dxfId="1616" priority="1228">
      <formula>J306="NO CUMPLE"</formula>
    </cfRule>
    <cfRule type="expression" dxfId="1615" priority="1229">
      <formula>J306="CUMPLE"</formula>
    </cfRule>
  </conditionalFormatting>
  <conditionalFormatting sqref="K308">
    <cfRule type="expression" dxfId="1614" priority="1226">
      <formula>J308="NO CUMPLE"</formula>
    </cfRule>
    <cfRule type="expression" dxfId="1613" priority="1227">
      <formula>J308="CUMPLE"</formula>
    </cfRule>
  </conditionalFormatting>
  <conditionalFormatting sqref="K309:K310">
    <cfRule type="expression" dxfId="1612" priority="1224">
      <formula>J309="NO CUMPLE"</formula>
    </cfRule>
    <cfRule type="expression" dxfId="1611" priority="1225">
      <formula>J309="CUMPLE"</formula>
    </cfRule>
  </conditionalFormatting>
  <conditionalFormatting sqref="K311">
    <cfRule type="expression" dxfId="1610" priority="1222">
      <formula>J311="NO CUMPLE"</formula>
    </cfRule>
    <cfRule type="expression" dxfId="1609" priority="1223">
      <formula>J311="CUMPLE"</formula>
    </cfRule>
  </conditionalFormatting>
  <conditionalFormatting sqref="K312:K313">
    <cfRule type="expression" dxfId="1608" priority="1220">
      <formula>J312="NO CUMPLE"</formula>
    </cfRule>
    <cfRule type="expression" dxfId="1607" priority="1221">
      <formula>J312="CUMPLE"</formula>
    </cfRule>
  </conditionalFormatting>
  <conditionalFormatting sqref="M303">
    <cfRule type="expression" dxfId="1606" priority="1208">
      <formula>L303="NO CUMPLE"</formula>
    </cfRule>
    <cfRule type="expression" dxfId="1605" priority="1209">
      <formula>L303="CUMPLE"</formula>
    </cfRule>
  </conditionalFormatting>
  <conditionalFormatting sqref="L302:L303">
    <cfRule type="cellIs" dxfId="1604" priority="1210" operator="equal">
      <formula>"NO CUMPLE"</formula>
    </cfRule>
    <cfRule type="cellIs" dxfId="1603" priority="1211" operator="equal">
      <formula>"CUMPLE"</formula>
    </cfRule>
  </conditionalFormatting>
  <conditionalFormatting sqref="M302">
    <cfRule type="expression" dxfId="1602" priority="1212">
      <formula>L302="NO CUMPLE"</formula>
    </cfRule>
    <cfRule type="expression" dxfId="1601" priority="1213">
      <formula>L302="CUMPLE"</formula>
    </cfRule>
  </conditionalFormatting>
  <conditionalFormatting sqref="M300">
    <cfRule type="expression" dxfId="1600" priority="1214">
      <formula>L300="NO CUMPLE"</formula>
    </cfRule>
    <cfRule type="expression" dxfId="1599" priority="1215">
      <formula>L300="CUMPLE"</formula>
    </cfRule>
  </conditionalFormatting>
  <conditionalFormatting sqref="M299">
    <cfRule type="expression" dxfId="1598" priority="1218">
      <formula>L299="NO CUMPLE"</formula>
    </cfRule>
    <cfRule type="expression" dxfId="1597" priority="1219">
      <formula>L299="CUMPLE"</formula>
    </cfRule>
  </conditionalFormatting>
  <conditionalFormatting sqref="L299:L300">
    <cfRule type="cellIs" dxfId="1596" priority="1216" operator="equal">
      <formula>"NO CUMPLE"</formula>
    </cfRule>
    <cfRule type="cellIs" dxfId="1595" priority="1217" operator="equal">
      <formula>"CUMPLE"</formula>
    </cfRule>
  </conditionalFormatting>
  <conditionalFormatting sqref="M306">
    <cfRule type="expression" dxfId="1594" priority="1202">
      <formula>L306="NO CUMPLE"</formula>
    </cfRule>
    <cfRule type="expression" dxfId="1593" priority="1203">
      <formula>L306="CUMPLE"</formula>
    </cfRule>
  </conditionalFormatting>
  <conditionalFormatting sqref="M305">
    <cfRule type="expression" dxfId="1592" priority="1206">
      <formula>L305="NO CUMPLE"</formula>
    </cfRule>
    <cfRule type="expression" dxfId="1591" priority="1207">
      <formula>L305="CUMPLE"</formula>
    </cfRule>
  </conditionalFormatting>
  <conditionalFormatting sqref="L305:L306">
    <cfRule type="cellIs" dxfId="1590" priority="1204" operator="equal">
      <formula>"NO CUMPLE"</formula>
    </cfRule>
    <cfRule type="cellIs" dxfId="1589" priority="1205" operator="equal">
      <formula>"CUMPLE"</formula>
    </cfRule>
  </conditionalFormatting>
  <conditionalFormatting sqref="M312">
    <cfRule type="expression" dxfId="1588" priority="1190">
      <formula>L312="NO CUMPLE"</formula>
    </cfRule>
    <cfRule type="expression" dxfId="1587" priority="1191">
      <formula>L312="CUMPLE"</formula>
    </cfRule>
  </conditionalFormatting>
  <conditionalFormatting sqref="M311">
    <cfRule type="expression" dxfId="1586" priority="1194">
      <formula>L311="NO CUMPLE"</formula>
    </cfRule>
    <cfRule type="expression" dxfId="1585" priority="1195">
      <formula>L311="CUMPLE"</formula>
    </cfRule>
  </conditionalFormatting>
  <conditionalFormatting sqref="L311:L312">
    <cfRule type="cellIs" dxfId="1584" priority="1192" operator="equal">
      <formula>"NO CUMPLE"</formula>
    </cfRule>
    <cfRule type="cellIs" dxfId="1583" priority="1193" operator="equal">
      <formula>"CUMPLE"</formula>
    </cfRule>
  </conditionalFormatting>
  <conditionalFormatting sqref="J299">
    <cfRule type="cellIs" dxfId="1582" priority="1188" operator="equal">
      <formula>"NO CUMPLE"</formula>
    </cfRule>
    <cfRule type="cellIs" dxfId="1581" priority="1189" operator="equal">
      <formula>"CUMPLE"</formula>
    </cfRule>
  </conditionalFormatting>
  <conditionalFormatting sqref="J300:J301">
    <cfRule type="cellIs" dxfId="1580" priority="1186" operator="equal">
      <formula>"NO CUMPLE"</formula>
    </cfRule>
    <cfRule type="cellIs" dxfId="1579" priority="1187" operator="equal">
      <formula>"CUMPLE"</formula>
    </cfRule>
  </conditionalFormatting>
  <conditionalFormatting sqref="K299">
    <cfRule type="expression" dxfId="1578" priority="1184">
      <formula>J299="NO CUMPLE"</formula>
    </cfRule>
    <cfRule type="expression" dxfId="1577" priority="1185">
      <formula>J299="CUMPLE"</formula>
    </cfRule>
  </conditionalFormatting>
  <conditionalFormatting sqref="K300:K301">
    <cfRule type="expression" dxfId="1576" priority="1182">
      <formula>J300="NO CUMPLE"</formula>
    </cfRule>
    <cfRule type="expression" dxfId="1575" priority="1183">
      <formula>J300="CUMPLE"</formula>
    </cfRule>
  </conditionalFormatting>
  <conditionalFormatting sqref="T116">
    <cfRule type="cellIs" dxfId="1574" priority="1180" operator="equal">
      <formula>"NO CUMPLE"</formula>
    </cfRule>
    <cfRule type="cellIs" dxfId="1573" priority="1181" operator="equal">
      <formula>"CUMPLE"</formula>
    </cfRule>
  </conditionalFormatting>
  <conditionalFormatting sqref="T101">
    <cfRule type="cellIs" dxfId="1572" priority="1178" operator="equal">
      <formula>"NO"</formula>
    </cfRule>
    <cfRule type="cellIs" dxfId="1571" priority="1179" operator="equal">
      <formula>"SI"</formula>
    </cfRule>
  </conditionalFormatting>
  <conditionalFormatting sqref="T138">
    <cfRule type="cellIs" dxfId="1570" priority="1176" operator="equal">
      <formula>"NO CUMPLE"</formula>
    </cfRule>
    <cfRule type="cellIs" dxfId="1569" priority="1177" operator="equal">
      <formula>"CUMPLE"</formula>
    </cfRule>
  </conditionalFormatting>
  <conditionalFormatting sqref="T123">
    <cfRule type="cellIs" dxfId="1568" priority="1174" operator="equal">
      <formula>"NO"</formula>
    </cfRule>
    <cfRule type="cellIs" dxfId="1567" priority="1175" operator="equal">
      <formula>"SI"</formula>
    </cfRule>
  </conditionalFormatting>
  <conditionalFormatting sqref="T160">
    <cfRule type="cellIs" dxfId="1566" priority="1172" operator="equal">
      <formula>"NO CUMPLE"</formula>
    </cfRule>
    <cfRule type="cellIs" dxfId="1565" priority="1173" operator="equal">
      <formula>"CUMPLE"</formula>
    </cfRule>
  </conditionalFormatting>
  <conditionalFormatting sqref="T145">
    <cfRule type="cellIs" dxfId="1564" priority="1170" operator="equal">
      <formula>"NO"</formula>
    </cfRule>
    <cfRule type="cellIs" dxfId="1563" priority="1171" operator="equal">
      <formula>"SI"</formula>
    </cfRule>
  </conditionalFormatting>
  <conditionalFormatting sqref="U151:U153">
    <cfRule type="cellIs" dxfId="1562" priority="1168" operator="equal">
      <formula>0</formula>
    </cfRule>
    <cfRule type="cellIs" dxfId="1561" priority="1169" operator="equal">
      <formula>1</formula>
    </cfRule>
  </conditionalFormatting>
  <conditionalFormatting sqref="U154:U156">
    <cfRule type="cellIs" dxfId="1560" priority="1166" operator="equal">
      <formula>0</formula>
    </cfRule>
    <cfRule type="cellIs" dxfId="1559" priority="1167" operator="equal">
      <formula>1</formula>
    </cfRule>
  </conditionalFormatting>
  <conditionalFormatting sqref="U157:U159">
    <cfRule type="cellIs" dxfId="1558" priority="1164" operator="equal">
      <formula>0</formula>
    </cfRule>
    <cfRule type="cellIs" dxfId="1557" priority="1165" operator="equal">
      <formula>1</formula>
    </cfRule>
  </conditionalFormatting>
  <conditionalFormatting sqref="T182">
    <cfRule type="cellIs" dxfId="1556" priority="1162" operator="equal">
      <formula>"NO CUMPLE"</formula>
    </cfRule>
    <cfRule type="cellIs" dxfId="1555" priority="1163" operator="equal">
      <formula>"CUMPLE"</formula>
    </cfRule>
  </conditionalFormatting>
  <conditionalFormatting sqref="T167">
    <cfRule type="cellIs" dxfId="1554" priority="1160" operator="equal">
      <formula>"NO"</formula>
    </cfRule>
    <cfRule type="cellIs" dxfId="1553" priority="1161" operator="equal">
      <formula>"SI"</formula>
    </cfRule>
  </conditionalFormatting>
  <conditionalFormatting sqref="T204">
    <cfRule type="cellIs" dxfId="1552" priority="1158" operator="equal">
      <formula>"NO CUMPLE"</formula>
    </cfRule>
    <cfRule type="cellIs" dxfId="1551" priority="1159" operator="equal">
      <formula>"CUMPLE"</formula>
    </cfRule>
  </conditionalFormatting>
  <conditionalFormatting sqref="T189">
    <cfRule type="cellIs" dxfId="1550" priority="1156" operator="equal">
      <formula>"NO"</formula>
    </cfRule>
    <cfRule type="cellIs" dxfId="1549" priority="1157" operator="equal">
      <formula>"SI"</formula>
    </cfRule>
  </conditionalFormatting>
  <conditionalFormatting sqref="U192:U194">
    <cfRule type="cellIs" dxfId="1548" priority="1154" operator="equal">
      <formula>0</formula>
    </cfRule>
    <cfRule type="cellIs" dxfId="1547" priority="1155" operator="equal">
      <formula>1</formula>
    </cfRule>
  </conditionalFormatting>
  <conditionalFormatting sqref="U195:U197">
    <cfRule type="cellIs" dxfId="1546" priority="1152" operator="equal">
      <formula>0</formula>
    </cfRule>
    <cfRule type="cellIs" dxfId="1545" priority="1153" operator="equal">
      <formula>1</formula>
    </cfRule>
  </conditionalFormatting>
  <conditionalFormatting sqref="U198:U200">
    <cfRule type="cellIs" dxfId="1544" priority="1150" operator="equal">
      <formula>0</formula>
    </cfRule>
    <cfRule type="cellIs" dxfId="1543" priority="1151" operator="equal">
      <formula>1</formula>
    </cfRule>
  </conditionalFormatting>
  <conditionalFormatting sqref="U201:U203">
    <cfRule type="cellIs" dxfId="1542" priority="1148" operator="equal">
      <formula>0</formula>
    </cfRule>
    <cfRule type="cellIs" dxfId="1541" priority="1149" operator="equal">
      <formula>1</formula>
    </cfRule>
  </conditionalFormatting>
  <conditionalFormatting sqref="T226">
    <cfRule type="cellIs" dxfId="1540" priority="1146" operator="equal">
      <formula>"NO CUMPLE"</formula>
    </cfRule>
    <cfRule type="cellIs" dxfId="1539" priority="1147" operator="equal">
      <formula>"CUMPLE"</formula>
    </cfRule>
  </conditionalFormatting>
  <conditionalFormatting sqref="T211">
    <cfRule type="cellIs" dxfId="1538" priority="1144" operator="equal">
      <formula>"NO"</formula>
    </cfRule>
    <cfRule type="cellIs" dxfId="1537" priority="1145" operator="equal">
      <formula>"SI"</formula>
    </cfRule>
  </conditionalFormatting>
  <conditionalFormatting sqref="U214:U216">
    <cfRule type="cellIs" dxfId="1536" priority="1142" operator="equal">
      <formula>0</formula>
    </cfRule>
    <cfRule type="cellIs" dxfId="1535" priority="1143" operator="equal">
      <formula>1</formula>
    </cfRule>
  </conditionalFormatting>
  <conditionalFormatting sqref="U217:U219">
    <cfRule type="cellIs" dxfId="1534" priority="1140" operator="equal">
      <formula>0</formula>
    </cfRule>
    <cfRule type="cellIs" dxfId="1533" priority="1141" operator="equal">
      <formula>1</formula>
    </cfRule>
  </conditionalFormatting>
  <conditionalFormatting sqref="U220:U222">
    <cfRule type="cellIs" dxfId="1532" priority="1138" operator="equal">
      <formula>0</formula>
    </cfRule>
    <cfRule type="cellIs" dxfId="1531" priority="1139" operator="equal">
      <formula>1</formula>
    </cfRule>
  </conditionalFormatting>
  <conditionalFormatting sqref="U223:U225">
    <cfRule type="cellIs" dxfId="1530" priority="1136" operator="equal">
      <formula>0</formula>
    </cfRule>
    <cfRule type="cellIs" dxfId="1529" priority="1137" operator="equal">
      <formula>1</formula>
    </cfRule>
  </conditionalFormatting>
  <conditionalFormatting sqref="T248">
    <cfRule type="cellIs" dxfId="1528" priority="1134" operator="equal">
      <formula>"NO CUMPLE"</formula>
    </cfRule>
    <cfRule type="cellIs" dxfId="1527" priority="1135" operator="equal">
      <formula>"CUMPLE"</formula>
    </cfRule>
  </conditionalFormatting>
  <conditionalFormatting sqref="T233">
    <cfRule type="cellIs" dxfId="1526" priority="1132" operator="equal">
      <formula>"NO"</formula>
    </cfRule>
    <cfRule type="cellIs" dxfId="1525" priority="1133" operator="equal">
      <formula>"SI"</formula>
    </cfRule>
  </conditionalFormatting>
  <conditionalFormatting sqref="U242:U244">
    <cfRule type="cellIs" dxfId="1524" priority="1130" operator="equal">
      <formula>0</formula>
    </cfRule>
    <cfRule type="cellIs" dxfId="1523" priority="1131" operator="equal">
      <formula>1</formula>
    </cfRule>
  </conditionalFormatting>
  <conditionalFormatting sqref="U245:U247">
    <cfRule type="cellIs" dxfId="1522" priority="1128" operator="equal">
      <formula>0</formula>
    </cfRule>
    <cfRule type="cellIs" dxfId="1521" priority="1129" operator="equal">
      <formula>1</formula>
    </cfRule>
  </conditionalFormatting>
  <conditionalFormatting sqref="T270">
    <cfRule type="cellIs" dxfId="1520" priority="1126" operator="equal">
      <formula>"NO CUMPLE"</formula>
    </cfRule>
    <cfRule type="cellIs" dxfId="1519" priority="1127" operator="equal">
      <formula>"CUMPLE"</formula>
    </cfRule>
  </conditionalFormatting>
  <conditionalFormatting sqref="T255">
    <cfRule type="cellIs" dxfId="1518" priority="1124" operator="equal">
      <formula>"NO"</formula>
    </cfRule>
    <cfRule type="cellIs" dxfId="1517" priority="1125" operator="equal">
      <formula>"SI"</formula>
    </cfRule>
  </conditionalFormatting>
  <conditionalFormatting sqref="U255:U257">
    <cfRule type="cellIs" dxfId="1516" priority="1122" operator="equal">
      <formula>0</formula>
    </cfRule>
    <cfRule type="cellIs" dxfId="1515" priority="1123" operator="equal">
      <formula>1</formula>
    </cfRule>
  </conditionalFormatting>
  <conditionalFormatting sqref="T292">
    <cfRule type="cellIs" dxfId="1514" priority="1120" operator="equal">
      <formula>"NO CUMPLE"</formula>
    </cfRule>
    <cfRule type="cellIs" dxfId="1513" priority="1121" operator="equal">
      <formula>"CUMPLE"</formula>
    </cfRule>
  </conditionalFormatting>
  <conditionalFormatting sqref="T277">
    <cfRule type="cellIs" dxfId="1512" priority="1118" operator="equal">
      <formula>"NO"</formula>
    </cfRule>
    <cfRule type="cellIs" dxfId="1511" priority="1119" operator="equal">
      <formula>"SI"</formula>
    </cfRule>
  </conditionalFormatting>
  <conditionalFormatting sqref="U277:U279">
    <cfRule type="cellIs" dxfId="1510" priority="1116" operator="equal">
      <formula>0</formula>
    </cfRule>
    <cfRule type="cellIs" dxfId="1509" priority="1117" operator="equal">
      <formula>1</formula>
    </cfRule>
  </conditionalFormatting>
  <conditionalFormatting sqref="U286:U288">
    <cfRule type="cellIs" dxfId="1508" priority="1114" operator="equal">
      <formula>0</formula>
    </cfRule>
    <cfRule type="cellIs" dxfId="1507" priority="1115" operator="equal">
      <formula>1</formula>
    </cfRule>
  </conditionalFormatting>
  <conditionalFormatting sqref="U289:U291">
    <cfRule type="cellIs" dxfId="1506" priority="1112" operator="equal">
      <formula>0</formula>
    </cfRule>
    <cfRule type="cellIs" dxfId="1505" priority="1113" operator="equal">
      <formula>1</formula>
    </cfRule>
  </conditionalFormatting>
  <conditionalFormatting sqref="T314">
    <cfRule type="cellIs" dxfId="1504" priority="1110" operator="equal">
      <formula>"NO CUMPLE"</formula>
    </cfRule>
    <cfRule type="cellIs" dxfId="1503" priority="1111" operator="equal">
      <formula>"CUMPLE"</formula>
    </cfRule>
  </conditionalFormatting>
  <conditionalFormatting sqref="T299">
    <cfRule type="cellIs" dxfId="1502" priority="1108" operator="equal">
      <formula>"NO"</formula>
    </cfRule>
    <cfRule type="cellIs" dxfId="1501" priority="1109" operator="equal">
      <formula>"SI"</formula>
    </cfRule>
  </conditionalFormatting>
  <conditionalFormatting sqref="U299:U301">
    <cfRule type="cellIs" dxfId="1500" priority="1106" operator="equal">
      <formula>0</formula>
    </cfRule>
    <cfRule type="cellIs" dxfId="1499" priority="1107" operator="equal">
      <formula>1</formula>
    </cfRule>
  </conditionalFormatting>
  <conditionalFormatting sqref="U302:U304">
    <cfRule type="cellIs" dxfId="1498" priority="1104" operator="equal">
      <formula>0</formula>
    </cfRule>
    <cfRule type="cellIs" dxfId="1497" priority="1105" operator="equal">
      <formula>1</formula>
    </cfRule>
  </conditionalFormatting>
  <conditionalFormatting sqref="U305:U307">
    <cfRule type="cellIs" dxfId="1496" priority="1102" operator="equal">
      <formula>0</formula>
    </cfRule>
    <cfRule type="cellIs" dxfId="1495" priority="1103" operator="equal">
      <formula>1</formula>
    </cfRule>
  </conditionalFormatting>
  <conditionalFormatting sqref="U308:U310">
    <cfRule type="cellIs" dxfId="1494" priority="1100" operator="equal">
      <formula>0</formula>
    </cfRule>
    <cfRule type="cellIs" dxfId="1493" priority="1101" operator="equal">
      <formula>1</formula>
    </cfRule>
  </conditionalFormatting>
  <conditionalFormatting sqref="U311:U313">
    <cfRule type="cellIs" dxfId="1492" priority="1098" operator="equal">
      <formula>0</formula>
    </cfRule>
    <cfRule type="cellIs" dxfId="1491" priority="1099" operator="equal">
      <formula>1</formula>
    </cfRule>
  </conditionalFormatting>
  <conditionalFormatting sqref="K16">
    <cfRule type="expression" dxfId="1490" priority="1096">
      <formula>J16="NO CUMPLE"</formula>
    </cfRule>
    <cfRule type="expression" dxfId="1489" priority="1097">
      <formula>J16="CUMPLE"</formula>
    </cfRule>
  </conditionalFormatting>
  <conditionalFormatting sqref="K17:K18">
    <cfRule type="expression" dxfId="1488" priority="1094">
      <formula>J17="NO CUMPLE"</formula>
    </cfRule>
    <cfRule type="expression" dxfId="1487" priority="1095">
      <formula>J17="CUMPLE"</formula>
    </cfRule>
  </conditionalFormatting>
  <conditionalFormatting sqref="K19">
    <cfRule type="expression" dxfId="1486" priority="1092">
      <formula>J19="NO CUMPLE"</formula>
    </cfRule>
    <cfRule type="expression" dxfId="1485" priority="1093">
      <formula>J19="CUMPLE"</formula>
    </cfRule>
  </conditionalFormatting>
  <conditionalFormatting sqref="K20:K21">
    <cfRule type="expression" dxfId="1484" priority="1090">
      <formula>J20="NO CUMPLE"</formula>
    </cfRule>
    <cfRule type="expression" dxfId="1483" priority="1091">
      <formula>J20="CUMPLE"</formula>
    </cfRule>
  </conditionalFormatting>
  <conditionalFormatting sqref="K22">
    <cfRule type="expression" dxfId="1482" priority="1088">
      <formula>J22="NO CUMPLE"</formula>
    </cfRule>
    <cfRule type="expression" dxfId="1481" priority="1089">
      <formula>J22="CUMPLE"</formula>
    </cfRule>
  </conditionalFormatting>
  <conditionalFormatting sqref="K23:K24">
    <cfRule type="expression" dxfId="1480" priority="1086">
      <formula>J23="NO CUMPLE"</formula>
    </cfRule>
    <cfRule type="expression" dxfId="1479" priority="1087">
      <formula>J23="CUMPLE"</formula>
    </cfRule>
  </conditionalFormatting>
  <conditionalFormatting sqref="K25">
    <cfRule type="expression" dxfId="1478" priority="1084">
      <formula>J25="NO CUMPLE"</formula>
    </cfRule>
    <cfRule type="expression" dxfId="1477" priority="1085">
      <formula>J25="CUMPLE"</formula>
    </cfRule>
  </conditionalFormatting>
  <conditionalFormatting sqref="K26:K27">
    <cfRule type="expression" dxfId="1476" priority="1082">
      <formula>J26="NO CUMPLE"</formula>
    </cfRule>
    <cfRule type="expression" dxfId="1475" priority="1083">
      <formula>J26="CUMPLE"</formula>
    </cfRule>
  </conditionalFormatting>
  <conditionalFormatting sqref="N280">
    <cfRule type="expression" dxfId="1474" priority="1079">
      <formula>N280=" "</formula>
    </cfRule>
    <cfRule type="expression" dxfId="1473" priority="1080">
      <formula>N280="NO PRESENTÓ CERTIFICADO"</formula>
    </cfRule>
    <cfRule type="expression" dxfId="1472" priority="1081">
      <formula>N280="PRESENTÓ CERTIFICADO"</formula>
    </cfRule>
  </conditionalFormatting>
  <conditionalFormatting sqref="O280">
    <cfRule type="cellIs" dxfId="1471" priority="1071" operator="equal">
      <formula>"PENDIENTE POR DESCRIPCIÓN"</formula>
    </cfRule>
    <cfRule type="cellIs" dxfId="1470" priority="1072" operator="equal">
      <formula>"DESCRIPCIÓN INSUFICIENTE"</formula>
    </cfRule>
    <cfRule type="cellIs" dxfId="1469" priority="1073" operator="equal">
      <formula>"NO ESTÁ ACORDE A ITEM 5.2.2 (T.R.)"</formula>
    </cfRule>
    <cfRule type="cellIs" dxfId="1468" priority="1074" operator="equal">
      <formula>"ACORDE A ITEM 5.2.2 (T.R.)"</formula>
    </cfRule>
    <cfRule type="cellIs" dxfId="1467" priority="1075" operator="equal">
      <formula>"PENDIENTE POR DESCRIPCIÓN"</formula>
    </cfRule>
    <cfRule type="cellIs" dxfId="1466" priority="1076" operator="equal">
      <formula>"DESCRIPCIÓN INSUFICIENTE"</formula>
    </cfRule>
    <cfRule type="cellIs" dxfId="1465" priority="1077" operator="equal">
      <formula>"NO ESTÁ ACORDE A ITEM 5.2.1 (T.R.)"</formula>
    </cfRule>
    <cfRule type="cellIs" dxfId="1464" priority="1078" operator="equal">
      <formula>"ACORDE A ITEM 5.2.1 (T.R.)"</formula>
    </cfRule>
  </conditionalFormatting>
  <conditionalFormatting sqref="N283">
    <cfRule type="expression" dxfId="1463" priority="1068">
      <formula>N283=" "</formula>
    </cfRule>
    <cfRule type="expression" dxfId="1462" priority="1069">
      <formula>N283="NO PRESENTÓ CERTIFICADO"</formula>
    </cfRule>
    <cfRule type="expression" dxfId="1461" priority="1070">
      <formula>N283="PRESENTÓ CERTIFICADO"</formula>
    </cfRule>
  </conditionalFormatting>
  <conditionalFormatting sqref="O283">
    <cfRule type="cellIs" dxfId="1460" priority="1060" operator="equal">
      <formula>"PENDIENTE POR DESCRIPCIÓN"</formula>
    </cfRule>
    <cfRule type="cellIs" dxfId="1459" priority="1061" operator="equal">
      <formula>"DESCRIPCIÓN INSUFICIENTE"</formula>
    </cfRule>
    <cfRule type="cellIs" dxfId="1458" priority="1062" operator="equal">
      <formula>"NO ESTÁ ACORDE A ITEM 5.2.2 (T.R.)"</formula>
    </cfRule>
    <cfRule type="cellIs" dxfId="1457" priority="1063" operator="equal">
      <formula>"ACORDE A ITEM 5.2.2 (T.R.)"</formula>
    </cfRule>
    <cfRule type="cellIs" dxfId="1456" priority="1064" operator="equal">
      <formula>"PENDIENTE POR DESCRIPCIÓN"</formula>
    </cfRule>
    <cfRule type="cellIs" dxfId="1455" priority="1065" operator="equal">
      <formula>"DESCRIPCIÓN INSUFICIENTE"</formula>
    </cfRule>
    <cfRule type="cellIs" dxfId="1454" priority="1066" operator="equal">
      <formula>"NO ESTÁ ACORDE A ITEM 5.2.1 (T.R.)"</formula>
    </cfRule>
    <cfRule type="cellIs" dxfId="1453" priority="1067" operator="equal">
      <formula>"ACORDE A ITEM 5.2.1 (T.R.)"</formula>
    </cfRule>
  </conditionalFormatting>
  <conditionalFormatting sqref="Q277">
    <cfRule type="containsBlanks" dxfId="1452" priority="1051">
      <formula>LEN(TRIM(Q277))=0</formula>
    </cfRule>
    <cfRule type="cellIs" dxfId="1451" priority="1056" operator="equal">
      <formula>"REQUERIMIENTOS SUBSANADOS"</formula>
    </cfRule>
    <cfRule type="containsText" dxfId="1450" priority="1057" operator="containsText" text="NO SUBSANABLE">
      <formula>NOT(ISERROR(SEARCH("NO SUBSANABLE",Q277)))</formula>
    </cfRule>
    <cfRule type="containsText" dxfId="1449" priority="1058" operator="containsText" text="PENDIENTES POR SUBSANAR">
      <formula>NOT(ISERROR(SEARCH("PENDIENTES POR SUBSANAR",Q277)))</formula>
    </cfRule>
    <cfRule type="containsText" dxfId="1448" priority="1059" operator="containsText" text="SIN OBSERVACIÓN">
      <formula>NOT(ISERROR(SEARCH("SIN OBSERVACIÓN",Q277)))</formula>
    </cfRule>
  </conditionalFormatting>
  <conditionalFormatting sqref="R277">
    <cfRule type="containsBlanks" dxfId="1447" priority="1050">
      <formula>LEN(TRIM(R277))=0</formula>
    </cfRule>
    <cfRule type="cellIs" dxfId="1446" priority="1052" operator="equal">
      <formula>"NO CUMPLEN CON LO SOLICITADO"</formula>
    </cfRule>
    <cfRule type="cellIs" dxfId="1445" priority="1053" operator="equal">
      <formula>"CUMPLEN CON LO SOLICITADO"</formula>
    </cfRule>
    <cfRule type="cellIs" dxfId="1444" priority="1054" operator="equal">
      <formula>"PENDIENTES"</formula>
    </cfRule>
    <cfRule type="cellIs" dxfId="1443" priority="1055" operator="equal">
      <formula>"NINGUNO"</formula>
    </cfRule>
  </conditionalFormatting>
  <conditionalFormatting sqref="Q280">
    <cfRule type="containsBlanks" dxfId="1442" priority="1041">
      <formula>LEN(TRIM(Q280))=0</formula>
    </cfRule>
    <cfRule type="cellIs" dxfId="1441" priority="1046" operator="equal">
      <formula>"REQUERIMIENTOS SUBSANADOS"</formula>
    </cfRule>
    <cfRule type="containsText" dxfId="1440" priority="1047" operator="containsText" text="NO SUBSANABLE">
      <formula>NOT(ISERROR(SEARCH("NO SUBSANABLE",Q280)))</formula>
    </cfRule>
    <cfRule type="containsText" dxfId="1439" priority="1048" operator="containsText" text="PENDIENTES POR SUBSANAR">
      <formula>NOT(ISERROR(SEARCH("PENDIENTES POR SUBSANAR",Q280)))</formula>
    </cfRule>
    <cfRule type="containsText" dxfId="1438" priority="1049" operator="containsText" text="SIN OBSERVACIÓN">
      <formula>NOT(ISERROR(SEARCH("SIN OBSERVACIÓN",Q280)))</formula>
    </cfRule>
  </conditionalFormatting>
  <conditionalFormatting sqref="R280">
    <cfRule type="containsBlanks" dxfId="1437" priority="1040">
      <formula>LEN(TRIM(R280))=0</formula>
    </cfRule>
    <cfRule type="cellIs" dxfId="1436" priority="1042" operator="equal">
      <formula>"NO CUMPLEN CON LO SOLICITADO"</formula>
    </cfRule>
    <cfRule type="cellIs" dxfId="1435" priority="1043" operator="equal">
      <formula>"CUMPLEN CON LO SOLICITADO"</formula>
    </cfRule>
    <cfRule type="cellIs" dxfId="1434" priority="1044" operator="equal">
      <formula>"PENDIENTES"</formula>
    </cfRule>
    <cfRule type="cellIs" dxfId="1433" priority="1045" operator="equal">
      <formula>"NINGUNO"</formula>
    </cfRule>
  </conditionalFormatting>
  <conditionalFormatting sqref="U280:U285">
    <cfRule type="cellIs" dxfId="1432" priority="1038" operator="equal">
      <formula>0</formula>
    </cfRule>
    <cfRule type="cellIs" dxfId="1431" priority="1039" operator="equal">
      <formula>1</formula>
    </cfRule>
  </conditionalFormatting>
  <conditionalFormatting sqref="H258 H261 H264 H267">
    <cfRule type="notContainsBlanks" dxfId="1430" priority="1037">
      <formula>LEN(TRIM(H258))&gt;0</formula>
    </cfRule>
  </conditionalFormatting>
  <conditionalFormatting sqref="I258 I261 I264 I267">
    <cfRule type="notContainsBlanks" dxfId="1429" priority="1036">
      <formula>LEN(TRIM(I258))&gt;0</formula>
    </cfRule>
  </conditionalFormatting>
  <conditionalFormatting sqref="N258">
    <cfRule type="expression" dxfId="1428" priority="1033">
      <formula>N258=" "</formula>
    </cfRule>
    <cfRule type="expression" dxfId="1427" priority="1034">
      <formula>N258="NO PRESENTÓ CERTIFICADO"</formula>
    </cfRule>
    <cfRule type="expression" dxfId="1426" priority="1035">
      <formula>N258="PRESENTÓ CERTIFICADO"</formula>
    </cfRule>
  </conditionalFormatting>
  <conditionalFormatting sqref="O258">
    <cfRule type="cellIs" dxfId="1425" priority="1015" operator="equal">
      <formula>"PENDIENTE POR DESCRIPCIÓN"</formula>
    </cfRule>
    <cfRule type="cellIs" dxfId="1424" priority="1016" operator="equal">
      <formula>"DESCRIPCIÓN INSUFICIENTE"</formula>
    </cfRule>
    <cfRule type="cellIs" dxfId="1423" priority="1017" operator="equal">
      <formula>"NO ESTÁ ACORDE A ITEM 5.2.2 (T.R.)"</formula>
    </cfRule>
    <cfRule type="cellIs" dxfId="1422" priority="1018" operator="equal">
      <formula>"ACORDE A ITEM 5.2.2 (T.R.)"</formula>
    </cfRule>
    <cfRule type="cellIs" dxfId="1421" priority="1025" operator="equal">
      <formula>"PENDIENTE POR DESCRIPCIÓN"</formula>
    </cfRule>
    <cfRule type="cellIs" dxfId="1420" priority="1027" operator="equal">
      <formula>"DESCRIPCIÓN INSUFICIENTE"</formula>
    </cfRule>
    <cfRule type="cellIs" dxfId="1419" priority="1028" operator="equal">
      <formula>"NO ESTÁ ACORDE A ITEM 5.2.1 (T.R.)"</formula>
    </cfRule>
    <cfRule type="cellIs" dxfId="1418" priority="1029" operator="equal">
      <formula>"ACORDE A ITEM 5.2.1 (T.R.)"</formula>
    </cfRule>
  </conditionalFormatting>
  <conditionalFormatting sqref="Q258">
    <cfRule type="containsBlanks" dxfId="1417" priority="1020">
      <formula>LEN(TRIM(Q258))=0</formula>
    </cfRule>
    <cfRule type="cellIs" dxfId="1416" priority="1026" operator="equal">
      <formula>"REQUERIMIENTOS SUBSANADOS"</formula>
    </cfRule>
    <cfRule type="containsText" dxfId="1415" priority="1030" operator="containsText" text="NO SUBSANABLE">
      <formula>NOT(ISERROR(SEARCH("NO SUBSANABLE",Q258)))</formula>
    </cfRule>
    <cfRule type="containsText" dxfId="1414" priority="1031" operator="containsText" text="PENDIENTES POR SUBSANAR">
      <formula>NOT(ISERROR(SEARCH("PENDIENTES POR SUBSANAR",Q258)))</formula>
    </cfRule>
    <cfRule type="containsText" dxfId="1413" priority="1032" operator="containsText" text="SIN OBSERVACIÓN">
      <formula>NOT(ISERROR(SEARCH("SIN OBSERVACIÓN",Q258)))</formula>
    </cfRule>
  </conditionalFormatting>
  <conditionalFormatting sqref="R258">
    <cfRule type="containsBlanks" dxfId="1412" priority="1019">
      <formula>LEN(TRIM(R258))=0</formula>
    </cfRule>
    <cfRule type="cellIs" dxfId="1411" priority="1021" operator="equal">
      <formula>"NO CUMPLEN CON LO SOLICITADO"</formula>
    </cfRule>
    <cfRule type="cellIs" dxfId="1410" priority="1022" operator="equal">
      <formula>"CUMPLEN CON LO SOLICITADO"</formula>
    </cfRule>
    <cfRule type="cellIs" dxfId="1409" priority="1023" operator="equal">
      <formula>"PENDIENTES"</formula>
    </cfRule>
    <cfRule type="cellIs" dxfId="1408" priority="1024" operator="equal">
      <formula>"NINGUNO"</formula>
    </cfRule>
  </conditionalFormatting>
  <conditionalFormatting sqref="P258">
    <cfRule type="expression" dxfId="1407" priority="1010">
      <formula>Q258="NO SUBSANABLE"</formula>
    </cfRule>
    <cfRule type="expression" dxfId="1406" priority="1011">
      <formula>Q258="REQUERIMIENTOS SUBSANADOS"</formula>
    </cfRule>
    <cfRule type="expression" dxfId="1405" priority="1012">
      <formula>Q258="PENDIENTES POR SUBSANAR"</formula>
    </cfRule>
    <cfRule type="expression" dxfId="1404" priority="1013">
      <formula>Q258="SIN OBSERVACIÓN"</formula>
    </cfRule>
    <cfRule type="containsBlanks" dxfId="1403" priority="1014">
      <formula>LEN(TRIM(P258))=0</formula>
    </cfRule>
  </conditionalFormatting>
  <conditionalFormatting sqref="N261">
    <cfRule type="expression" dxfId="1402" priority="1007">
      <formula>N261=" "</formula>
    </cfRule>
    <cfRule type="expression" dxfId="1401" priority="1008">
      <formula>N261="NO PRESENTÓ CERTIFICADO"</formula>
    </cfRule>
    <cfRule type="expression" dxfId="1400" priority="1009">
      <formula>N261="PRESENTÓ CERTIFICADO"</formula>
    </cfRule>
  </conditionalFormatting>
  <conditionalFormatting sqref="O261">
    <cfRule type="cellIs" dxfId="1399" priority="989" operator="equal">
      <formula>"PENDIENTE POR DESCRIPCIÓN"</formula>
    </cfRule>
    <cfRule type="cellIs" dxfId="1398" priority="990" operator="equal">
      <formula>"DESCRIPCIÓN INSUFICIENTE"</formula>
    </cfRule>
    <cfRule type="cellIs" dxfId="1397" priority="991" operator="equal">
      <formula>"NO ESTÁ ACORDE A ITEM 5.2.2 (T.R.)"</formula>
    </cfRule>
    <cfRule type="cellIs" dxfId="1396" priority="992" operator="equal">
      <formula>"ACORDE A ITEM 5.2.2 (T.R.)"</formula>
    </cfRule>
    <cfRule type="cellIs" dxfId="1395" priority="999" operator="equal">
      <formula>"PENDIENTE POR DESCRIPCIÓN"</formula>
    </cfRule>
    <cfRule type="cellIs" dxfId="1394" priority="1001" operator="equal">
      <formula>"DESCRIPCIÓN INSUFICIENTE"</formula>
    </cfRule>
    <cfRule type="cellIs" dxfId="1393" priority="1002" operator="equal">
      <formula>"NO ESTÁ ACORDE A ITEM 5.2.1 (T.R.)"</formula>
    </cfRule>
    <cfRule type="cellIs" dxfId="1392" priority="1003" operator="equal">
      <formula>"ACORDE A ITEM 5.2.1 (T.R.)"</formula>
    </cfRule>
  </conditionalFormatting>
  <conditionalFormatting sqref="Q261">
    <cfRule type="containsBlanks" dxfId="1391" priority="994">
      <formula>LEN(TRIM(Q261))=0</formula>
    </cfRule>
    <cfRule type="cellIs" dxfId="1390" priority="1000" operator="equal">
      <formula>"REQUERIMIENTOS SUBSANADOS"</formula>
    </cfRule>
    <cfRule type="containsText" dxfId="1389" priority="1004" operator="containsText" text="NO SUBSANABLE">
      <formula>NOT(ISERROR(SEARCH("NO SUBSANABLE",Q261)))</formula>
    </cfRule>
    <cfRule type="containsText" dxfId="1388" priority="1005" operator="containsText" text="PENDIENTES POR SUBSANAR">
      <formula>NOT(ISERROR(SEARCH("PENDIENTES POR SUBSANAR",Q261)))</formula>
    </cfRule>
    <cfRule type="containsText" dxfId="1387" priority="1006" operator="containsText" text="SIN OBSERVACIÓN">
      <formula>NOT(ISERROR(SEARCH("SIN OBSERVACIÓN",Q261)))</formula>
    </cfRule>
  </conditionalFormatting>
  <conditionalFormatting sqref="R261">
    <cfRule type="containsBlanks" dxfId="1386" priority="993">
      <formula>LEN(TRIM(R261))=0</formula>
    </cfRule>
    <cfRule type="cellIs" dxfId="1385" priority="995" operator="equal">
      <formula>"NO CUMPLEN CON LO SOLICITADO"</formula>
    </cfRule>
    <cfRule type="cellIs" dxfId="1384" priority="996" operator="equal">
      <formula>"CUMPLEN CON LO SOLICITADO"</formula>
    </cfRule>
    <cfRule type="cellIs" dxfId="1383" priority="997" operator="equal">
      <formula>"PENDIENTES"</formula>
    </cfRule>
    <cfRule type="cellIs" dxfId="1382" priority="998" operator="equal">
      <formula>"NINGUNO"</formula>
    </cfRule>
  </conditionalFormatting>
  <conditionalFormatting sqref="P261">
    <cfRule type="expression" dxfId="1381" priority="984">
      <formula>Q261="NO SUBSANABLE"</formula>
    </cfRule>
    <cfRule type="expression" dxfId="1380" priority="985">
      <formula>Q261="REQUERIMIENTOS SUBSANADOS"</formula>
    </cfRule>
    <cfRule type="expression" dxfId="1379" priority="986">
      <formula>Q261="PENDIENTES POR SUBSANAR"</formula>
    </cfRule>
    <cfRule type="expression" dxfId="1378" priority="987">
      <formula>Q261="SIN OBSERVACIÓN"</formula>
    </cfRule>
    <cfRule type="containsBlanks" dxfId="1377" priority="988">
      <formula>LEN(TRIM(P261))=0</formula>
    </cfRule>
  </conditionalFormatting>
  <conditionalFormatting sqref="N264">
    <cfRule type="expression" dxfId="1376" priority="981">
      <formula>N264=" "</formula>
    </cfRule>
    <cfRule type="expression" dxfId="1375" priority="982">
      <formula>N264="NO PRESENTÓ CERTIFICADO"</formula>
    </cfRule>
    <cfRule type="expression" dxfId="1374" priority="983">
      <formula>N264="PRESENTÓ CERTIFICADO"</formula>
    </cfRule>
  </conditionalFormatting>
  <conditionalFormatting sqref="O264">
    <cfRule type="cellIs" dxfId="1373" priority="963" operator="equal">
      <formula>"PENDIENTE POR DESCRIPCIÓN"</formula>
    </cfRule>
    <cfRule type="cellIs" dxfId="1372" priority="964" operator="equal">
      <formula>"DESCRIPCIÓN INSUFICIENTE"</formula>
    </cfRule>
    <cfRule type="cellIs" dxfId="1371" priority="965" operator="equal">
      <formula>"NO ESTÁ ACORDE A ITEM 5.2.2 (T.R.)"</formula>
    </cfRule>
    <cfRule type="cellIs" dxfId="1370" priority="966" operator="equal">
      <formula>"ACORDE A ITEM 5.2.2 (T.R.)"</formula>
    </cfRule>
    <cfRule type="cellIs" dxfId="1369" priority="973" operator="equal">
      <formula>"PENDIENTE POR DESCRIPCIÓN"</formula>
    </cfRule>
    <cfRule type="cellIs" dxfId="1368" priority="975" operator="equal">
      <formula>"DESCRIPCIÓN INSUFICIENTE"</formula>
    </cfRule>
    <cfRule type="cellIs" dxfId="1367" priority="976" operator="equal">
      <formula>"NO ESTÁ ACORDE A ITEM 5.2.1 (T.R.)"</formula>
    </cfRule>
    <cfRule type="cellIs" dxfId="1366" priority="977" operator="equal">
      <formula>"ACORDE A ITEM 5.2.1 (T.R.)"</formula>
    </cfRule>
  </conditionalFormatting>
  <conditionalFormatting sqref="Q264">
    <cfRule type="containsBlanks" dxfId="1365" priority="968">
      <formula>LEN(TRIM(Q264))=0</formula>
    </cfRule>
    <cfRule type="cellIs" dxfId="1364" priority="974" operator="equal">
      <formula>"REQUERIMIENTOS SUBSANADOS"</formula>
    </cfRule>
    <cfRule type="containsText" dxfId="1363" priority="978" operator="containsText" text="NO SUBSANABLE">
      <formula>NOT(ISERROR(SEARCH("NO SUBSANABLE",Q264)))</formula>
    </cfRule>
    <cfRule type="containsText" dxfId="1362" priority="979" operator="containsText" text="PENDIENTES POR SUBSANAR">
      <formula>NOT(ISERROR(SEARCH("PENDIENTES POR SUBSANAR",Q264)))</formula>
    </cfRule>
    <cfRule type="containsText" dxfId="1361" priority="980" operator="containsText" text="SIN OBSERVACIÓN">
      <formula>NOT(ISERROR(SEARCH("SIN OBSERVACIÓN",Q264)))</formula>
    </cfRule>
  </conditionalFormatting>
  <conditionalFormatting sqref="R264">
    <cfRule type="containsBlanks" dxfId="1360" priority="967">
      <formula>LEN(TRIM(R264))=0</formula>
    </cfRule>
    <cfRule type="cellIs" dxfId="1359" priority="969" operator="equal">
      <formula>"NO CUMPLEN CON LO SOLICITADO"</formula>
    </cfRule>
    <cfRule type="cellIs" dxfId="1358" priority="970" operator="equal">
      <formula>"CUMPLEN CON LO SOLICITADO"</formula>
    </cfRule>
    <cfRule type="cellIs" dxfId="1357" priority="971" operator="equal">
      <formula>"PENDIENTES"</formula>
    </cfRule>
    <cfRule type="cellIs" dxfId="1356" priority="972" operator="equal">
      <formula>"NINGUNO"</formula>
    </cfRule>
  </conditionalFormatting>
  <conditionalFormatting sqref="P264">
    <cfRule type="expression" dxfId="1355" priority="958">
      <formula>Q264="NO SUBSANABLE"</formula>
    </cfRule>
    <cfRule type="expression" dxfId="1354" priority="959">
      <formula>Q264="REQUERIMIENTOS SUBSANADOS"</formula>
    </cfRule>
    <cfRule type="expression" dxfId="1353" priority="960">
      <formula>Q264="PENDIENTES POR SUBSANAR"</formula>
    </cfRule>
    <cfRule type="expression" dxfId="1352" priority="961">
      <formula>Q264="SIN OBSERVACIÓN"</formula>
    </cfRule>
    <cfRule type="containsBlanks" dxfId="1351" priority="962">
      <formula>LEN(TRIM(P264))=0</formula>
    </cfRule>
  </conditionalFormatting>
  <conditionalFormatting sqref="N267">
    <cfRule type="expression" dxfId="1350" priority="955">
      <formula>N267=" "</formula>
    </cfRule>
    <cfRule type="expression" dxfId="1349" priority="956">
      <formula>N267="NO PRESENTÓ CERTIFICADO"</formula>
    </cfRule>
    <cfRule type="expression" dxfId="1348" priority="957">
      <formula>N267="PRESENTÓ CERTIFICADO"</formula>
    </cfRule>
  </conditionalFormatting>
  <conditionalFormatting sqref="O267">
    <cfRule type="cellIs" dxfId="1347" priority="937" operator="equal">
      <formula>"PENDIENTE POR DESCRIPCIÓN"</formula>
    </cfRule>
    <cfRule type="cellIs" dxfId="1346" priority="938" operator="equal">
      <formula>"DESCRIPCIÓN INSUFICIENTE"</formula>
    </cfRule>
    <cfRule type="cellIs" dxfId="1345" priority="939" operator="equal">
      <formula>"NO ESTÁ ACORDE A ITEM 5.2.2 (T.R.)"</formula>
    </cfRule>
    <cfRule type="cellIs" dxfId="1344" priority="940" operator="equal">
      <formula>"ACORDE A ITEM 5.2.2 (T.R.)"</formula>
    </cfRule>
    <cfRule type="cellIs" dxfId="1343" priority="947" operator="equal">
      <formula>"PENDIENTE POR DESCRIPCIÓN"</formula>
    </cfRule>
    <cfRule type="cellIs" dxfId="1342" priority="949" operator="equal">
      <formula>"DESCRIPCIÓN INSUFICIENTE"</formula>
    </cfRule>
    <cfRule type="cellIs" dxfId="1341" priority="950" operator="equal">
      <formula>"NO ESTÁ ACORDE A ITEM 5.2.1 (T.R.)"</formula>
    </cfRule>
    <cfRule type="cellIs" dxfId="1340" priority="951" operator="equal">
      <formula>"ACORDE A ITEM 5.2.1 (T.R.)"</formula>
    </cfRule>
  </conditionalFormatting>
  <conditionalFormatting sqref="Q267">
    <cfRule type="containsBlanks" dxfId="1339" priority="942">
      <formula>LEN(TRIM(Q267))=0</formula>
    </cfRule>
    <cfRule type="cellIs" dxfId="1338" priority="948" operator="equal">
      <formula>"REQUERIMIENTOS SUBSANADOS"</formula>
    </cfRule>
    <cfRule type="containsText" dxfId="1337" priority="952" operator="containsText" text="NO SUBSANABLE">
      <formula>NOT(ISERROR(SEARCH("NO SUBSANABLE",Q267)))</formula>
    </cfRule>
    <cfRule type="containsText" dxfId="1336" priority="953" operator="containsText" text="PENDIENTES POR SUBSANAR">
      <formula>NOT(ISERROR(SEARCH("PENDIENTES POR SUBSANAR",Q267)))</formula>
    </cfRule>
    <cfRule type="containsText" dxfId="1335" priority="954" operator="containsText" text="SIN OBSERVACIÓN">
      <formula>NOT(ISERROR(SEARCH("SIN OBSERVACIÓN",Q267)))</formula>
    </cfRule>
  </conditionalFormatting>
  <conditionalFormatting sqref="R267">
    <cfRule type="containsBlanks" dxfId="1334" priority="941">
      <formula>LEN(TRIM(R267))=0</formula>
    </cfRule>
    <cfRule type="cellIs" dxfId="1333" priority="943" operator="equal">
      <formula>"NO CUMPLEN CON LO SOLICITADO"</formula>
    </cfRule>
    <cfRule type="cellIs" dxfId="1332" priority="944" operator="equal">
      <formula>"CUMPLEN CON LO SOLICITADO"</formula>
    </cfRule>
    <cfRule type="cellIs" dxfId="1331" priority="945" operator="equal">
      <formula>"PENDIENTES"</formula>
    </cfRule>
    <cfRule type="cellIs" dxfId="1330" priority="946" operator="equal">
      <formula>"NINGUNO"</formula>
    </cfRule>
  </conditionalFormatting>
  <conditionalFormatting sqref="P267">
    <cfRule type="expression" dxfId="1329" priority="932">
      <formula>Q267="NO SUBSANABLE"</formula>
    </cfRule>
    <cfRule type="expression" dxfId="1328" priority="933">
      <formula>Q267="REQUERIMIENTOS SUBSANADOS"</formula>
    </cfRule>
    <cfRule type="expression" dxfId="1327" priority="934">
      <formula>Q267="PENDIENTES POR SUBSANAR"</formula>
    </cfRule>
    <cfRule type="expression" dxfId="1326" priority="935">
      <formula>Q267="SIN OBSERVACIÓN"</formula>
    </cfRule>
    <cfRule type="containsBlanks" dxfId="1325" priority="936">
      <formula>LEN(TRIM(P267))=0</formula>
    </cfRule>
  </conditionalFormatting>
  <conditionalFormatting sqref="J267">
    <cfRule type="cellIs" dxfId="1324" priority="930" operator="equal">
      <formula>"NO CUMPLE"</formula>
    </cfRule>
    <cfRule type="cellIs" dxfId="1323" priority="931" operator="equal">
      <formula>"CUMPLE"</formula>
    </cfRule>
  </conditionalFormatting>
  <conditionalFormatting sqref="J256">
    <cfRule type="cellIs" dxfId="1322" priority="928" operator="equal">
      <formula>"NO CUMPLE"</formula>
    </cfRule>
    <cfRule type="cellIs" dxfId="1321" priority="929" operator="equal">
      <formula>"CUMPLE"</formula>
    </cfRule>
  </conditionalFormatting>
  <conditionalFormatting sqref="J255">
    <cfRule type="cellIs" dxfId="1320" priority="926" operator="equal">
      <formula>"NO CUMPLE"</formula>
    </cfRule>
    <cfRule type="cellIs" dxfId="1319" priority="927" operator="equal">
      <formula>"CUMPLE"</formula>
    </cfRule>
  </conditionalFormatting>
  <conditionalFormatting sqref="J257">
    <cfRule type="cellIs" dxfId="1318" priority="924" operator="equal">
      <formula>"NO CUMPLE"</formula>
    </cfRule>
    <cfRule type="cellIs" dxfId="1317" priority="925" operator="equal">
      <formula>"CUMPLE"</formula>
    </cfRule>
  </conditionalFormatting>
  <conditionalFormatting sqref="U258:U269">
    <cfRule type="cellIs" dxfId="1316" priority="922" operator="equal">
      <formula>0</formula>
    </cfRule>
    <cfRule type="cellIs" dxfId="1315" priority="923" operator="equal">
      <formula>1</formula>
    </cfRule>
  </conditionalFormatting>
  <conditionalFormatting sqref="I236">
    <cfRule type="notContainsBlanks" dxfId="1314" priority="921">
      <formula>LEN(TRIM(I236))&gt;0</formula>
    </cfRule>
  </conditionalFormatting>
  <conditionalFormatting sqref="N233">
    <cfRule type="expression" dxfId="1313" priority="918">
      <formula>N233=" "</formula>
    </cfRule>
    <cfRule type="expression" dxfId="1312" priority="919">
      <formula>N233="NO PRESENTÓ CERTIFICADO"</formula>
    </cfRule>
    <cfRule type="expression" dxfId="1311" priority="920">
      <formula>N233="PRESENTÓ CERTIFICADO"</formula>
    </cfRule>
  </conditionalFormatting>
  <conditionalFormatting sqref="O233">
    <cfRule type="cellIs" dxfId="1310" priority="900" operator="equal">
      <formula>"PENDIENTE POR DESCRIPCIÓN"</formula>
    </cfRule>
    <cfRule type="cellIs" dxfId="1309" priority="901" operator="equal">
      <formula>"DESCRIPCIÓN INSUFICIENTE"</formula>
    </cfRule>
    <cfRule type="cellIs" dxfId="1308" priority="902" operator="equal">
      <formula>"NO ESTÁ ACORDE A ITEM 5.2.2 (T.R.)"</formula>
    </cfRule>
    <cfRule type="cellIs" dxfId="1307" priority="903" operator="equal">
      <formula>"ACORDE A ITEM 5.2.2 (T.R.)"</formula>
    </cfRule>
    <cfRule type="cellIs" dxfId="1306" priority="910" operator="equal">
      <formula>"PENDIENTE POR DESCRIPCIÓN"</formula>
    </cfRule>
    <cfRule type="cellIs" dxfId="1305" priority="912" operator="equal">
      <formula>"DESCRIPCIÓN INSUFICIENTE"</formula>
    </cfRule>
    <cfRule type="cellIs" dxfId="1304" priority="913" operator="equal">
      <formula>"NO ESTÁ ACORDE A ITEM 5.2.1 (T.R.)"</formula>
    </cfRule>
    <cfRule type="cellIs" dxfId="1303" priority="914" operator="equal">
      <formula>"ACORDE A ITEM 5.2.1 (T.R.)"</formula>
    </cfRule>
  </conditionalFormatting>
  <conditionalFormatting sqref="Q233">
    <cfRule type="containsBlanks" dxfId="1302" priority="905">
      <formula>LEN(TRIM(Q233))=0</formula>
    </cfRule>
    <cfRule type="cellIs" dxfId="1301" priority="911" operator="equal">
      <formula>"REQUERIMIENTOS SUBSANADOS"</formula>
    </cfRule>
    <cfRule type="containsText" dxfId="1300" priority="915" operator="containsText" text="NO SUBSANABLE">
      <formula>NOT(ISERROR(SEARCH("NO SUBSANABLE",Q233)))</formula>
    </cfRule>
    <cfRule type="containsText" dxfId="1299" priority="916" operator="containsText" text="PENDIENTES POR SUBSANAR">
      <formula>NOT(ISERROR(SEARCH("PENDIENTES POR SUBSANAR",Q233)))</formula>
    </cfRule>
    <cfRule type="containsText" dxfId="1298" priority="917" operator="containsText" text="SIN OBSERVACIÓN">
      <formula>NOT(ISERROR(SEARCH("SIN OBSERVACIÓN",Q233)))</formula>
    </cfRule>
  </conditionalFormatting>
  <conditionalFormatting sqref="R233">
    <cfRule type="containsBlanks" dxfId="1297" priority="904">
      <formula>LEN(TRIM(R233))=0</formula>
    </cfRule>
    <cfRule type="cellIs" dxfId="1296" priority="906" operator="equal">
      <formula>"NO CUMPLEN CON LO SOLICITADO"</formula>
    </cfRule>
    <cfRule type="cellIs" dxfId="1295" priority="907" operator="equal">
      <formula>"CUMPLEN CON LO SOLICITADO"</formula>
    </cfRule>
    <cfRule type="cellIs" dxfId="1294" priority="908" operator="equal">
      <formula>"PENDIENTES"</formula>
    </cfRule>
    <cfRule type="cellIs" dxfId="1293" priority="909" operator="equal">
      <formula>"NINGUNO"</formula>
    </cfRule>
  </conditionalFormatting>
  <conditionalFormatting sqref="P233">
    <cfRule type="expression" dxfId="1292" priority="895">
      <formula>Q233="NO SUBSANABLE"</formula>
    </cfRule>
    <cfRule type="expression" dxfId="1291" priority="896">
      <formula>Q233="REQUERIMIENTOS SUBSANADOS"</formula>
    </cfRule>
    <cfRule type="expression" dxfId="1290" priority="897">
      <formula>Q233="PENDIENTES POR SUBSANAR"</formula>
    </cfRule>
    <cfRule type="expression" dxfId="1289" priority="898">
      <formula>Q233="SIN OBSERVACIÓN"</formula>
    </cfRule>
    <cfRule type="containsBlanks" dxfId="1288" priority="899">
      <formula>LEN(TRIM(P233))=0</formula>
    </cfRule>
  </conditionalFormatting>
  <conditionalFormatting sqref="N236">
    <cfRule type="expression" dxfId="1287" priority="892">
      <formula>N236=" "</formula>
    </cfRule>
    <cfRule type="expression" dxfId="1286" priority="893">
      <formula>N236="NO PRESENTÓ CERTIFICADO"</formula>
    </cfRule>
    <cfRule type="expression" dxfId="1285" priority="894">
      <formula>N236="PRESENTÓ CERTIFICADO"</formula>
    </cfRule>
  </conditionalFormatting>
  <conditionalFormatting sqref="O236">
    <cfRule type="cellIs" dxfId="1284" priority="874" operator="equal">
      <formula>"PENDIENTE POR DESCRIPCIÓN"</formula>
    </cfRule>
    <cfRule type="cellIs" dxfId="1283" priority="875" operator="equal">
      <formula>"DESCRIPCIÓN INSUFICIENTE"</formula>
    </cfRule>
    <cfRule type="cellIs" dxfId="1282" priority="876" operator="equal">
      <formula>"NO ESTÁ ACORDE A ITEM 5.2.2 (T.R.)"</formula>
    </cfRule>
    <cfRule type="cellIs" dxfId="1281" priority="877" operator="equal">
      <formula>"ACORDE A ITEM 5.2.2 (T.R.)"</formula>
    </cfRule>
    <cfRule type="cellIs" dxfId="1280" priority="884" operator="equal">
      <formula>"PENDIENTE POR DESCRIPCIÓN"</formula>
    </cfRule>
    <cfRule type="cellIs" dxfId="1279" priority="886" operator="equal">
      <formula>"DESCRIPCIÓN INSUFICIENTE"</formula>
    </cfRule>
    <cfRule type="cellIs" dxfId="1278" priority="887" operator="equal">
      <formula>"NO ESTÁ ACORDE A ITEM 5.2.1 (T.R.)"</formula>
    </cfRule>
    <cfRule type="cellIs" dxfId="1277" priority="888" operator="equal">
      <formula>"ACORDE A ITEM 5.2.1 (T.R.)"</formula>
    </cfRule>
  </conditionalFormatting>
  <conditionalFormatting sqref="Q236">
    <cfRule type="containsBlanks" dxfId="1276" priority="879">
      <formula>LEN(TRIM(Q236))=0</formula>
    </cfRule>
    <cfRule type="cellIs" dxfId="1275" priority="885" operator="equal">
      <formula>"REQUERIMIENTOS SUBSANADOS"</formula>
    </cfRule>
    <cfRule type="containsText" dxfId="1274" priority="889" operator="containsText" text="NO SUBSANABLE">
      <formula>NOT(ISERROR(SEARCH("NO SUBSANABLE",Q236)))</formula>
    </cfRule>
    <cfRule type="containsText" dxfId="1273" priority="890" operator="containsText" text="PENDIENTES POR SUBSANAR">
      <formula>NOT(ISERROR(SEARCH("PENDIENTES POR SUBSANAR",Q236)))</formula>
    </cfRule>
    <cfRule type="containsText" dxfId="1272" priority="891" operator="containsText" text="SIN OBSERVACIÓN">
      <formula>NOT(ISERROR(SEARCH("SIN OBSERVACIÓN",Q236)))</formula>
    </cfRule>
  </conditionalFormatting>
  <conditionalFormatting sqref="R236">
    <cfRule type="containsBlanks" dxfId="1271" priority="878">
      <formula>LEN(TRIM(R236))=0</formula>
    </cfRule>
    <cfRule type="cellIs" dxfId="1270" priority="880" operator="equal">
      <formula>"NO CUMPLEN CON LO SOLICITADO"</formula>
    </cfRule>
    <cfRule type="cellIs" dxfId="1269" priority="881" operator="equal">
      <formula>"CUMPLEN CON LO SOLICITADO"</formula>
    </cfRule>
    <cfRule type="cellIs" dxfId="1268" priority="882" operator="equal">
      <formula>"PENDIENTES"</formula>
    </cfRule>
    <cfRule type="cellIs" dxfId="1267" priority="883" operator="equal">
      <formula>"NINGUNO"</formula>
    </cfRule>
  </conditionalFormatting>
  <conditionalFormatting sqref="P236">
    <cfRule type="expression" dxfId="1266" priority="869">
      <formula>Q236="NO SUBSANABLE"</formula>
    </cfRule>
    <cfRule type="expression" dxfId="1265" priority="870">
      <formula>Q236="REQUERIMIENTOS SUBSANADOS"</formula>
    </cfRule>
    <cfRule type="expression" dxfId="1264" priority="871">
      <formula>Q236="PENDIENTES POR SUBSANAR"</formula>
    </cfRule>
    <cfRule type="expression" dxfId="1263" priority="872">
      <formula>Q236="SIN OBSERVACIÓN"</formula>
    </cfRule>
    <cfRule type="containsBlanks" dxfId="1262" priority="873">
      <formula>LEN(TRIM(P236))=0</formula>
    </cfRule>
  </conditionalFormatting>
  <conditionalFormatting sqref="N239">
    <cfRule type="expression" dxfId="1261" priority="866">
      <formula>N239=" "</formula>
    </cfRule>
    <cfRule type="expression" dxfId="1260" priority="867">
      <formula>N239="NO PRESENTÓ CERTIFICADO"</formula>
    </cfRule>
    <cfRule type="expression" dxfId="1259" priority="868">
      <formula>N239="PRESENTÓ CERTIFICADO"</formula>
    </cfRule>
  </conditionalFormatting>
  <conditionalFormatting sqref="O239">
    <cfRule type="cellIs" dxfId="1258" priority="848" operator="equal">
      <formula>"PENDIENTE POR DESCRIPCIÓN"</formula>
    </cfRule>
    <cfRule type="cellIs" dxfId="1257" priority="849" operator="equal">
      <formula>"DESCRIPCIÓN INSUFICIENTE"</formula>
    </cfRule>
    <cfRule type="cellIs" dxfId="1256" priority="850" operator="equal">
      <formula>"NO ESTÁ ACORDE A ITEM 5.2.2 (T.R.)"</formula>
    </cfRule>
    <cfRule type="cellIs" dxfId="1255" priority="851" operator="equal">
      <formula>"ACORDE A ITEM 5.2.2 (T.R.)"</formula>
    </cfRule>
    <cfRule type="cellIs" dxfId="1254" priority="858" operator="equal">
      <formula>"PENDIENTE POR DESCRIPCIÓN"</formula>
    </cfRule>
    <cfRule type="cellIs" dxfId="1253" priority="860" operator="equal">
      <formula>"DESCRIPCIÓN INSUFICIENTE"</formula>
    </cfRule>
    <cfRule type="cellIs" dxfId="1252" priority="861" operator="equal">
      <formula>"NO ESTÁ ACORDE A ITEM 5.2.1 (T.R.)"</formula>
    </cfRule>
    <cfRule type="cellIs" dxfId="1251" priority="862" operator="equal">
      <formula>"ACORDE A ITEM 5.2.1 (T.R.)"</formula>
    </cfRule>
  </conditionalFormatting>
  <conditionalFormatting sqref="Q239">
    <cfRule type="containsBlanks" dxfId="1250" priority="853">
      <formula>LEN(TRIM(Q239))=0</formula>
    </cfRule>
    <cfRule type="cellIs" dxfId="1249" priority="859" operator="equal">
      <formula>"REQUERIMIENTOS SUBSANADOS"</formula>
    </cfRule>
    <cfRule type="containsText" dxfId="1248" priority="863" operator="containsText" text="NO SUBSANABLE">
      <formula>NOT(ISERROR(SEARCH("NO SUBSANABLE",Q239)))</formula>
    </cfRule>
    <cfRule type="containsText" dxfId="1247" priority="864" operator="containsText" text="PENDIENTES POR SUBSANAR">
      <formula>NOT(ISERROR(SEARCH("PENDIENTES POR SUBSANAR",Q239)))</formula>
    </cfRule>
    <cfRule type="containsText" dxfId="1246" priority="865" operator="containsText" text="SIN OBSERVACIÓN">
      <formula>NOT(ISERROR(SEARCH("SIN OBSERVACIÓN",Q239)))</formula>
    </cfRule>
  </conditionalFormatting>
  <conditionalFormatting sqref="R239">
    <cfRule type="containsBlanks" dxfId="1245" priority="852">
      <formula>LEN(TRIM(R239))=0</formula>
    </cfRule>
    <cfRule type="cellIs" dxfId="1244" priority="854" operator="equal">
      <formula>"NO CUMPLEN CON LO SOLICITADO"</formula>
    </cfRule>
    <cfRule type="cellIs" dxfId="1243" priority="855" operator="equal">
      <formula>"CUMPLEN CON LO SOLICITADO"</formula>
    </cfRule>
    <cfRule type="cellIs" dxfId="1242" priority="856" operator="equal">
      <formula>"PENDIENTES"</formula>
    </cfRule>
    <cfRule type="cellIs" dxfId="1241" priority="857" operator="equal">
      <formula>"NINGUNO"</formula>
    </cfRule>
  </conditionalFormatting>
  <conditionalFormatting sqref="P239">
    <cfRule type="expression" dxfId="1240" priority="843">
      <formula>Q239="NO SUBSANABLE"</formula>
    </cfRule>
    <cfRule type="expression" dxfId="1239" priority="844">
      <formula>Q239="REQUERIMIENTOS SUBSANADOS"</formula>
    </cfRule>
    <cfRule type="expression" dxfId="1238" priority="845">
      <formula>Q239="PENDIENTES POR SUBSANAR"</formula>
    </cfRule>
    <cfRule type="expression" dxfId="1237" priority="846">
      <formula>Q239="SIN OBSERVACIÓN"</formula>
    </cfRule>
    <cfRule type="containsBlanks" dxfId="1236" priority="847">
      <formula>LEN(TRIM(P239))=0</formula>
    </cfRule>
  </conditionalFormatting>
  <conditionalFormatting sqref="J236">
    <cfRule type="cellIs" dxfId="1235" priority="841" operator="equal">
      <formula>"NO CUMPLE"</formula>
    </cfRule>
    <cfRule type="cellIs" dxfId="1234" priority="842" operator="equal">
      <formula>"CUMPLE"</formula>
    </cfRule>
  </conditionalFormatting>
  <conditionalFormatting sqref="J237">
    <cfRule type="cellIs" dxfId="1233" priority="839" operator="equal">
      <formula>"NO CUMPLE"</formula>
    </cfRule>
    <cfRule type="cellIs" dxfId="1232" priority="840" operator="equal">
      <formula>"CUMPLE"</formula>
    </cfRule>
  </conditionalFormatting>
  <conditionalFormatting sqref="J238">
    <cfRule type="cellIs" dxfId="1231" priority="837" operator="equal">
      <formula>"NO CUMPLE"</formula>
    </cfRule>
    <cfRule type="cellIs" dxfId="1230" priority="838" operator="equal">
      <formula>"CUMPLE"</formula>
    </cfRule>
  </conditionalFormatting>
  <conditionalFormatting sqref="J239">
    <cfRule type="cellIs" dxfId="1229" priority="835" operator="equal">
      <formula>"NO CUMPLE"</formula>
    </cfRule>
    <cfRule type="cellIs" dxfId="1228" priority="836" operator="equal">
      <formula>"CUMPLE"</formula>
    </cfRule>
  </conditionalFormatting>
  <conditionalFormatting sqref="J240">
    <cfRule type="cellIs" dxfId="1227" priority="833" operator="equal">
      <formula>"NO CUMPLE"</formula>
    </cfRule>
    <cfRule type="cellIs" dxfId="1226" priority="834" operator="equal">
      <formula>"CUMPLE"</formula>
    </cfRule>
  </conditionalFormatting>
  <conditionalFormatting sqref="J241">
    <cfRule type="cellIs" dxfId="1225" priority="831" operator="equal">
      <formula>"NO CUMPLE"</formula>
    </cfRule>
    <cfRule type="cellIs" dxfId="1224" priority="832" operator="equal">
      <formula>"CUMPLE"</formula>
    </cfRule>
  </conditionalFormatting>
  <conditionalFormatting sqref="S233">
    <cfRule type="cellIs" dxfId="1223" priority="829" operator="greaterThan">
      <formula>0</formula>
    </cfRule>
    <cfRule type="top10" dxfId="1222" priority="830" rank="10"/>
  </conditionalFormatting>
  <conditionalFormatting sqref="U233:U235">
    <cfRule type="cellIs" dxfId="1221" priority="827" operator="equal">
      <formula>0</formula>
    </cfRule>
    <cfRule type="cellIs" dxfId="1220" priority="828" operator="equal">
      <formula>1</formula>
    </cfRule>
  </conditionalFormatting>
  <conditionalFormatting sqref="U236:U238">
    <cfRule type="cellIs" dxfId="1219" priority="825" operator="equal">
      <formula>0</formula>
    </cfRule>
    <cfRule type="cellIs" dxfId="1218" priority="826" operator="equal">
      <formula>1</formula>
    </cfRule>
  </conditionalFormatting>
  <conditionalFormatting sqref="U239:U241">
    <cfRule type="cellIs" dxfId="1217" priority="823" operator="equal">
      <formula>0</formula>
    </cfRule>
    <cfRule type="cellIs" dxfId="1216" priority="824" operator="equal">
      <formula>1</formula>
    </cfRule>
  </conditionalFormatting>
  <conditionalFormatting sqref="N211">
    <cfRule type="expression" dxfId="1215" priority="820">
      <formula>N211=" "</formula>
    </cfRule>
    <cfRule type="expression" dxfId="1214" priority="821">
      <formula>N211="NO PRESENTÓ CERTIFICADO"</formula>
    </cfRule>
    <cfRule type="expression" dxfId="1213" priority="822">
      <formula>N211="PRESENTÓ CERTIFICADO"</formula>
    </cfRule>
  </conditionalFormatting>
  <conditionalFormatting sqref="O211">
    <cfRule type="cellIs" dxfId="1212" priority="802" operator="equal">
      <formula>"PENDIENTE POR DESCRIPCIÓN"</formula>
    </cfRule>
    <cfRule type="cellIs" dxfId="1211" priority="803" operator="equal">
      <formula>"DESCRIPCIÓN INSUFICIENTE"</formula>
    </cfRule>
    <cfRule type="cellIs" dxfId="1210" priority="804" operator="equal">
      <formula>"NO ESTÁ ACORDE A ITEM 5.2.2 (T.R.)"</formula>
    </cfRule>
    <cfRule type="cellIs" dxfId="1209" priority="805" operator="equal">
      <formula>"ACORDE A ITEM 5.2.2 (T.R.)"</formula>
    </cfRule>
    <cfRule type="cellIs" dxfId="1208" priority="812" operator="equal">
      <formula>"PENDIENTE POR DESCRIPCIÓN"</formula>
    </cfRule>
    <cfRule type="cellIs" dxfId="1207" priority="814" operator="equal">
      <formula>"DESCRIPCIÓN INSUFICIENTE"</formula>
    </cfRule>
    <cfRule type="cellIs" dxfId="1206" priority="815" operator="equal">
      <formula>"NO ESTÁ ACORDE A ITEM 5.2.1 (T.R.)"</formula>
    </cfRule>
    <cfRule type="cellIs" dxfId="1205" priority="816" operator="equal">
      <formula>"ACORDE A ITEM 5.2.1 (T.R.)"</formula>
    </cfRule>
  </conditionalFormatting>
  <conditionalFormatting sqref="Q211">
    <cfRule type="containsBlanks" dxfId="1204" priority="807">
      <formula>LEN(TRIM(Q211))=0</formula>
    </cfRule>
    <cfRule type="cellIs" dxfId="1203" priority="813" operator="equal">
      <formula>"REQUERIMIENTOS SUBSANADOS"</formula>
    </cfRule>
    <cfRule type="containsText" dxfId="1202" priority="817" operator="containsText" text="NO SUBSANABLE">
      <formula>NOT(ISERROR(SEARCH("NO SUBSANABLE",Q211)))</formula>
    </cfRule>
    <cfRule type="containsText" dxfId="1201" priority="818" operator="containsText" text="PENDIENTES POR SUBSANAR">
      <formula>NOT(ISERROR(SEARCH("PENDIENTES POR SUBSANAR",Q211)))</formula>
    </cfRule>
    <cfRule type="containsText" dxfId="1200" priority="819" operator="containsText" text="SIN OBSERVACIÓN">
      <formula>NOT(ISERROR(SEARCH("SIN OBSERVACIÓN",Q211)))</formula>
    </cfRule>
  </conditionalFormatting>
  <conditionalFormatting sqref="R211">
    <cfRule type="containsBlanks" dxfId="1199" priority="806">
      <formula>LEN(TRIM(R211))=0</formula>
    </cfRule>
    <cfRule type="cellIs" dxfId="1198" priority="808" operator="equal">
      <formula>"NO CUMPLEN CON LO SOLICITADO"</formula>
    </cfRule>
    <cfRule type="cellIs" dxfId="1197" priority="809" operator="equal">
      <formula>"CUMPLEN CON LO SOLICITADO"</formula>
    </cfRule>
    <cfRule type="cellIs" dxfId="1196" priority="810" operator="equal">
      <formula>"PENDIENTES"</formula>
    </cfRule>
    <cfRule type="cellIs" dxfId="1195" priority="811" operator="equal">
      <formula>"NINGUNO"</formula>
    </cfRule>
  </conditionalFormatting>
  <conditionalFormatting sqref="P211">
    <cfRule type="expression" dxfId="1194" priority="797">
      <formula>Q211="NO SUBSANABLE"</formula>
    </cfRule>
    <cfRule type="expression" dxfId="1193" priority="798">
      <formula>Q211="REQUERIMIENTOS SUBSANADOS"</formula>
    </cfRule>
    <cfRule type="expression" dxfId="1192" priority="799">
      <formula>Q211="PENDIENTES POR SUBSANAR"</formula>
    </cfRule>
    <cfRule type="expression" dxfId="1191" priority="800">
      <formula>Q211="SIN OBSERVACIÓN"</formula>
    </cfRule>
    <cfRule type="containsBlanks" dxfId="1190" priority="801">
      <formula>LEN(TRIM(P211))=0</formula>
    </cfRule>
  </conditionalFormatting>
  <conditionalFormatting sqref="S189">
    <cfRule type="cellIs" dxfId="1189" priority="795" operator="greaterThan">
      <formula>0</formula>
    </cfRule>
    <cfRule type="top10" dxfId="1188" priority="796" rank="10"/>
  </conditionalFormatting>
  <conditionalFormatting sqref="N189">
    <cfRule type="expression" dxfId="1187" priority="792">
      <formula>N189=" "</formula>
    </cfRule>
    <cfRule type="expression" dxfId="1186" priority="793">
      <formula>N189="NO PRESENTÓ CERTIFICADO"</formula>
    </cfRule>
    <cfRule type="expression" dxfId="1185" priority="794">
      <formula>N189="PRESENTÓ CERTIFICADO"</formula>
    </cfRule>
  </conditionalFormatting>
  <conditionalFormatting sqref="O189">
    <cfRule type="cellIs" dxfId="1184" priority="774" operator="equal">
      <formula>"PENDIENTE POR DESCRIPCIÓN"</formula>
    </cfRule>
    <cfRule type="cellIs" dxfId="1183" priority="775" operator="equal">
      <formula>"DESCRIPCIÓN INSUFICIENTE"</formula>
    </cfRule>
    <cfRule type="cellIs" dxfId="1182" priority="776" operator="equal">
      <formula>"NO ESTÁ ACORDE A ITEM 5.2.2 (T.R.)"</formula>
    </cfRule>
    <cfRule type="cellIs" dxfId="1181" priority="777" operator="equal">
      <formula>"ACORDE A ITEM 5.2.2 (T.R.)"</formula>
    </cfRule>
    <cfRule type="cellIs" dxfId="1180" priority="784" operator="equal">
      <formula>"PENDIENTE POR DESCRIPCIÓN"</formula>
    </cfRule>
    <cfRule type="cellIs" dxfId="1179" priority="786" operator="equal">
      <formula>"DESCRIPCIÓN INSUFICIENTE"</formula>
    </cfRule>
    <cfRule type="cellIs" dxfId="1178" priority="787" operator="equal">
      <formula>"NO ESTÁ ACORDE A ITEM 5.2.1 (T.R.)"</formula>
    </cfRule>
    <cfRule type="cellIs" dxfId="1177" priority="788" operator="equal">
      <formula>"ACORDE A ITEM 5.2.1 (T.R.)"</formula>
    </cfRule>
  </conditionalFormatting>
  <conditionalFormatting sqref="Q189">
    <cfRule type="containsBlanks" dxfId="1176" priority="779">
      <formula>LEN(TRIM(Q189))=0</formula>
    </cfRule>
    <cfRule type="cellIs" dxfId="1175" priority="785" operator="equal">
      <formula>"REQUERIMIENTOS SUBSANADOS"</formula>
    </cfRule>
    <cfRule type="containsText" dxfId="1174" priority="789" operator="containsText" text="NO SUBSANABLE">
      <formula>NOT(ISERROR(SEARCH("NO SUBSANABLE",Q189)))</formula>
    </cfRule>
    <cfRule type="containsText" dxfId="1173" priority="790" operator="containsText" text="PENDIENTES POR SUBSANAR">
      <formula>NOT(ISERROR(SEARCH("PENDIENTES POR SUBSANAR",Q189)))</formula>
    </cfRule>
    <cfRule type="containsText" dxfId="1172" priority="791" operator="containsText" text="SIN OBSERVACIÓN">
      <formula>NOT(ISERROR(SEARCH("SIN OBSERVACIÓN",Q189)))</formula>
    </cfRule>
  </conditionalFormatting>
  <conditionalFormatting sqref="R189">
    <cfRule type="containsBlanks" dxfId="1171" priority="778">
      <formula>LEN(TRIM(R189))=0</formula>
    </cfRule>
    <cfRule type="cellIs" dxfId="1170" priority="780" operator="equal">
      <formula>"NO CUMPLEN CON LO SOLICITADO"</formula>
    </cfRule>
    <cfRule type="cellIs" dxfId="1169" priority="781" operator="equal">
      <formula>"CUMPLEN CON LO SOLICITADO"</formula>
    </cfRule>
    <cfRule type="cellIs" dxfId="1168" priority="782" operator="equal">
      <formula>"PENDIENTES"</formula>
    </cfRule>
    <cfRule type="cellIs" dxfId="1167" priority="783" operator="equal">
      <formula>"NINGUNO"</formula>
    </cfRule>
  </conditionalFormatting>
  <conditionalFormatting sqref="P189">
    <cfRule type="expression" dxfId="1166" priority="769">
      <formula>Q189="NO SUBSANABLE"</formula>
    </cfRule>
    <cfRule type="expression" dxfId="1165" priority="770">
      <formula>Q189="REQUERIMIENTOS SUBSANADOS"</formula>
    </cfRule>
    <cfRule type="expression" dxfId="1164" priority="771">
      <formula>Q189="PENDIENTES POR SUBSANAR"</formula>
    </cfRule>
    <cfRule type="expression" dxfId="1163" priority="772">
      <formula>Q189="SIN OBSERVACIÓN"</formula>
    </cfRule>
    <cfRule type="containsBlanks" dxfId="1162" priority="773">
      <formula>LEN(TRIM(P189))=0</formula>
    </cfRule>
  </conditionalFormatting>
  <conditionalFormatting sqref="U211:U213">
    <cfRule type="cellIs" dxfId="1161" priority="767" operator="equal">
      <formula>0</formula>
    </cfRule>
    <cfRule type="cellIs" dxfId="1160" priority="768" operator="equal">
      <formula>1</formula>
    </cfRule>
  </conditionalFormatting>
  <conditionalFormatting sqref="U189:U191">
    <cfRule type="cellIs" dxfId="1159" priority="765" operator="equal">
      <formula>0</formula>
    </cfRule>
    <cfRule type="cellIs" dxfId="1158" priority="766" operator="equal">
      <formula>1</formula>
    </cfRule>
  </conditionalFormatting>
  <conditionalFormatting sqref="H170 H173">
    <cfRule type="notContainsBlanks" dxfId="1157" priority="764">
      <formula>LEN(TRIM(H170))&gt;0</formula>
    </cfRule>
  </conditionalFormatting>
  <conditionalFormatting sqref="N179">
    <cfRule type="expression" dxfId="1156" priority="761">
      <formula>N179=" "</formula>
    </cfRule>
    <cfRule type="expression" dxfId="1155" priority="762">
      <formula>N179="NO PRESENTÓ CERTIFICADO"</formula>
    </cfRule>
    <cfRule type="expression" dxfId="1154" priority="763">
      <formula>N179="PRESENTÓ CERTIFICADO"</formula>
    </cfRule>
  </conditionalFormatting>
  <conditionalFormatting sqref="O179">
    <cfRule type="cellIs" dxfId="1153" priority="743" operator="equal">
      <formula>"PENDIENTE POR DESCRIPCIÓN"</formula>
    </cfRule>
    <cfRule type="cellIs" dxfId="1152" priority="744" operator="equal">
      <formula>"DESCRIPCIÓN INSUFICIENTE"</formula>
    </cfRule>
    <cfRule type="cellIs" dxfId="1151" priority="745" operator="equal">
      <formula>"NO ESTÁ ACORDE A ITEM 5.2.2 (T.R.)"</formula>
    </cfRule>
    <cfRule type="cellIs" dxfId="1150" priority="746" operator="equal">
      <formula>"ACORDE A ITEM 5.2.2 (T.R.)"</formula>
    </cfRule>
    <cfRule type="cellIs" dxfId="1149" priority="753" operator="equal">
      <formula>"PENDIENTE POR DESCRIPCIÓN"</formula>
    </cfRule>
    <cfRule type="cellIs" dxfId="1148" priority="755" operator="equal">
      <formula>"DESCRIPCIÓN INSUFICIENTE"</formula>
    </cfRule>
    <cfRule type="cellIs" dxfId="1147" priority="756" operator="equal">
      <formula>"NO ESTÁ ACORDE A ITEM 5.2.1 (T.R.)"</formula>
    </cfRule>
    <cfRule type="cellIs" dxfId="1146" priority="757" operator="equal">
      <formula>"ACORDE A ITEM 5.2.1 (T.R.)"</formula>
    </cfRule>
  </conditionalFormatting>
  <conditionalFormatting sqref="Q179">
    <cfRule type="containsBlanks" dxfId="1145" priority="748">
      <formula>LEN(TRIM(Q179))=0</formula>
    </cfRule>
    <cfRule type="cellIs" dxfId="1144" priority="754" operator="equal">
      <formula>"REQUERIMIENTOS SUBSANADOS"</formula>
    </cfRule>
    <cfRule type="containsText" dxfId="1143" priority="758" operator="containsText" text="NO SUBSANABLE">
      <formula>NOT(ISERROR(SEARCH("NO SUBSANABLE",Q179)))</formula>
    </cfRule>
    <cfRule type="containsText" dxfId="1142" priority="759" operator="containsText" text="PENDIENTES POR SUBSANAR">
      <formula>NOT(ISERROR(SEARCH("PENDIENTES POR SUBSANAR",Q179)))</formula>
    </cfRule>
    <cfRule type="containsText" dxfId="1141" priority="760" operator="containsText" text="SIN OBSERVACIÓN">
      <formula>NOT(ISERROR(SEARCH("SIN OBSERVACIÓN",Q179)))</formula>
    </cfRule>
  </conditionalFormatting>
  <conditionalFormatting sqref="R179">
    <cfRule type="containsBlanks" dxfId="1140" priority="747">
      <formula>LEN(TRIM(R179))=0</formula>
    </cfRule>
    <cfRule type="cellIs" dxfId="1139" priority="749" operator="equal">
      <formula>"NO CUMPLEN CON LO SOLICITADO"</formula>
    </cfRule>
    <cfRule type="cellIs" dxfId="1138" priority="750" operator="equal">
      <formula>"CUMPLEN CON LO SOLICITADO"</formula>
    </cfRule>
    <cfRule type="cellIs" dxfId="1137" priority="751" operator="equal">
      <formula>"PENDIENTES"</formula>
    </cfRule>
    <cfRule type="cellIs" dxfId="1136" priority="752" operator="equal">
      <formula>"NINGUNO"</formula>
    </cfRule>
  </conditionalFormatting>
  <conditionalFormatting sqref="P179">
    <cfRule type="expression" dxfId="1135" priority="738">
      <formula>Q179="NO SUBSANABLE"</formula>
    </cfRule>
    <cfRule type="expression" dxfId="1134" priority="739">
      <formula>Q179="REQUERIMIENTOS SUBSANADOS"</formula>
    </cfRule>
    <cfRule type="expression" dxfId="1133" priority="740">
      <formula>Q179="PENDIENTES POR SUBSANAR"</formula>
    </cfRule>
    <cfRule type="expression" dxfId="1132" priority="741">
      <formula>Q179="SIN OBSERVACIÓN"</formula>
    </cfRule>
    <cfRule type="containsBlanks" dxfId="1131" priority="742">
      <formula>LEN(TRIM(P179))=0</formula>
    </cfRule>
  </conditionalFormatting>
  <conditionalFormatting sqref="N170">
    <cfRule type="expression" dxfId="1130" priority="735">
      <formula>N170=" "</formula>
    </cfRule>
    <cfRule type="expression" dxfId="1129" priority="736">
      <formula>N170="NO PRESENTÓ CERTIFICADO"</formula>
    </cfRule>
    <cfRule type="expression" dxfId="1128" priority="737">
      <formula>N170="PRESENTÓ CERTIFICADO"</formula>
    </cfRule>
  </conditionalFormatting>
  <conditionalFormatting sqref="O170">
    <cfRule type="cellIs" dxfId="1127" priority="717" operator="equal">
      <formula>"PENDIENTE POR DESCRIPCIÓN"</formula>
    </cfRule>
    <cfRule type="cellIs" dxfId="1126" priority="718" operator="equal">
      <formula>"DESCRIPCIÓN INSUFICIENTE"</formula>
    </cfRule>
    <cfRule type="cellIs" dxfId="1125" priority="719" operator="equal">
      <formula>"NO ESTÁ ACORDE A ITEM 5.2.2 (T.R.)"</formula>
    </cfRule>
    <cfRule type="cellIs" dxfId="1124" priority="720" operator="equal">
      <formula>"ACORDE A ITEM 5.2.2 (T.R.)"</formula>
    </cfRule>
    <cfRule type="cellIs" dxfId="1123" priority="727" operator="equal">
      <formula>"PENDIENTE POR DESCRIPCIÓN"</formula>
    </cfRule>
    <cfRule type="cellIs" dxfId="1122" priority="729" operator="equal">
      <formula>"DESCRIPCIÓN INSUFICIENTE"</formula>
    </cfRule>
    <cfRule type="cellIs" dxfId="1121" priority="730" operator="equal">
      <formula>"NO ESTÁ ACORDE A ITEM 5.2.1 (T.R.)"</formula>
    </cfRule>
    <cfRule type="cellIs" dxfId="1120" priority="731" operator="equal">
      <formula>"ACORDE A ITEM 5.2.1 (T.R.)"</formula>
    </cfRule>
  </conditionalFormatting>
  <conditionalFormatting sqref="Q170">
    <cfRule type="containsBlanks" dxfId="1119" priority="722">
      <formula>LEN(TRIM(Q170))=0</formula>
    </cfRule>
    <cfRule type="cellIs" dxfId="1118" priority="728" operator="equal">
      <formula>"REQUERIMIENTOS SUBSANADOS"</formula>
    </cfRule>
    <cfRule type="containsText" dxfId="1117" priority="732" operator="containsText" text="NO SUBSANABLE">
      <formula>NOT(ISERROR(SEARCH("NO SUBSANABLE",Q170)))</formula>
    </cfRule>
    <cfRule type="containsText" dxfId="1116" priority="733" operator="containsText" text="PENDIENTES POR SUBSANAR">
      <formula>NOT(ISERROR(SEARCH("PENDIENTES POR SUBSANAR",Q170)))</formula>
    </cfRule>
    <cfRule type="containsText" dxfId="1115" priority="734" operator="containsText" text="SIN OBSERVACIÓN">
      <formula>NOT(ISERROR(SEARCH("SIN OBSERVACIÓN",Q170)))</formula>
    </cfRule>
  </conditionalFormatting>
  <conditionalFormatting sqref="R170">
    <cfRule type="containsBlanks" dxfId="1114" priority="721">
      <formula>LEN(TRIM(R170))=0</formula>
    </cfRule>
    <cfRule type="cellIs" dxfId="1113" priority="723" operator="equal">
      <formula>"NO CUMPLEN CON LO SOLICITADO"</formula>
    </cfRule>
    <cfRule type="cellIs" dxfId="1112" priority="724" operator="equal">
      <formula>"CUMPLEN CON LO SOLICITADO"</formula>
    </cfRule>
    <cfRule type="cellIs" dxfId="1111" priority="725" operator="equal">
      <formula>"PENDIENTES"</formula>
    </cfRule>
    <cfRule type="cellIs" dxfId="1110" priority="726" operator="equal">
      <formula>"NINGUNO"</formula>
    </cfRule>
  </conditionalFormatting>
  <conditionalFormatting sqref="P170">
    <cfRule type="expression" dxfId="1109" priority="712">
      <formula>Q170="NO SUBSANABLE"</formula>
    </cfRule>
    <cfRule type="expression" dxfId="1108" priority="713">
      <formula>Q170="REQUERIMIENTOS SUBSANADOS"</formula>
    </cfRule>
    <cfRule type="expression" dxfId="1107" priority="714">
      <formula>Q170="PENDIENTES POR SUBSANAR"</formula>
    </cfRule>
    <cfRule type="expression" dxfId="1106" priority="715">
      <formula>Q170="SIN OBSERVACIÓN"</formula>
    </cfRule>
    <cfRule type="containsBlanks" dxfId="1105" priority="716">
      <formula>LEN(TRIM(P170))=0</formula>
    </cfRule>
  </conditionalFormatting>
  <conditionalFormatting sqref="N167">
    <cfRule type="expression" dxfId="1104" priority="709">
      <formula>N167=" "</formula>
    </cfRule>
    <cfRule type="expression" dxfId="1103" priority="710">
      <formula>N167="NO PRESENTÓ CERTIFICADO"</formula>
    </cfRule>
    <cfRule type="expression" dxfId="1102" priority="711">
      <formula>N167="PRESENTÓ CERTIFICADO"</formula>
    </cfRule>
  </conditionalFormatting>
  <conditionalFormatting sqref="O167">
    <cfRule type="cellIs" dxfId="1101" priority="691" operator="equal">
      <formula>"PENDIENTE POR DESCRIPCIÓN"</formula>
    </cfRule>
    <cfRule type="cellIs" dxfId="1100" priority="692" operator="equal">
      <formula>"DESCRIPCIÓN INSUFICIENTE"</formula>
    </cfRule>
    <cfRule type="cellIs" dxfId="1099" priority="693" operator="equal">
      <formula>"NO ESTÁ ACORDE A ITEM 5.2.2 (T.R.)"</formula>
    </cfRule>
    <cfRule type="cellIs" dxfId="1098" priority="694" operator="equal">
      <formula>"ACORDE A ITEM 5.2.2 (T.R.)"</formula>
    </cfRule>
    <cfRule type="cellIs" dxfId="1097" priority="701" operator="equal">
      <formula>"PENDIENTE POR DESCRIPCIÓN"</formula>
    </cfRule>
    <cfRule type="cellIs" dxfId="1096" priority="703" operator="equal">
      <formula>"DESCRIPCIÓN INSUFICIENTE"</formula>
    </cfRule>
    <cfRule type="cellIs" dxfId="1095" priority="704" operator="equal">
      <formula>"NO ESTÁ ACORDE A ITEM 5.2.1 (T.R.)"</formula>
    </cfRule>
    <cfRule type="cellIs" dxfId="1094" priority="705" operator="equal">
      <formula>"ACORDE A ITEM 5.2.1 (T.R.)"</formula>
    </cfRule>
  </conditionalFormatting>
  <conditionalFormatting sqref="Q167">
    <cfRule type="containsBlanks" dxfId="1093" priority="696">
      <formula>LEN(TRIM(Q167))=0</formula>
    </cfRule>
    <cfRule type="cellIs" dxfId="1092" priority="702" operator="equal">
      <formula>"REQUERIMIENTOS SUBSANADOS"</formula>
    </cfRule>
    <cfRule type="containsText" dxfId="1091" priority="706" operator="containsText" text="NO SUBSANABLE">
      <formula>NOT(ISERROR(SEARCH("NO SUBSANABLE",Q167)))</formula>
    </cfRule>
    <cfRule type="containsText" dxfId="1090" priority="707" operator="containsText" text="PENDIENTES POR SUBSANAR">
      <formula>NOT(ISERROR(SEARCH("PENDIENTES POR SUBSANAR",Q167)))</formula>
    </cfRule>
    <cfRule type="containsText" dxfId="1089" priority="708" operator="containsText" text="SIN OBSERVACIÓN">
      <formula>NOT(ISERROR(SEARCH("SIN OBSERVACIÓN",Q167)))</formula>
    </cfRule>
  </conditionalFormatting>
  <conditionalFormatting sqref="R167">
    <cfRule type="containsBlanks" dxfId="1088" priority="695">
      <formula>LEN(TRIM(R167))=0</formula>
    </cfRule>
    <cfRule type="cellIs" dxfId="1087" priority="697" operator="equal">
      <formula>"NO CUMPLEN CON LO SOLICITADO"</formula>
    </cfRule>
    <cfRule type="cellIs" dxfId="1086" priority="698" operator="equal">
      <formula>"CUMPLEN CON LO SOLICITADO"</formula>
    </cfRule>
    <cfRule type="cellIs" dxfId="1085" priority="699" operator="equal">
      <formula>"PENDIENTES"</formula>
    </cfRule>
    <cfRule type="cellIs" dxfId="1084" priority="700" operator="equal">
      <formula>"NINGUNO"</formula>
    </cfRule>
  </conditionalFormatting>
  <conditionalFormatting sqref="P167">
    <cfRule type="expression" dxfId="1083" priority="686">
      <formula>Q167="NO SUBSANABLE"</formula>
    </cfRule>
    <cfRule type="expression" dxfId="1082" priority="687">
      <formula>Q167="REQUERIMIENTOS SUBSANADOS"</formula>
    </cfRule>
    <cfRule type="expression" dxfId="1081" priority="688">
      <formula>Q167="PENDIENTES POR SUBSANAR"</formula>
    </cfRule>
    <cfRule type="expression" dxfId="1080" priority="689">
      <formula>Q167="SIN OBSERVACIÓN"</formula>
    </cfRule>
    <cfRule type="containsBlanks" dxfId="1079" priority="690">
      <formula>LEN(TRIM(P167))=0</formula>
    </cfRule>
  </conditionalFormatting>
  <conditionalFormatting sqref="N176">
    <cfRule type="expression" dxfId="1078" priority="683">
      <formula>N176=" "</formula>
    </cfRule>
    <cfRule type="expression" dxfId="1077" priority="684">
      <formula>N176="NO PRESENTÓ CERTIFICADO"</formula>
    </cfRule>
    <cfRule type="expression" dxfId="1076" priority="685">
      <formula>N176="PRESENTÓ CERTIFICADO"</formula>
    </cfRule>
  </conditionalFormatting>
  <conditionalFormatting sqref="O176">
    <cfRule type="cellIs" dxfId="1075" priority="665" operator="equal">
      <formula>"PENDIENTE POR DESCRIPCIÓN"</formula>
    </cfRule>
    <cfRule type="cellIs" dxfId="1074" priority="666" operator="equal">
      <formula>"DESCRIPCIÓN INSUFICIENTE"</formula>
    </cfRule>
    <cfRule type="cellIs" dxfId="1073" priority="667" operator="equal">
      <formula>"NO ESTÁ ACORDE A ITEM 5.2.2 (T.R.)"</formula>
    </cfRule>
    <cfRule type="cellIs" dxfId="1072" priority="668" operator="equal">
      <formula>"ACORDE A ITEM 5.2.2 (T.R.)"</formula>
    </cfRule>
    <cfRule type="cellIs" dxfId="1071" priority="675" operator="equal">
      <formula>"PENDIENTE POR DESCRIPCIÓN"</formula>
    </cfRule>
    <cfRule type="cellIs" dxfId="1070" priority="677" operator="equal">
      <formula>"DESCRIPCIÓN INSUFICIENTE"</formula>
    </cfRule>
    <cfRule type="cellIs" dxfId="1069" priority="678" operator="equal">
      <formula>"NO ESTÁ ACORDE A ITEM 5.2.1 (T.R.)"</formula>
    </cfRule>
    <cfRule type="cellIs" dxfId="1068" priority="679" operator="equal">
      <formula>"ACORDE A ITEM 5.2.1 (T.R.)"</formula>
    </cfRule>
  </conditionalFormatting>
  <conditionalFormatting sqref="Q176">
    <cfRule type="containsBlanks" dxfId="1067" priority="670">
      <formula>LEN(TRIM(Q176))=0</formula>
    </cfRule>
    <cfRule type="cellIs" dxfId="1066" priority="676" operator="equal">
      <formula>"REQUERIMIENTOS SUBSANADOS"</formula>
    </cfRule>
    <cfRule type="containsText" dxfId="1065" priority="680" operator="containsText" text="NO SUBSANABLE">
      <formula>NOT(ISERROR(SEARCH("NO SUBSANABLE",Q176)))</formula>
    </cfRule>
    <cfRule type="containsText" dxfId="1064" priority="681" operator="containsText" text="PENDIENTES POR SUBSANAR">
      <formula>NOT(ISERROR(SEARCH("PENDIENTES POR SUBSANAR",Q176)))</formula>
    </cfRule>
    <cfRule type="containsText" dxfId="1063" priority="682" operator="containsText" text="SIN OBSERVACIÓN">
      <formula>NOT(ISERROR(SEARCH("SIN OBSERVACIÓN",Q176)))</formula>
    </cfRule>
  </conditionalFormatting>
  <conditionalFormatting sqref="R176">
    <cfRule type="containsBlanks" dxfId="1062" priority="669">
      <formula>LEN(TRIM(R176))=0</formula>
    </cfRule>
    <cfRule type="cellIs" dxfId="1061" priority="671" operator="equal">
      <formula>"NO CUMPLEN CON LO SOLICITADO"</formula>
    </cfRule>
    <cfRule type="cellIs" dxfId="1060" priority="672" operator="equal">
      <formula>"CUMPLEN CON LO SOLICITADO"</formula>
    </cfRule>
    <cfRule type="cellIs" dxfId="1059" priority="673" operator="equal">
      <formula>"PENDIENTES"</formula>
    </cfRule>
    <cfRule type="cellIs" dxfId="1058" priority="674" operator="equal">
      <formula>"NINGUNO"</formula>
    </cfRule>
  </conditionalFormatting>
  <conditionalFormatting sqref="N173">
    <cfRule type="expression" dxfId="1057" priority="662">
      <formula>N173=" "</formula>
    </cfRule>
    <cfRule type="expression" dxfId="1056" priority="663">
      <formula>N173="NO PRESENTÓ CERTIFICADO"</formula>
    </cfRule>
    <cfRule type="expression" dxfId="1055" priority="664">
      <formula>N173="PRESENTÓ CERTIFICADO"</formula>
    </cfRule>
  </conditionalFormatting>
  <conditionalFormatting sqref="O173">
    <cfRule type="cellIs" dxfId="1054" priority="644" operator="equal">
      <formula>"PENDIENTE POR DESCRIPCIÓN"</formula>
    </cfRule>
    <cfRule type="cellIs" dxfId="1053" priority="645" operator="equal">
      <formula>"DESCRIPCIÓN INSUFICIENTE"</formula>
    </cfRule>
    <cfRule type="cellIs" dxfId="1052" priority="646" operator="equal">
      <formula>"NO ESTÁ ACORDE A ITEM 5.2.2 (T.R.)"</formula>
    </cfRule>
    <cfRule type="cellIs" dxfId="1051" priority="647" operator="equal">
      <formula>"ACORDE A ITEM 5.2.2 (T.R.)"</formula>
    </cfRule>
    <cfRule type="cellIs" dxfId="1050" priority="654" operator="equal">
      <formula>"PENDIENTE POR DESCRIPCIÓN"</formula>
    </cfRule>
    <cfRule type="cellIs" dxfId="1049" priority="656" operator="equal">
      <formula>"DESCRIPCIÓN INSUFICIENTE"</formula>
    </cfRule>
    <cfRule type="cellIs" dxfId="1048" priority="657" operator="equal">
      <formula>"NO ESTÁ ACORDE A ITEM 5.2.1 (T.R.)"</formula>
    </cfRule>
    <cfRule type="cellIs" dxfId="1047" priority="658" operator="equal">
      <formula>"ACORDE A ITEM 5.2.1 (T.R.)"</formula>
    </cfRule>
  </conditionalFormatting>
  <conditionalFormatting sqref="Q173">
    <cfRule type="containsBlanks" dxfId="1046" priority="649">
      <formula>LEN(TRIM(Q173))=0</formula>
    </cfRule>
    <cfRule type="cellIs" dxfId="1045" priority="655" operator="equal">
      <formula>"REQUERIMIENTOS SUBSANADOS"</formula>
    </cfRule>
    <cfRule type="containsText" dxfId="1044" priority="659" operator="containsText" text="NO SUBSANABLE">
      <formula>NOT(ISERROR(SEARCH("NO SUBSANABLE",Q173)))</formula>
    </cfRule>
    <cfRule type="containsText" dxfId="1043" priority="660" operator="containsText" text="PENDIENTES POR SUBSANAR">
      <formula>NOT(ISERROR(SEARCH("PENDIENTES POR SUBSANAR",Q173)))</formula>
    </cfRule>
    <cfRule type="containsText" dxfId="1042" priority="661" operator="containsText" text="SIN OBSERVACIÓN">
      <formula>NOT(ISERROR(SEARCH("SIN OBSERVACIÓN",Q173)))</formula>
    </cfRule>
  </conditionalFormatting>
  <conditionalFormatting sqref="R173">
    <cfRule type="containsBlanks" dxfId="1041" priority="648">
      <formula>LEN(TRIM(R173))=0</formula>
    </cfRule>
    <cfRule type="cellIs" dxfId="1040" priority="650" operator="equal">
      <formula>"NO CUMPLEN CON LO SOLICITADO"</formula>
    </cfRule>
    <cfRule type="cellIs" dxfId="1039" priority="651" operator="equal">
      <formula>"CUMPLEN CON LO SOLICITADO"</formula>
    </cfRule>
    <cfRule type="cellIs" dxfId="1038" priority="652" operator="equal">
      <formula>"PENDIENTES"</formula>
    </cfRule>
    <cfRule type="cellIs" dxfId="1037" priority="653" operator="equal">
      <formula>"NINGUNO"</formula>
    </cfRule>
  </conditionalFormatting>
  <conditionalFormatting sqref="P173">
    <cfRule type="expression" dxfId="1036" priority="639">
      <formula>Q173="NO SUBSANABLE"</formula>
    </cfRule>
    <cfRule type="expression" dxfId="1035" priority="640">
      <formula>Q173="REQUERIMIENTOS SUBSANADOS"</formula>
    </cfRule>
    <cfRule type="expression" dxfId="1034" priority="641">
      <formula>Q173="PENDIENTES POR SUBSANAR"</formula>
    </cfRule>
    <cfRule type="expression" dxfId="1033" priority="642">
      <formula>Q173="SIN OBSERVACIÓN"</formula>
    </cfRule>
    <cfRule type="containsBlanks" dxfId="1032" priority="643">
      <formula>LEN(TRIM(P173))=0</formula>
    </cfRule>
  </conditionalFormatting>
  <conditionalFormatting sqref="J168">
    <cfRule type="cellIs" dxfId="1031" priority="637" operator="equal">
      <formula>"NO CUMPLE"</formula>
    </cfRule>
    <cfRule type="cellIs" dxfId="1030" priority="638" operator="equal">
      <formula>"CUMPLE"</formula>
    </cfRule>
  </conditionalFormatting>
  <conditionalFormatting sqref="J169">
    <cfRule type="cellIs" dxfId="1029" priority="635" operator="equal">
      <formula>"NO CUMPLE"</formula>
    </cfRule>
    <cfRule type="cellIs" dxfId="1028" priority="636" operator="equal">
      <formula>"CUMPLE"</formula>
    </cfRule>
  </conditionalFormatting>
  <conditionalFormatting sqref="J170:J172">
    <cfRule type="cellIs" dxfId="1027" priority="633" operator="equal">
      <formula>"NO CUMPLE"</formula>
    </cfRule>
    <cfRule type="cellIs" dxfId="1026" priority="634" operator="equal">
      <formula>"CUMPLE"</formula>
    </cfRule>
  </conditionalFormatting>
  <conditionalFormatting sqref="J173:J175">
    <cfRule type="cellIs" dxfId="1025" priority="631" operator="equal">
      <formula>"NO CUMPLE"</formula>
    </cfRule>
    <cfRule type="cellIs" dxfId="1024" priority="632" operator="equal">
      <formula>"CUMPLE"</formula>
    </cfRule>
  </conditionalFormatting>
  <conditionalFormatting sqref="J176:J178">
    <cfRule type="cellIs" dxfId="1023" priority="629" operator="equal">
      <formula>"NO CUMPLE"</formula>
    </cfRule>
    <cfRule type="cellIs" dxfId="1022" priority="630" operator="equal">
      <formula>"CUMPLE"</formula>
    </cfRule>
  </conditionalFormatting>
  <conditionalFormatting sqref="P176">
    <cfRule type="expression" dxfId="1021" priority="624">
      <formula>Q176="NO SUBSANABLE"</formula>
    </cfRule>
    <cfRule type="expression" dxfId="1020" priority="625">
      <formula>Q176="REQUERIMIENTOS SUBSANADOS"</formula>
    </cfRule>
    <cfRule type="expression" dxfId="1019" priority="626">
      <formula>Q176="PENDIENTES POR SUBSANAR"</formula>
    </cfRule>
    <cfRule type="expression" dxfId="1018" priority="627">
      <formula>Q176="SIN OBSERVACIÓN"</formula>
    </cfRule>
    <cfRule type="containsBlanks" dxfId="1017" priority="628">
      <formula>LEN(TRIM(P176))=0</formula>
    </cfRule>
  </conditionalFormatting>
  <conditionalFormatting sqref="J179">
    <cfRule type="cellIs" dxfId="1016" priority="622" operator="equal">
      <formula>"NO CUMPLE"</formula>
    </cfRule>
    <cfRule type="cellIs" dxfId="1015" priority="623" operator="equal">
      <formula>"CUMPLE"</formula>
    </cfRule>
  </conditionalFormatting>
  <conditionalFormatting sqref="J180">
    <cfRule type="cellIs" dxfId="1014" priority="620" operator="equal">
      <formula>"NO CUMPLE"</formula>
    </cfRule>
    <cfRule type="cellIs" dxfId="1013" priority="621" operator="equal">
      <formula>"CUMPLE"</formula>
    </cfRule>
  </conditionalFormatting>
  <conditionalFormatting sqref="F148">
    <cfRule type="notContainsBlanks" dxfId="1012" priority="619">
      <formula>LEN(TRIM(F148))&gt;0</formula>
    </cfRule>
  </conditionalFormatting>
  <conditionalFormatting sqref="N145">
    <cfRule type="expression" dxfId="1011" priority="616">
      <formula>N145=" "</formula>
    </cfRule>
    <cfRule type="expression" dxfId="1010" priority="617">
      <formula>N145="NO PRESENTÓ CERTIFICADO"</formula>
    </cfRule>
    <cfRule type="expression" dxfId="1009" priority="618">
      <formula>N145="PRESENTÓ CERTIFICADO"</formula>
    </cfRule>
  </conditionalFormatting>
  <conditionalFormatting sqref="O145">
    <cfRule type="cellIs" dxfId="1008" priority="598" operator="equal">
      <formula>"PENDIENTE POR DESCRIPCIÓN"</formula>
    </cfRule>
    <cfRule type="cellIs" dxfId="1007" priority="599" operator="equal">
      <formula>"DESCRIPCIÓN INSUFICIENTE"</formula>
    </cfRule>
    <cfRule type="cellIs" dxfId="1006" priority="600" operator="equal">
      <formula>"NO ESTÁ ACORDE A ITEM 5.2.2 (T.R.)"</formula>
    </cfRule>
    <cfRule type="cellIs" dxfId="1005" priority="601" operator="equal">
      <formula>"ACORDE A ITEM 5.2.2 (T.R.)"</formula>
    </cfRule>
    <cfRule type="cellIs" dxfId="1004" priority="608" operator="equal">
      <formula>"PENDIENTE POR DESCRIPCIÓN"</formula>
    </cfRule>
    <cfRule type="cellIs" dxfId="1003" priority="610" operator="equal">
      <formula>"DESCRIPCIÓN INSUFICIENTE"</formula>
    </cfRule>
    <cfRule type="cellIs" dxfId="1002" priority="611" operator="equal">
      <formula>"NO ESTÁ ACORDE A ITEM 5.2.1 (T.R.)"</formula>
    </cfRule>
    <cfRule type="cellIs" dxfId="1001" priority="612" operator="equal">
      <formula>"ACORDE A ITEM 5.2.1 (T.R.)"</formula>
    </cfRule>
  </conditionalFormatting>
  <conditionalFormatting sqref="Q145">
    <cfRule type="containsBlanks" dxfId="1000" priority="603">
      <formula>LEN(TRIM(Q145))=0</formula>
    </cfRule>
    <cfRule type="cellIs" dxfId="999" priority="609" operator="equal">
      <formula>"REQUERIMIENTOS SUBSANADOS"</formula>
    </cfRule>
    <cfRule type="containsText" dxfId="998" priority="613" operator="containsText" text="NO SUBSANABLE">
      <formula>NOT(ISERROR(SEARCH("NO SUBSANABLE",Q145)))</formula>
    </cfRule>
    <cfRule type="containsText" dxfId="997" priority="614" operator="containsText" text="PENDIENTES POR SUBSANAR">
      <formula>NOT(ISERROR(SEARCH("PENDIENTES POR SUBSANAR",Q145)))</formula>
    </cfRule>
    <cfRule type="containsText" dxfId="996" priority="615" operator="containsText" text="SIN OBSERVACIÓN">
      <formula>NOT(ISERROR(SEARCH("SIN OBSERVACIÓN",Q145)))</formula>
    </cfRule>
  </conditionalFormatting>
  <conditionalFormatting sqref="R145">
    <cfRule type="containsBlanks" dxfId="995" priority="602">
      <formula>LEN(TRIM(R145))=0</formula>
    </cfRule>
    <cfRule type="cellIs" dxfId="994" priority="604" operator="equal">
      <formula>"NO CUMPLEN CON LO SOLICITADO"</formula>
    </cfRule>
    <cfRule type="cellIs" dxfId="993" priority="605" operator="equal">
      <formula>"CUMPLEN CON LO SOLICITADO"</formula>
    </cfRule>
    <cfRule type="cellIs" dxfId="992" priority="606" operator="equal">
      <formula>"PENDIENTES"</formula>
    </cfRule>
    <cfRule type="cellIs" dxfId="991" priority="607" operator="equal">
      <formula>"NINGUNO"</formula>
    </cfRule>
  </conditionalFormatting>
  <conditionalFormatting sqref="P145">
    <cfRule type="expression" dxfId="990" priority="593">
      <formula>Q145="NO SUBSANABLE"</formula>
    </cfRule>
    <cfRule type="expression" dxfId="989" priority="594">
      <formula>Q145="REQUERIMIENTOS SUBSANADOS"</formula>
    </cfRule>
    <cfRule type="expression" dxfId="988" priority="595">
      <formula>Q145="PENDIENTES POR SUBSANAR"</formula>
    </cfRule>
    <cfRule type="expression" dxfId="987" priority="596">
      <formula>Q145="SIN OBSERVACIÓN"</formula>
    </cfRule>
    <cfRule type="containsBlanks" dxfId="986" priority="597">
      <formula>LEN(TRIM(P145))=0</formula>
    </cfRule>
  </conditionalFormatting>
  <conditionalFormatting sqref="N148">
    <cfRule type="expression" dxfId="985" priority="590">
      <formula>N148=" "</formula>
    </cfRule>
    <cfRule type="expression" dxfId="984" priority="591">
      <formula>N148="NO PRESENTÓ CERTIFICADO"</formula>
    </cfRule>
    <cfRule type="expression" dxfId="983" priority="592">
      <formula>N148="PRESENTÓ CERTIFICADO"</formula>
    </cfRule>
  </conditionalFormatting>
  <conditionalFormatting sqref="O148">
    <cfRule type="cellIs" dxfId="982" priority="572" operator="equal">
      <formula>"PENDIENTE POR DESCRIPCIÓN"</formula>
    </cfRule>
    <cfRule type="cellIs" dxfId="981" priority="573" operator="equal">
      <formula>"DESCRIPCIÓN INSUFICIENTE"</formula>
    </cfRule>
    <cfRule type="cellIs" dxfId="980" priority="574" operator="equal">
      <formula>"NO ESTÁ ACORDE A ITEM 5.2.2 (T.R.)"</formula>
    </cfRule>
    <cfRule type="cellIs" dxfId="979" priority="575" operator="equal">
      <formula>"ACORDE A ITEM 5.2.2 (T.R.)"</formula>
    </cfRule>
    <cfRule type="cellIs" dxfId="978" priority="582" operator="equal">
      <formula>"PENDIENTE POR DESCRIPCIÓN"</formula>
    </cfRule>
    <cfRule type="cellIs" dxfId="977" priority="584" operator="equal">
      <formula>"DESCRIPCIÓN INSUFICIENTE"</formula>
    </cfRule>
    <cfRule type="cellIs" dxfId="976" priority="585" operator="equal">
      <formula>"NO ESTÁ ACORDE A ITEM 5.2.1 (T.R.)"</formula>
    </cfRule>
    <cfRule type="cellIs" dxfId="975" priority="586" operator="equal">
      <formula>"ACORDE A ITEM 5.2.1 (T.R.)"</formula>
    </cfRule>
  </conditionalFormatting>
  <conditionalFormatting sqref="Q148">
    <cfRule type="containsBlanks" dxfId="974" priority="577">
      <formula>LEN(TRIM(Q148))=0</formula>
    </cfRule>
    <cfRule type="cellIs" dxfId="973" priority="583" operator="equal">
      <formula>"REQUERIMIENTOS SUBSANADOS"</formula>
    </cfRule>
    <cfRule type="containsText" dxfId="972" priority="587" operator="containsText" text="NO SUBSANABLE">
      <formula>NOT(ISERROR(SEARCH("NO SUBSANABLE",Q148)))</formula>
    </cfRule>
    <cfRule type="containsText" dxfId="971" priority="588" operator="containsText" text="PENDIENTES POR SUBSANAR">
      <formula>NOT(ISERROR(SEARCH("PENDIENTES POR SUBSANAR",Q148)))</formula>
    </cfRule>
    <cfRule type="containsText" dxfId="970" priority="589" operator="containsText" text="SIN OBSERVACIÓN">
      <formula>NOT(ISERROR(SEARCH("SIN OBSERVACIÓN",Q148)))</formula>
    </cfRule>
  </conditionalFormatting>
  <conditionalFormatting sqref="R148">
    <cfRule type="containsBlanks" dxfId="969" priority="576">
      <formula>LEN(TRIM(R148))=0</formula>
    </cfRule>
    <cfRule type="cellIs" dxfId="968" priority="578" operator="equal">
      <formula>"NO CUMPLEN CON LO SOLICITADO"</formula>
    </cfRule>
    <cfRule type="cellIs" dxfId="967" priority="579" operator="equal">
      <formula>"CUMPLEN CON LO SOLICITADO"</formula>
    </cfRule>
    <cfRule type="cellIs" dxfId="966" priority="580" operator="equal">
      <formula>"PENDIENTES"</formula>
    </cfRule>
    <cfRule type="cellIs" dxfId="965" priority="581" operator="equal">
      <formula>"NINGUNO"</formula>
    </cfRule>
  </conditionalFormatting>
  <conditionalFormatting sqref="P148">
    <cfRule type="expression" dxfId="964" priority="567">
      <formula>Q148="NO SUBSANABLE"</formula>
    </cfRule>
    <cfRule type="expression" dxfId="963" priority="568">
      <formula>Q148="REQUERIMIENTOS SUBSANADOS"</formula>
    </cfRule>
    <cfRule type="expression" dxfId="962" priority="569">
      <formula>Q148="PENDIENTES POR SUBSANAR"</formula>
    </cfRule>
    <cfRule type="expression" dxfId="961" priority="570">
      <formula>Q148="SIN OBSERVACIÓN"</formula>
    </cfRule>
    <cfRule type="containsBlanks" dxfId="960" priority="571">
      <formula>LEN(TRIM(P148))=0</formula>
    </cfRule>
  </conditionalFormatting>
  <conditionalFormatting sqref="H126 H129">
    <cfRule type="notContainsBlanks" dxfId="959" priority="566">
      <formula>LEN(TRIM(H126))&gt;0</formula>
    </cfRule>
  </conditionalFormatting>
  <conditionalFormatting sqref="I126 I129">
    <cfRule type="notContainsBlanks" dxfId="958" priority="565">
      <formula>LEN(TRIM(I126))&gt;0</formula>
    </cfRule>
  </conditionalFormatting>
  <conditionalFormatting sqref="N123">
    <cfRule type="expression" dxfId="957" priority="562">
      <formula>N123=" "</formula>
    </cfRule>
    <cfRule type="expression" dxfId="956" priority="563">
      <formula>N123="NO PRESENTÓ CERTIFICADO"</formula>
    </cfRule>
    <cfRule type="expression" dxfId="955" priority="564">
      <formula>N123="PRESENTÓ CERTIFICADO"</formula>
    </cfRule>
  </conditionalFormatting>
  <conditionalFormatting sqref="O123">
    <cfRule type="cellIs" dxfId="954" priority="554" operator="equal">
      <formula>"PENDIENTE POR DESCRIPCIÓN"</formula>
    </cfRule>
    <cfRule type="cellIs" dxfId="953" priority="555" operator="equal">
      <formula>"DESCRIPCIÓN INSUFICIENTE"</formula>
    </cfRule>
    <cfRule type="cellIs" dxfId="952" priority="556" operator="equal">
      <formula>"NO ESTÁ ACORDE A ITEM 5.2.2 (T.R.)"</formula>
    </cfRule>
    <cfRule type="cellIs" dxfId="951" priority="557" operator="equal">
      <formula>"ACORDE A ITEM 5.2.2 (T.R.)"</formula>
    </cfRule>
    <cfRule type="cellIs" dxfId="950" priority="558" operator="equal">
      <formula>"PENDIENTE POR DESCRIPCIÓN"</formula>
    </cfRule>
    <cfRule type="cellIs" dxfId="949" priority="559" operator="equal">
      <formula>"DESCRIPCIÓN INSUFICIENTE"</formula>
    </cfRule>
    <cfRule type="cellIs" dxfId="948" priority="560" operator="equal">
      <formula>"NO ESTÁ ACORDE A ITEM 5.2.1 (T.R.)"</formula>
    </cfRule>
    <cfRule type="cellIs" dxfId="947" priority="561" operator="equal">
      <formula>"ACORDE A ITEM 5.2.1 (T.R.)"</formula>
    </cfRule>
  </conditionalFormatting>
  <conditionalFormatting sqref="N126">
    <cfRule type="expression" dxfId="946" priority="551">
      <formula>N126=" "</formula>
    </cfRule>
    <cfRule type="expression" dxfId="945" priority="552">
      <formula>N126="NO PRESENTÓ CERTIFICADO"</formula>
    </cfRule>
    <cfRule type="expression" dxfId="944" priority="553">
      <formula>N126="PRESENTÓ CERTIFICADO"</formula>
    </cfRule>
  </conditionalFormatting>
  <conditionalFormatting sqref="O126">
    <cfRule type="cellIs" dxfId="943" priority="533" operator="equal">
      <formula>"PENDIENTE POR DESCRIPCIÓN"</formula>
    </cfRule>
    <cfRule type="cellIs" dxfId="942" priority="534" operator="equal">
      <formula>"DESCRIPCIÓN INSUFICIENTE"</formula>
    </cfRule>
    <cfRule type="cellIs" dxfId="941" priority="535" operator="equal">
      <formula>"NO ESTÁ ACORDE A ITEM 5.2.2 (T.R.)"</formula>
    </cfRule>
    <cfRule type="cellIs" dxfId="940" priority="536" operator="equal">
      <formula>"ACORDE A ITEM 5.2.2 (T.R.)"</formula>
    </cfRule>
    <cfRule type="cellIs" dxfId="939" priority="543" operator="equal">
      <formula>"PENDIENTE POR DESCRIPCIÓN"</formula>
    </cfRule>
    <cfRule type="cellIs" dxfId="938" priority="545" operator="equal">
      <formula>"DESCRIPCIÓN INSUFICIENTE"</formula>
    </cfRule>
    <cfRule type="cellIs" dxfId="937" priority="546" operator="equal">
      <formula>"NO ESTÁ ACORDE A ITEM 5.2.1 (T.R.)"</formula>
    </cfRule>
    <cfRule type="cellIs" dxfId="936" priority="547" operator="equal">
      <formula>"ACORDE A ITEM 5.2.1 (T.R.)"</formula>
    </cfRule>
  </conditionalFormatting>
  <conditionalFormatting sqref="Q126">
    <cfRule type="containsBlanks" dxfId="935" priority="538">
      <formula>LEN(TRIM(Q126))=0</formula>
    </cfRule>
    <cfRule type="cellIs" dxfId="934" priority="544" operator="equal">
      <formula>"REQUERIMIENTOS SUBSANADOS"</formula>
    </cfRule>
    <cfRule type="containsText" dxfId="933" priority="548" operator="containsText" text="NO SUBSANABLE">
      <formula>NOT(ISERROR(SEARCH("NO SUBSANABLE",Q126)))</formula>
    </cfRule>
    <cfRule type="containsText" dxfId="932" priority="549" operator="containsText" text="PENDIENTES POR SUBSANAR">
      <formula>NOT(ISERROR(SEARCH("PENDIENTES POR SUBSANAR",Q126)))</formula>
    </cfRule>
    <cfRule type="containsText" dxfId="931" priority="550" operator="containsText" text="SIN OBSERVACIÓN">
      <formula>NOT(ISERROR(SEARCH("SIN OBSERVACIÓN",Q126)))</formula>
    </cfRule>
  </conditionalFormatting>
  <conditionalFormatting sqref="R126">
    <cfRule type="containsBlanks" dxfId="930" priority="537">
      <formula>LEN(TRIM(R126))=0</formula>
    </cfRule>
    <cfRule type="cellIs" dxfId="929" priority="539" operator="equal">
      <formula>"NO CUMPLEN CON LO SOLICITADO"</formula>
    </cfRule>
    <cfRule type="cellIs" dxfId="928" priority="540" operator="equal">
      <formula>"CUMPLEN CON LO SOLICITADO"</formula>
    </cfRule>
    <cfRule type="cellIs" dxfId="927" priority="541" operator="equal">
      <formula>"PENDIENTES"</formula>
    </cfRule>
    <cfRule type="cellIs" dxfId="926" priority="542" operator="equal">
      <formula>"NINGUNO"</formula>
    </cfRule>
  </conditionalFormatting>
  <conditionalFormatting sqref="P126">
    <cfRule type="expression" dxfId="925" priority="528">
      <formula>Q126="NO SUBSANABLE"</formula>
    </cfRule>
    <cfRule type="expression" dxfId="924" priority="529">
      <formula>Q126="REQUERIMIENTOS SUBSANADOS"</formula>
    </cfRule>
    <cfRule type="expression" dxfId="923" priority="530">
      <formula>Q126="PENDIENTES POR SUBSANAR"</formula>
    </cfRule>
    <cfRule type="expression" dxfId="922" priority="531">
      <formula>Q126="SIN OBSERVACIÓN"</formula>
    </cfRule>
    <cfRule type="containsBlanks" dxfId="921" priority="532">
      <formula>LEN(TRIM(P126))=0</formula>
    </cfRule>
  </conditionalFormatting>
  <conditionalFormatting sqref="N129">
    <cfRule type="expression" dxfId="920" priority="525">
      <formula>N129=" "</formula>
    </cfRule>
    <cfRule type="expression" dxfId="919" priority="526">
      <formula>N129="NO PRESENTÓ CERTIFICADO"</formula>
    </cfRule>
    <cfRule type="expression" dxfId="918" priority="527">
      <formula>N129="PRESENTÓ CERTIFICADO"</formula>
    </cfRule>
  </conditionalFormatting>
  <conditionalFormatting sqref="O129">
    <cfRule type="cellIs" dxfId="917" priority="507" operator="equal">
      <formula>"PENDIENTE POR DESCRIPCIÓN"</formula>
    </cfRule>
    <cfRule type="cellIs" dxfId="916" priority="508" operator="equal">
      <formula>"DESCRIPCIÓN INSUFICIENTE"</formula>
    </cfRule>
    <cfRule type="cellIs" dxfId="915" priority="509" operator="equal">
      <formula>"NO ESTÁ ACORDE A ITEM 5.2.2 (T.R.)"</formula>
    </cfRule>
    <cfRule type="cellIs" dxfId="914" priority="510" operator="equal">
      <formula>"ACORDE A ITEM 5.2.2 (T.R.)"</formula>
    </cfRule>
    <cfRule type="cellIs" dxfId="913" priority="517" operator="equal">
      <formula>"PENDIENTE POR DESCRIPCIÓN"</formula>
    </cfRule>
    <cfRule type="cellIs" dxfId="912" priority="519" operator="equal">
      <formula>"DESCRIPCIÓN INSUFICIENTE"</formula>
    </cfRule>
    <cfRule type="cellIs" dxfId="911" priority="520" operator="equal">
      <formula>"NO ESTÁ ACORDE A ITEM 5.2.1 (T.R.)"</formula>
    </cfRule>
    <cfRule type="cellIs" dxfId="910" priority="521" operator="equal">
      <formula>"ACORDE A ITEM 5.2.1 (T.R.)"</formula>
    </cfRule>
  </conditionalFormatting>
  <conditionalFormatting sqref="Q129">
    <cfRule type="containsBlanks" dxfId="909" priority="512">
      <formula>LEN(TRIM(Q129))=0</formula>
    </cfRule>
    <cfRule type="cellIs" dxfId="908" priority="518" operator="equal">
      <formula>"REQUERIMIENTOS SUBSANADOS"</formula>
    </cfRule>
    <cfRule type="containsText" dxfId="907" priority="522" operator="containsText" text="NO SUBSANABLE">
      <formula>NOT(ISERROR(SEARCH("NO SUBSANABLE",Q129)))</formula>
    </cfRule>
    <cfRule type="containsText" dxfId="906" priority="523" operator="containsText" text="PENDIENTES POR SUBSANAR">
      <formula>NOT(ISERROR(SEARCH("PENDIENTES POR SUBSANAR",Q129)))</formula>
    </cfRule>
    <cfRule type="containsText" dxfId="905" priority="524" operator="containsText" text="SIN OBSERVACIÓN">
      <formula>NOT(ISERROR(SEARCH("SIN OBSERVACIÓN",Q129)))</formula>
    </cfRule>
  </conditionalFormatting>
  <conditionalFormatting sqref="R129">
    <cfRule type="containsBlanks" dxfId="904" priority="511">
      <formula>LEN(TRIM(R129))=0</formula>
    </cfRule>
    <cfRule type="cellIs" dxfId="903" priority="513" operator="equal">
      <formula>"NO CUMPLEN CON LO SOLICITADO"</formula>
    </cfRule>
    <cfRule type="cellIs" dxfId="902" priority="514" operator="equal">
      <formula>"CUMPLEN CON LO SOLICITADO"</formula>
    </cfRule>
    <cfRule type="cellIs" dxfId="901" priority="515" operator="equal">
      <formula>"PENDIENTES"</formula>
    </cfRule>
    <cfRule type="cellIs" dxfId="900" priority="516" operator="equal">
      <formula>"NINGUNO"</formula>
    </cfRule>
  </conditionalFormatting>
  <conditionalFormatting sqref="P129">
    <cfRule type="expression" dxfId="899" priority="502">
      <formula>Q129="NO SUBSANABLE"</formula>
    </cfRule>
    <cfRule type="expression" dxfId="898" priority="503">
      <formula>Q129="REQUERIMIENTOS SUBSANADOS"</formula>
    </cfRule>
    <cfRule type="expression" dxfId="897" priority="504">
      <formula>Q129="PENDIENTES POR SUBSANAR"</formula>
    </cfRule>
    <cfRule type="expression" dxfId="896" priority="505">
      <formula>Q129="SIN OBSERVACIÓN"</formula>
    </cfRule>
    <cfRule type="containsBlanks" dxfId="895" priority="506">
      <formula>LEN(TRIM(P129))=0</formula>
    </cfRule>
  </conditionalFormatting>
  <conditionalFormatting sqref="N132">
    <cfRule type="expression" dxfId="894" priority="499">
      <formula>N132=" "</formula>
    </cfRule>
    <cfRule type="expression" dxfId="893" priority="500">
      <formula>N132="NO PRESENTÓ CERTIFICADO"</formula>
    </cfRule>
    <cfRule type="expression" dxfId="892" priority="501">
      <formula>N132="PRESENTÓ CERTIFICADO"</formula>
    </cfRule>
  </conditionalFormatting>
  <conditionalFormatting sqref="O132">
    <cfRule type="cellIs" dxfId="891" priority="481" operator="equal">
      <formula>"PENDIENTE POR DESCRIPCIÓN"</formula>
    </cfRule>
    <cfRule type="cellIs" dxfId="890" priority="482" operator="equal">
      <formula>"DESCRIPCIÓN INSUFICIENTE"</formula>
    </cfRule>
    <cfRule type="cellIs" dxfId="889" priority="483" operator="equal">
      <formula>"NO ESTÁ ACORDE A ITEM 5.2.2 (T.R.)"</formula>
    </cfRule>
    <cfRule type="cellIs" dxfId="888" priority="484" operator="equal">
      <formula>"ACORDE A ITEM 5.2.2 (T.R.)"</formula>
    </cfRule>
    <cfRule type="cellIs" dxfId="887" priority="491" operator="equal">
      <formula>"PENDIENTE POR DESCRIPCIÓN"</formula>
    </cfRule>
    <cfRule type="cellIs" dxfId="886" priority="493" operator="equal">
      <formula>"DESCRIPCIÓN INSUFICIENTE"</formula>
    </cfRule>
    <cfRule type="cellIs" dxfId="885" priority="494" operator="equal">
      <formula>"NO ESTÁ ACORDE A ITEM 5.2.1 (T.R.)"</formula>
    </cfRule>
    <cfRule type="cellIs" dxfId="884" priority="495" operator="equal">
      <formula>"ACORDE A ITEM 5.2.1 (T.R.)"</formula>
    </cfRule>
  </conditionalFormatting>
  <conditionalFormatting sqref="Q132">
    <cfRule type="containsBlanks" dxfId="883" priority="486">
      <formula>LEN(TRIM(Q132))=0</formula>
    </cfRule>
    <cfRule type="cellIs" dxfId="882" priority="492" operator="equal">
      <formula>"REQUERIMIENTOS SUBSANADOS"</formula>
    </cfRule>
    <cfRule type="containsText" dxfId="881" priority="496" operator="containsText" text="NO SUBSANABLE">
      <formula>NOT(ISERROR(SEARCH("NO SUBSANABLE",Q132)))</formula>
    </cfRule>
    <cfRule type="containsText" dxfId="880" priority="497" operator="containsText" text="PENDIENTES POR SUBSANAR">
      <formula>NOT(ISERROR(SEARCH("PENDIENTES POR SUBSANAR",Q132)))</formula>
    </cfRule>
    <cfRule type="containsText" dxfId="879" priority="498" operator="containsText" text="SIN OBSERVACIÓN">
      <formula>NOT(ISERROR(SEARCH("SIN OBSERVACIÓN",Q132)))</formula>
    </cfRule>
  </conditionalFormatting>
  <conditionalFormatting sqref="R132">
    <cfRule type="containsBlanks" dxfId="878" priority="485">
      <formula>LEN(TRIM(R132))=0</formula>
    </cfRule>
    <cfRule type="cellIs" dxfId="877" priority="487" operator="equal">
      <formula>"NO CUMPLEN CON LO SOLICITADO"</formula>
    </cfRule>
    <cfRule type="cellIs" dxfId="876" priority="488" operator="equal">
      <formula>"CUMPLEN CON LO SOLICITADO"</formula>
    </cfRule>
    <cfRule type="cellIs" dxfId="875" priority="489" operator="equal">
      <formula>"PENDIENTES"</formula>
    </cfRule>
    <cfRule type="cellIs" dxfId="874" priority="490" operator="equal">
      <formula>"NINGUNO"</formula>
    </cfRule>
  </conditionalFormatting>
  <conditionalFormatting sqref="P132">
    <cfRule type="expression" dxfId="873" priority="476">
      <formula>Q132="NO SUBSANABLE"</formula>
    </cfRule>
    <cfRule type="expression" dxfId="872" priority="477">
      <formula>Q132="REQUERIMIENTOS SUBSANADOS"</formula>
    </cfRule>
    <cfRule type="expression" dxfId="871" priority="478">
      <formula>Q132="PENDIENTES POR SUBSANAR"</formula>
    </cfRule>
    <cfRule type="expression" dxfId="870" priority="479">
      <formula>Q132="SIN OBSERVACIÓN"</formula>
    </cfRule>
    <cfRule type="containsBlanks" dxfId="869" priority="480">
      <formula>LEN(TRIM(P132))=0</formula>
    </cfRule>
  </conditionalFormatting>
  <conditionalFormatting sqref="U167:U169">
    <cfRule type="cellIs" dxfId="868" priority="474" operator="equal">
      <formula>0</formula>
    </cfRule>
    <cfRule type="cellIs" dxfId="867" priority="475" operator="equal">
      <formula>1</formula>
    </cfRule>
  </conditionalFormatting>
  <conditionalFormatting sqref="U170:U181">
    <cfRule type="cellIs" dxfId="866" priority="472" operator="equal">
      <formula>0</formula>
    </cfRule>
    <cfRule type="cellIs" dxfId="865" priority="473" operator="equal">
      <formula>1</formula>
    </cfRule>
  </conditionalFormatting>
  <conditionalFormatting sqref="U145:U147">
    <cfRule type="cellIs" dxfId="864" priority="470" operator="equal">
      <formula>0</formula>
    </cfRule>
    <cfRule type="cellIs" dxfId="863" priority="471" operator="equal">
      <formula>1</formula>
    </cfRule>
  </conditionalFormatting>
  <conditionalFormatting sqref="U148:U150">
    <cfRule type="cellIs" dxfId="862" priority="468" operator="equal">
      <formula>0</formula>
    </cfRule>
    <cfRule type="cellIs" dxfId="861" priority="469" operator="equal">
      <formula>1</formula>
    </cfRule>
  </conditionalFormatting>
  <conditionalFormatting sqref="U123:U137">
    <cfRule type="cellIs" dxfId="860" priority="466" operator="equal">
      <formula>0</formula>
    </cfRule>
    <cfRule type="cellIs" dxfId="859" priority="467" operator="equal">
      <formula>1</formula>
    </cfRule>
  </conditionalFormatting>
  <conditionalFormatting sqref="H104 H107">
    <cfRule type="notContainsBlanks" dxfId="858" priority="465">
      <formula>LEN(TRIM(H104))&gt;0</formula>
    </cfRule>
  </conditionalFormatting>
  <conditionalFormatting sqref="I104 I107">
    <cfRule type="notContainsBlanks" dxfId="857" priority="464">
      <formula>LEN(TRIM(I104))&gt;0</formula>
    </cfRule>
  </conditionalFormatting>
  <conditionalFormatting sqref="N101">
    <cfRule type="expression" dxfId="856" priority="461">
      <formula>N101=" "</formula>
    </cfRule>
    <cfRule type="expression" dxfId="855" priority="462">
      <formula>N101="NO PRESENTÓ CERTIFICADO"</formula>
    </cfRule>
    <cfRule type="expression" dxfId="854" priority="463">
      <formula>N101="PRESENTÓ CERTIFICADO"</formula>
    </cfRule>
  </conditionalFormatting>
  <conditionalFormatting sqref="O101">
    <cfRule type="cellIs" dxfId="853" priority="443" operator="equal">
      <formula>"PENDIENTE POR DESCRIPCIÓN"</formula>
    </cfRule>
    <cfRule type="cellIs" dxfId="852" priority="444" operator="equal">
      <formula>"DESCRIPCIÓN INSUFICIENTE"</formula>
    </cfRule>
    <cfRule type="cellIs" dxfId="851" priority="445" operator="equal">
      <formula>"NO ESTÁ ACORDE A ITEM 5.2.2 (T.R.)"</formula>
    </cfRule>
    <cfRule type="cellIs" dxfId="850" priority="446" operator="equal">
      <formula>"ACORDE A ITEM 5.2.2 (T.R.)"</formula>
    </cfRule>
    <cfRule type="cellIs" dxfId="849" priority="453" operator="equal">
      <formula>"PENDIENTE POR DESCRIPCIÓN"</formula>
    </cfRule>
    <cfRule type="cellIs" dxfId="848" priority="455" operator="equal">
      <formula>"DESCRIPCIÓN INSUFICIENTE"</formula>
    </cfRule>
    <cfRule type="cellIs" dxfId="847" priority="456" operator="equal">
      <formula>"NO ESTÁ ACORDE A ITEM 5.2.1 (T.R.)"</formula>
    </cfRule>
    <cfRule type="cellIs" dxfId="846" priority="457" operator="equal">
      <formula>"ACORDE A ITEM 5.2.1 (T.R.)"</formula>
    </cfRule>
  </conditionalFormatting>
  <conditionalFormatting sqref="Q101">
    <cfRule type="containsBlanks" dxfId="845" priority="448">
      <formula>LEN(TRIM(Q101))=0</formula>
    </cfRule>
    <cfRule type="cellIs" dxfId="844" priority="454" operator="equal">
      <formula>"REQUERIMIENTOS SUBSANADOS"</formula>
    </cfRule>
    <cfRule type="containsText" dxfId="843" priority="458" operator="containsText" text="NO SUBSANABLE">
      <formula>NOT(ISERROR(SEARCH("NO SUBSANABLE",Q101)))</formula>
    </cfRule>
    <cfRule type="containsText" dxfId="842" priority="459" operator="containsText" text="PENDIENTES POR SUBSANAR">
      <formula>NOT(ISERROR(SEARCH("PENDIENTES POR SUBSANAR",Q101)))</formula>
    </cfRule>
    <cfRule type="containsText" dxfId="841" priority="460" operator="containsText" text="SIN OBSERVACIÓN">
      <formula>NOT(ISERROR(SEARCH("SIN OBSERVACIÓN",Q101)))</formula>
    </cfRule>
  </conditionalFormatting>
  <conditionalFormatting sqref="R101">
    <cfRule type="containsBlanks" dxfId="840" priority="447">
      <formula>LEN(TRIM(R101))=0</formula>
    </cfRule>
    <cfRule type="cellIs" dxfId="839" priority="449" operator="equal">
      <formula>"NO CUMPLEN CON LO SOLICITADO"</formula>
    </cfRule>
    <cfRule type="cellIs" dxfId="838" priority="450" operator="equal">
      <formula>"CUMPLEN CON LO SOLICITADO"</formula>
    </cfRule>
    <cfRule type="cellIs" dxfId="837" priority="451" operator="equal">
      <formula>"PENDIENTES"</formula>
    </cfRule>
    <cfRule type="cellIs" dxfId="836" priority="452" operator="equal">
      <formula>"NINGUNO"</formula>
    </cfRule>
  </conditionalFormatting>
  <conditionalFormatting sqref="P101">
    <cfRule type="expression" dxfId="835" priority="438">
      <formula>Q101="NO SUBSANABLE"</formula>
    </cfRule>
    <cfRule type="expression" dxfId="834" priority="439">
      <formula>Q101="REQUERIMIENTOS SUBSANADOS"</formula>
    </cfRule>
    <cfRule type="expression" dxfId="833" priority="440">
      <formula>Q101="PENDIENTES POR SUBSANAR"</formula>
    </cfRule>
    <cfRule type="expression" dxfId="832" priority="441">
      <formula>Q101="SIN OBSERVACIÓN"</formula>
    </cfRule>
    <cfRule type="containsBlanks" dxfId="831" priority="442">
      <formula>LEN(TRIM(P101))=0</formula>
    </cfRule>
  </conditionalFormatting>
  <conditionalFormatting sqref="N104">
    <cfRule type="expression" dxfId="830" priority="435">
      <formula>N104=" "</formula>
    </cfRule>
    <cfRule type="expression" dxfId="829" priority="436">
      <formula>N104="NO PRESENTÓ CERTIFICADO"</formula>
    </cfRule>
    <cfRule type="expression" dxfId="828" priority="437">
      <formula>N104="PRESENTÓ CERTIFICADO"</formula>
    </cfRule>
  </conditionalFormatting>
  <conditionalFormatting sqref="O104">
    <cfRule type="cellIs" dxfId="827" priority="417" operator="equal">
      <formula>"PENDIENTE POR DESCRIPCIÓN"</formula>
    </cfRule>
    <cfRule type="cellIs" dxfId="826" priority="418" operator="equal">
      <formula>"DESCRIPCIÓN INSUFICIENTE"</formula>
    </cfRule>
    <cfRule type="cellIs" dxfId="825" priority="419" operator="equal">
      <formula>"NO ESTÁ ACORDE A ITEM 5.2.2 (T.R.)"</formula>
    </cfRule>
    <cfRule type="cellIs" dxfId="824" priority="420" operator="equal">
      <formula>"ACORDE A ITEM 5.2.2 (T.R.)"</formula>
    </cfRule>
    <cfRule type="cellIs" dxfId="823" priority="427" operator="equal">
      <formula>"PENDIENTE POR DESCRIPCIÓN"</formula>
    </cfRule>
    <cfRule type="cellIs" dxfId="822" priority="429" operator="equal">
      <formula>"DESCRIPCIÓN INSUFICIENTE"</formula>
    </cfRule>
    <cfRule type="cellIs" dxfId="821" priority="430" operator="equal">
      <formula>"NO ESTÁ ACORDE A ITEM 5.2.1 (T.R.)"</formula>
    </cfRule>
    <cfRule type="cellIs" dxfId="820" priority="431" operator="equal">
      <formula>"ACORDE A ITEM 5.2.1 (T.R.)"</formula>
    </cfRule>
  </conditionalFormatting>
  <conditionalFormatting sqref="Q104">
    <cfRule type="containsBlanks" dxfId="819" priority="422">
      <formula>LEN(TRIM(Q104))=0</formula>
    </cfRule>
    <cfRule type="cellIs" dxfId="818" priority="428" operator="equal">
      <formula>"REQUERIMIENTOS SUBSANADOS"</formula>
    </cfRule>
    <cfRule type="containsText" dxfId="817" priority="432" operator="containsText" text="NO SUBSANABLE">
      <formula>NOT(ISERROR(SEARCH("NO SUBSANABLE",Q104)))</formula>
    </cfRule>
    <cfRule type="containsText" dxfId="816" priority="433" operator="containsText" text="PENDIENTES POR SUBSANAR">
      <formula>NOT(ISERROR(SEARCH("PENDIENTES POR SUBSANAR",Q104)))</formula>
    </cfRule>
    <cfRule type="containsText" dxfId="815" priority="434" operator="containsText" text="SIN OBSERVACIÓN">
      <formula>NOT(ISERROR(SEARCH("SIN OBSERVACIÓN",Q104)))</formula>
    </cfRule>
  </conditionalFormatting>
  <conditionalFormatting sqref="R104">
    <cfRule type="containsBlanks" dxfId="814" priority="421">
      <formula>LEN(TRIM(R104))=0</formula>
    </cfRule>
    <cfRule type="cellIs" dxfId="813" priority="423" operator="equal">
      <formula>"NO CUMPLEN CON LO SOLICITADO"</formula>
    </cfRule>
    <cfRule type="cellIs" dxfId="812" priority="424" operator="equal">
      <formula>"CUMPLEN CON LO SOLICITADO"</formula>
    </cfRule>
    <cfRule type="cellIs" dxfId="811" priority="425" operator="equal">
      <formula>"PENDIENTES"</formula>
    </cfRule>
    <cfRule type="cellIs" dxfId="810" priority="426" operator="equal">
      <formula>"NINGUNO"</formula>
    </cfRule>
  </conditionalFormatting>
  <conditionalFormatting sqref="P104">
    <cfRule type="expression" dxfId="809" priority="412">
      <formula>Q104="NO SUBSANABLE"</formula>
    </cfRule>
    <cfRule type="expression" dxfId="808" priority="413">
      <formula>Q104="REQUERIMIENTOS SUBSANADOS"</formula>
    </cfRule>
    <cfRule type="expression" dxfId="807" priority="414">
      <formula>Q104="PENDIENTES POR SUBSANAR"</formula>
    </cfRule>
    <cfRule type="expression" dxfId="806" priority="415">
      <formula>Q104="SIN OBSERVACIÓN"</formula>
    </cfRule>
    <cfRule type="containsBlanks" dxfId="805" priority="416">
      <formula>LEN(TRIM(P104))=0</formula>
    </cfRule>
  </conditionalFormatting>
  <conditionalFormatting sqref="N107">
    <cfRule type="expression" dxfId="804" priority="409">
      <formula>N107=" "</formula>
    </cfRule>
    <cfRule type="expression" dxfId="803" priority="410">
      <formula>N107="NO PRESENTÓ CERTIFICADO"</formula>
    </cfRule>
    <cfRule type="expression" dxfId="802" priority="411">
      <formula>N107="PRESENTÓ CERTIFICADO"</formula>
    </cfRule>
  </conditionalFormatting>
  <conditionalFormatting sqref="O107">
    <cfRule type="cellIs" dxfId="801" priority="401" operator="equal">
      <formula>"PENDIENTE POR DESCRIPCIÓN"</formula>
    </cfRule>
    <cfRule type="cellIs" dxfId="800" priority="402" operator="equal">
      <formula>"DESCRIPCIÓN INSUFICIENTE"</formula>
    </cfRule>
    <cfRule type="cellIs" dxfId="799" priority="403" operator="equal">
      <formula>"NO ESTÁ ACORDE A ITEM 5.2.2 (T.R.)"</formula>
    </cfRule>
    <cfRule type="cellIs" dxfId="798" priority="404" operator="equal">
      <formula>"ACORDE A ITEM 5.2.2 (T.R.)"</formula>
    </cfRule>
    <cfRule type="cellIs" dxfId="797" priority="405" operator="equal">
      <formula>"PENDIENTE POR DESCRIPCIÓN"</formula>
    </cfRule>
    <cfRule type="cellIs" dxfId="796" priority="406" operator="equal">
      <formula>"DESCRIPCIÓN INSUFICIENTE"</formula>
    </cfRule>
    <cfRule type="cellIs" dxfId="795" priority="407" operator="equal">
      <formula>"NO ESTÁ ACORDE A ITEM 5.2.1 (T.R.)"</formula>
    </cfRule>
    <cfRule type="cellIs" dxfId="794" priority="408" operator="equal">
      <formula>"ACORDE A ITEM 5.2.1 (T.R.)"</formula>
    </cfRule>
  </conditionalFormatting>
  <conditionalFormatting sqref="Q107">
    <cfRule type="containsBlanks" dxfId="793" priority="392">
      <formula>LEN(TRIM(Q107))=0</formula>
    </cfRule>
    <cfRule type="cellIs" dxfId="792" priority="397" operator="equal">
      <formula>"REQUERIMIENTOS SUBSANADOS"</formula>
    </cfRule>
    <cfRule type="containsText" dxfId="791" priority="398" operator="containsText" text="NO SUBSANABLE">
      <formula>NOT(ISERROR(SEARCH("NO SUBSANABLE",Q107)))</formula>
    </cfRule>
    <cfRule type="containsText" dxfId="790" priority="399" operator="containsText" text="PENDIENTES POR SUBSANAR">
      <formula>NOT(ISERROR(SEARCH("PENDIENTES POR SUBSANAR",Q107)))</formula>
    </cfRule>
    <cfRule type="containsText" dxfId="789" priority="400" operator="containsText" text="SIN OBSERVACIÓN">
      <formula>NOT(ISERROR(SEARCH("SIN OBSERVACIÓN",Q107)))</formula>
    </cfRule>
  </conditionalFormatting>
  <conditionalFormatting sqref="R107">
    <cfRule type="containsBlanks" dxfId="788" priority="391">
      <formula>LEN(TRIM(R107))=0</formula>
    </cfRule>
    <cfRule type="cellIs" dxfId="787" priority="393" operator="equal">
      <formula>"NO CUMPLEN CON LO SOLICITADO"</formula>
    </cfRule>
    <cfRule type="cellIs" dxfId="786" priority="394" operator="equal">
      <formula>"CUMPLEN CON LO SOLICITADO"</formula>
    </cfRule>
    <cfRule type="cellIs" dxfId="785" priority="395" operator="equal">
      <formula>"PENDIENTES"</formula>
    </cfRule>
    <cfRule type="cellIs" dxfId="784" priority="396" operator="equal">
      <formula>"NINGUNO"</formula>
    </cfRule>
  </conditionalFormatting>
  <conditionalFormatting sqref="N110">
    <cfRule type="expression" dxfId="783" priority="388">
      <formula>N110=" "</formula>
    </cfRule>
    <cfRule type="expression" dxfId="782" priority="389">
      <formula>N110="NO PRESENTÓ CERTIFICADO"</formula>
    </cfRule>
    <cfRule type="expression" dxfId="781" priority="390">
      <formula>N110="PRESENTÓ CERTIFICADO"</formula>
    </cfRule>
  </conditionalFormatting>
  <conditionalFormatting sqref="O110">
    <cfRule type="cellIs" dxfId="780" priority="370" operator="equal">
      <formula>"PENDIENTE POR DESCRIPCIÓN"</formula>
    </cfRule>
    <cfRule type="cellIs" dxfId="779" priority="371" operator="equal">
      <formula>"DESCRIPCIÓN INSUFICIENTE"</formula>
    </cfRule>
    <cfRule type="cellIs" dxfId="778" priority="372" operator="equal">
      <formula>"NO ESTÁ ACORDE A ITEM 5.2.2 (T.R.)"</formula>
    </cfRule>
    <cfRule type="cellIs" dxfId="777" priority="373" operator="equal">
      <formula>"ACORDE A ITEM 5.2.2 (T.R.)"</formula>
    </cfRule>
    <cfRule type="cellIs" dxfId="776" priority="380" operator="equal">
      <formula>"PENDIENTE POR DESCRIPCIÓN"</formula>
    </cfRule>
    <cfRule type="cellIs" dxfId="775" priority="382" operator="equal">
      <formula>"DESCRIPCIÓN INSUFICIENTE"</formula>
    </cfRule>
    <cfRule type="cellIs" dxfId="774" priority="383" operator="equal">
      <formula>"NO ESTÁ ACORDE A ITEM 5.2.1 (T.R.)"</formula>
    </cfRule>
    <cfRule type="cellIs" dxfId="773" priority="384" operator="equal">
      <formula>"ACORDE A ITEM 5.2.1 (T.R.)"</formula>
    </cfRule>
  </conditionalFormatting>
  <conditionalFormatting sqref="Q110">
    <cfRule type="containsBlanks" dxfId="772" priority="375">
      <formula>LEN(TRIM(Q110))=0</formula>
    </cfRule>
    <cfRule type="cellIs" dxfId="771" priority="381" operator="equal">
      <formula>"REQUERIMIENTOS SUBSANADOS"</formula>
    </cfRule>
    <cfRule type="containsText" dxfId="770" priority="385" operator="containsText" text="NO SUBSANABLE">
      <formula>NOT(ISERROR(SEARCH("NO SUBSANABLE",Q110)))</formula>
    </cfRule>
    <cfRule type="containsText" dxfId="769" priority="386" operator="containsText" text="PENDIENTES POR SUBSANAR">
      <formula>NOT(ISERROR(SEARCH("PENDIENTES POR SUBSANAR",Q110)))</formula>
    </cfRule>
    <cfRule type="containsText" dxfId="768" priority="387" operator="containsText" text="SIN OBSERVACIÓN">
      <formula>NOT(ISERROR(SEARCH("SIN OBSERVACIÓN",Q110)))</formula>
    </cfRule>
  </conditionalFormatting>
  <conditionalFormatting sqref="R110">
    <cfRule type="containsBlanks" dxfId="767" priority="374">
      <formula>LEN(TRIM(R110))=0</formula>
    </cfRule>
    <cfRule type="cellIs" dxfId="766" priority="376" operator="equal">
      <formula>"NO CUMPLEN CON LO SOLICITADO"</formula>
    </cfRule>
    <cfRule type="cellIs" dxfId="765" priority="377" operator="equal">
      <formula>"CUMPLEN CON LO SOLICITADO"</formula>
    </cfRule>
    <cfRule type="cellIs" dxfId="764" priority="378" operator="equal">
      <formula>"PENDIENTES"</formula>
    </cfRule>
    <cfRule type="cellIs" dxfId="763" priority="379" operator="equal">
      <formula>"NINGUNO"</formula>
    </cfRule>
  </conditionalFormatting>
  <conditionalFormatting sqref="P110">
    <cfRule type="expression" dxfId="762" priority="365">
      <formula>Q110="NO SUBSANABLE"</formula>
    </cfRule>
    <cfRule type="expression" dxfId="761" priority="366">
      <formula>Q110="REQUERIMIENTOS SUBSANADOS"</formula>
    </cfRule>
    <cfRule type="expression" dxfId="760" priority="367">
      <formula>Q110="PENDIENTES POR SUBSANAR"</formula>
    </cfRule>
    <cfRule type="expression" dxfId="759" priority="368">
      <formula>Q110="SIN OBSERVACIÓN"</formula>
    </cfRule>
    <cfRule type="containsBlanks" dxfId="758" priority="369">
      <formula>LEN(TRIM(P110))=0</formula>
    </cfRule>
  </conditionalFormatting>
  <conditionalFormatting sqref="N113">
    <cfRule type="expression" dxfId="757" priority="362">
      <formula>N113=" "</formula>
    </cfRule>
    <cfRule type="expression" dxfId="756" priority="363">
      <formula>N113="NO PRESENTÓ CERTIFICADO"</formula>
    </cfRule>
    <cfRule type="expression" dxfId="755" priority="364">
      <formula>N113="PRESENTÓ CERTIFICADO"</formula>
    </cfRule>
  </conditionalFormatting>
  <conditionalFormatting sqref="O113">
    <cfRule type="cellIs" dxfId="754" priority="344" operator="equal">
      <formula>"PENDIENTE POR DESCRIPCIÓN"</formula>
    </cfRule>
    <cfRule type="cellIs" dxfId="753" priority="345" operator="equal">
      <formula>"DESCRIPCIÓN INSUFICIENTE"</formula>
    </cfRule>
    <cfRule type="cellIs" dxfId="752" priority="346" operator="equal">
      <formula>"NO ESTÁ ACORDE A ITEM 5.2.2 (T.R.)"</formula>
    </cfRule>
    <cfRule type="cellIs" dxfId="751" priority="347" operator="equal">
      <formula>"ACORDE A ITEM 5.2.2 (T.R.)"</formula>
    </cfRule>
    <cfRule type="cellIs" dxfId="750" priority="354" operator="equal">
      <formula>"PENDIENTE POR DESCRIPCIÓN"</formula>
    </cfRule>
    <cfRule type="cellIs" dxfId="749" priority="356" operator="equal">
      <formula>"DESCRIPCIÓN INSUFICIENTE"</formula>
    </cfRule>
    <cfRule type="cellIs" dxfId="748" priority="357" operator="equal">
      <formula>"NO ESTÁ ACORDE A ITEM 5.2.1 (T.R.)"</formula>
    </cfRule>
    <cfRule type="cellIs" dxfId="747" priority="358" operator="equal">
      <formula>"ACORDE A ITEM 5.2.1 (T.R.)"</formula>
    </cfRule>
  </conditionalFormatting>
  <conditionalFormatting sqref="Q113">
    <cfRule type="containsBlanks" dxfId="746" priority="349">
      <formula>LEN(TRIM(Q113))=0</formula>
    </cfRule>
    <cfRule type="cellIs" dxfId="745" priority="355" operator="equal">
      <formula>"REQUERIMIENTOS SUBSANADOS"</formula>
    </cfRule>
    <cfRule type="containsText" dxfId="744" priority="359" operator="containsText" text="NO SUBSANABLE">
      <formula>NOT(ISERROR(SEARCH("NO SUBSANABLE",Q113)))</formula>
    </cfRule>
    <cfRule type="containsText" dxfId="743" priority="360" operator="containsText" text="PENDIENTES POR SUBSANAR">
      <formula>NOT(ISERROR(SEARCH("PENDIENTES POR SUBSANAR",Q113)))</formula>
    </cfRule>
    <cfRule type="containsText" dxfId="742" priority="361" operator="containsText" text="SIN OBSERVACIÓN">
      <formula>NOT(ISERROR(SEARCH("SIN OBSERVACIÓN",Q113)))</formula>
    </cfRule>
  </conditionalFormatting>
  <conditionalFormatting sqref="R113">
    <cfRule type="containsBlanks" dxfId="741" priority="348">
      <formula>LEN(TRIM(R113))=0</formula>
    </cfRule>
    <cfRule type="cellIs" dxfId="740" priority="350" operator="equal">
      <formula>"NO CUMPLEN CON LO SOLICITADO"</formula>
    </cfRule>
    <cfRule type="cellIs" dxfId="739" priority="351" operator="equal">
      <formula>"CUMPLEN CON LO SOLICITADO"</formula>
    </cfRule>
    <cfRule type="cellIs" dxfId="738" priority="352" operator="equal">
      <formula>"PENDIENTES"</formula>
    </cfRule>
    <cfRule type="cellIs" dxfId="737" priority="353" operator="equal">
      <formula>"NINGUNO"</formula>
    </cfRule>
  </conditionalFormatting>
  <conditionalFormatting sqref="P113">
    <cfRule type="expression" dxfId="736" priority="339">
      <formula>Q113="NO SUBSANABLE"</formula>
    </cfRule>
    <cfRule type="expression" dxfId="735" priority="340">
      <formula>Q113="REQUERIMIENTOS SUBSANADOS"</formula>
    </cfRule>
    <cfRule type="expression" dxfId="734" priority="341">
      <formula>Q113="PENDIENTES POR SUBSANAR"</formula>
    </cfRule>
    <cfRule type="expression" dxfId="733" priority="342">
      <formula>Q113="SIN OBSERVACIÓN"</formula>
    </cfRule>
    <cfRule type="containsBlanks" dxfId="732" priority="343">
      <formula>LEN(TRIM(P113))=0</formula>
    </cfRule>
  </conditionalFormatting>
  <conditionalFormatting sqref="J113">
    <cfRule type="cellIs" dxfId="731" priority="337" operator="equal">
      <formula>"NO CUMPLE"</formula>
    </cfRule>
    <cfRule type="cellIs" dxfId="730" priority="338" operator="equal">
      <formula>"CUMPLE"</formula>
    </cfRule>
  </conditionalFormatting>
  <conditionalFormatting sqref="J114">
    <cfRule type="cellIs" dxfId="729" priority="335" operator="equal">
      <formula>"NO CUMPLE"</formula>
    </cfRule>
    <cfRule type="cellIs" dxfId="728" priority="336" operator="equal">
      <formula>"CUMPLE"</formula>
    </cfRule>
  </conditionalFormatting>
  <conditionalFormatting sqref="J115">
    <cfRule type="cellIs" dxfId="727" priority="333" operator="equal">
      <formula>"NO CUMPLE"</formula>
    </cfRule>
    <cfRule type="cellIs" dxfId="726" priority="334" operator="equal">
      <formula>"CUMPLE"</formula>
    </cfRule>
  </conditionalFormatting>
  <conditionalFormatting sqref="H13">
    <cfRule type="notContainsBlanks" dxfId="725" priority="332">
      <formula>LEN(TRIM(H13))&gt;0</formula>
    </cfRule>
  </conditionalFormatting>
  <conditionalFormatting sqref="G13">
    <cfRule type="notContainsBlanks" dxfId="724" priority="331">
      <formula>LEN(TRIM(G13))&gt;0</formula>
    </cfRule>
  </conditionalFormatting>
  <conditionalFormatting sqref="F13">
    <cfRule type="notContainsBlanks" dxfId="723" priority="330">
      <formula>LEN(TRIM(F13))&gt;0</formula>
    </cfRule>
  </conditionalFormatting>
  <conditionalFormatting sqref="E13">
    <cfRule type="notContainsBlanks" dxfId="722" priority="329">
      <formula>LEN(TRIM(E13))&gt;0</formula>
    </cfRule>
  </conditionalFormatting>
  <conditionalFormatting sqref="D13">
    <cfRule type="notContainsBlanks" dxfId="721" priority="328">
      <formula>LEN(TRIM(D13))&gt;0</formula>
    </cfRule>
  </conditionalFormatting>
  <conditionalFormatting sqref="C13">
    <cfRule type="notContainsBlanks" dxfId="720" priority="327">
      <formula>LEN(TRIM(C13))&gt;0</formula>
    </cfRule>
  </conditionalFormatting>
  <conditionalFormatting sqref="I13">
    <cfRule type="notContainsBlanks" dxfId="719" priority="326">
      <formula>LEN(TRIM(I13))&gt;0</formula>
    </cfRule>
  </conditionalFormatting>
  <conditionalFormatting sqref="J13:J15">
    <cfRule type="cellIs" dxfId="718" priority="324" operator="equal">
      <formula>"NO CUMPLE"</formula>
    </cfRule>
    <cfRule type="cellIs" dxfId="717" priority="325" operator="equal">
      <formula>"CUMPLE"</formula>
    </cfRule>
  </conditionalFormatting>
  <conditionalFormatting sqref="N13">
    <cfRule type="expression" dxfId="716" priority="321">
      <formula>N13=" "</formula>
    </cfRule>
    <cfRule type="expression" dxfId="715" priority="322">
      <formula>N13="NO PRESENTÓ CERTIFICADO"</formula>
    </cfRule>
    <cfRule type="expression" dxfId="714" priority="323">
      <formula>N13="PRESENTÓ CERTIFICADO"</formula>
    </cfRule>
  </conditionalFormatting>
  <conditionalFormatting sqref="P13">
    <cfRule type="expression" dxfId="713" priority="308">
      <formula>Q13="NO SUBSANABLE"</formula>
    </cfRule>
    <cfRule type="expression" dxfId="712" priority="310">
      <formula>Q13="REQUERIMIENTOS SUBSANADOS"</formula>
    </cfRule>
    <cfRule type="expression" dxfId="711" priority="311">
      <formula>Q13="PENDIENTES POR SUBSANAR"</formula>
    </cfRule>
    <cfRule type="expression" dxfId="710" priority="316">
      <formula>Q13="SIN OBSERVACIÓN"</formula>
    </cfRule>
    <cfRule type="containsBlanks" dxfId="709" priority="317">
      <formula>LEN(TRIM(P13))=0</formula>
    </cfRule>
  </conditionalFormatting>
  <conditionalFormatting sqref="O13">
    <cfRule type="cellIs" dxfId="708" priority="298" operator="equal">
      <formula>"PENDIENTE POR DESCRIPCIÓN"</formula>
    </cfRule>
    <cfRule type="cellIs" dxfId="707" priority="299" operator="equal">
      <formula>"DESCRIPCIÓN INSUFICIENTE"</formula>
    </cfRule>
    <cfRule type="cellIs" dxfId="706" priority="300" operator="equal">
      <formula>"NO ESTÁ ACORDE A ITEM 5.2.2 (T.R.)"</formula>
    </cfRule>
    <cfRule type="cellIs" dxfId="705" priority="301" operator="equal">
      <formula>"ACORDE A ITEM 5.2.2 (T.R.)"</formula>
    </cfRule>
    <cfRule type="cellIs" dxfId="704" priority="309" operator="equal">
      <formula>"PENDIENTE POR DESCRIPCIÓN"</formula>
    </cfRule>
    <cfRule type="cellIs" dxfId="703" priority="313" operator="equal">
      <formula>"DESCRIPCIÓN INSUFICIENTE"</formula>
    </cfRule>
    <cfRule type="cellIs" dxfId="702" priority="314" operator="equal">
      <formula>"NO ESTÁ ACORDE A ITEM 5.2.1 (T.R.)"</formula>
    </cfRule>
    <cfRule type="cellIs" dxfId="701" priority="315" operator="equal">
      <formula>"ACORDE A ITEM 5.2.1 (T.R.)"</formula>
    </cfRule>
  </conditionalFormatting>
  <conditionalFormatting sqref="Q13">
    <cfRule type="containsBlanks" dxfId="700" priority="303">
      <formula>LEN(TRIM(Q13))=0</formula>
    </cfRule>
    <cfRule type="cellIs" dxfId="699" priority="312" operator="equal">
      <formula>"REQUERIMIENTOS SUBSANADOS"</formula>
    </cfRule>
    <cfRule type="containsText" dxfId="698" priority="318" operator="containsText" text="NO SUBSANABLE">
      <formula>NOT(ISERROR(SEARCH("NO SUBSANABLE",Q13)))</formula>
    </cfRule>
    <cfRule type="containsText" dxfId="697" priority="319" operator="containsText" text="PENDIENTES POR SUBSANAR">
      <formula>NOT(ISERROR(SEARCH("PENDIENTES POR SUBSANAR",Q13)))</formula>
    </cfRule>
    <cfRule type="containsText" dxfId="696" priority="320" operator="containsText" text="SIN OBSERVACIÓN">
      <formula>NOT(ISERROR(SEARCH("SIN OBSERVACIÓN",Q13)))</formula>
    </cfRule>
  </conditionalFormatting>
  <conditionalFormatting sqref="R13">
    <cfRule type="containsBlanks" dxfId="695" priority="302">
      <formula>LEN(TRIM(R13))=0</formula>
    </cfRule>
    <cfRule type="cellIs" dxfId="694" priority="304" operator="equal">
      <formula>"NO CUMPLEN CON LO SOLICITADO"</formula>
    </cfRule>
    <cfRule type="cellIs" dxfId="693" priority="305" operator="equal">
      <formula>"CUMPLEN CON LO SOLICITADO"</formula>
    </cfRule>
    <cfRule type="cellIs" dxfId="692" priority="306" operator="equal">
      <formula>"PENDIENTES"</formula>
    </cfRule>
    <cfRule type="cellIs" dxfId="691" priority="307" operator="equal">
      <formula>"NINGUNO"</formula>
    </cfRule>
  </conditionalFormatting>
  <conditionalFormatting sqref="U101:U115">
    <cfRule type="cellIs" dxfId="690" priority="296" operator="equal">
      <formula>0</formula>
    </cfRule>
    <cfRule type="cellIs" dxfId="689" priority="297" operator="equal">
      <formula>1</formula>
    </cfRule>
  </conditionalFormatting>
  <conditionalFormatting sqref="U79:U93">
    <cfRule type="cellIs" dxfId="688" priority="294" operator="equal">
      <formula>0</formula>
    </cfRule>
    <cfRule type="cellIs" dxfId="687" priority="295" operator="equal">
      <formula>1</formula>
    </cfRule>
  </conditionalFormatting>
  <conditionalFormatting sqref="U57:U71">
    <cfRule type="cellIs" dxfId="686" priority="292" operator="equal">
      <formula>0</formula>
    </cfRule>
    <cfRule type="cellIs" dxfId="685" priority="293" operator="equal">
      <formula>1</formula>
    </cfRule>
  </conditionalFormatting>
  <conditionalFormatting sqref="U35:U49">
    <cfRule type="cellIs" dxfId="684" priority="290" operator="equal">
      <formula>0</formula>
    </cfRule>
    <cfRule type="cellIs" dxfId="683" priority="291" operator="equal">
      <formula>1</formula>
    </cfRule>
  </conditionalFormatting>
  <conditionalFormatting sqref="U13:U15">
    <cfRule type="cellIs" dxfId="682" priority="288" operator="equal">
      <formula>0</formula>
    </cfRule>
    <cfRule type="cellIs" dxfId="681" priority="289" operator="equal">
      <formula>1</formula>
    </cfRule>
  </conditionalFormatting>
  <conditionalFormatting sqref="H35 H38">
    <cfRule type="notContainsBlanks" dxfId="680" priority="287">
      <formula>LEN(TRIM(H35))&gt;0</formula>
    </cfRule>
  </conditionalFormatting>
  <conditionalFormatting sqref="G35">
    <cfRule type="notContainsBlanks" dxfId="679" priority="286">
      <formula>LEN(TRIM(G35))&gt;0</formula>
    </cfRule>
  </conditionalFormatting>
  <conditionalFormatting sqref="F35">
    <cfRule type="notContainsBlanks" dxfId="678" priority="285">
      <formula>LEN(TRIM(F35))&gt;0</formula>
    </cfRule>
  </conditionalFormatting>
  <conditionalFormatting sqref="E35">
    <cfRule type="notContainsBlanks" dxfId="677" priority="284">
      <formula>LEN(TRIM(E35))&gt;0</formula>
    </cfRule>
  </conditionalFormatting>
  <conditionalFormatting sqref="D35">
    <cfRule type="notContainsBlanks" dxfId="676" priority="283">
      <formula>LEN(TRIM(D35))&gt;0</formula>
    </cfRule>
  </conditionalFormatting>
  <conditionalFormatting sqref="C35">
    <cfRule type="notContainsBlanks" dxfId="675" priority="282">
      <formula>LEN(TRIM(C35))&gt;0</formula>
    </cfRule>
  </conditionalFormatting>
  <conditionalFormatting sqref="I35">
    <cfRule type="notContainsBlanks" dxfId="674" priority="281">
      <formula>LEN(TRIM(I35))&gt;0</formula>
    </cfRule>
  </conditionalFormatting>
  <conditionalFormatting sqref="G38">
    <cfRule type="notContainsBlanks" dxfId="673" priority="280">
      <formula>LEN(TRIM(G38))&gt;0</formula>
    </cfRule>
  </conditionalFormatting>
  <conditionalFormatting sqref="F38">
    <cfRule type="notContainsBlanks" dxfId="672" priority="279">
      <formula>LEN(TRIM(F38))&gt;0</formula>
    </cfRule>
  </conditionalFormatting>
  <conditionalFormatting sqref="E38">
    <cfRule type="notContainsBlanks" dxfId="671" priority="278">
      <formula>LEN(TRIM(E38))&gt;0</formula>
    </cfRule>
  </conditionalFormatting>
  <conditionalFormatting sqref="D38">
    <cfRule type="notContainsBlanks" dxfId="670" priority="277">
      <formula>LEN(TRIM(D38))&gt;0</formula>
    </cfRule>
  </conditionalFormatting>
  <conditionalFormatting sqref="C38">
    <cfRule type="notContainsBlanks" dxfId="669" priority="276">
      <formula>LEN(TRIM(C38))&gt;0</formula>
    </cfRule>
  </conditionalFormatting>
  <conditionalFormatting sqref="I38">
    <cfRule type="notContainsBlanks" dxfId="668" priority="275">
      <formula>LEN(TRIM(I38))&gt;0</formula>
    </cfRule>
  </conditionalFormatting>
  <conditionalFormatting sqref="J35:J40">
    <cfRule type="cellIs" dxfId="667" priority="273" operator="equal">
      <formula>"NO CUMPLE"</formula>
    </cfRule>
    <cfRule type="cellIs" dxfId="666" priority="274" operator="equal">
      <formula>"CUMPLE"</formula>
    </cfRule>
  </conditionalFormatting>
  <conditionalFormatting sqref="N35">
    <cfRule type="expression" dxfId="665" priority="270">
      <formula>N35=" "</formula>
    </cfRule>
    <cfRule type="expression" dxfId="664" priority="271">
      <formula>N35="NO PRESENTÓ CERTIFICADO"</formula>
    </cfRule>
    <cfRule type="expression" dxfId="663" priority="272">
      <formula>N35="PRESENTÓ CERTIFICADO"</formula>
    </cfRule>
  </conditionalFormatting>
  <conditionalFormatting sqref="Q35">
    <cfRule type="containsBlanks" dxfId="662" priority="261">
      <formula>LEN(TRIM(Q35))=0</formula>
    </cfRule>
    <cfRule type="cellIs" dxfId="661" priority="266" operator="equal">
      <formula>"REQUERIMIENTOS SUBSANADOS"</formula>
    </cfRule>
    <cfRule type="containsText" dxfId="660" priority="267" operator="containsText" text="NO SUBSANABLE">
      <formula>NOT(ISERROR(SEARCH("NO SUBSANABLE",Q35)))</formula>
    </cfRule>
    <cfRule type="containsText" dxfId="659" priority="268" operator="containsText" text="PENDIENTES POR SUBSANAR">
      <formula>NOT(ISERROR(SEARCH("PENDIENTES POR SUBSANAR",Q35)))</formula>
    </cfRule>
    <cfRule type="containsText" dxfId="658" priority="269" operator="containsText" text="SIN OBSERVACIÓN">
      <formula>NOT(ISERROR(SEARCH("SIN OBSERVACIÓN",Q35)))</formula>
    </cfRule>
  </conditionalFormatting>
  <conditionalFormatting sqref="R35">
    <cfRule type="containsBlanks" dxfId="657" priority="260">
      <formula>LEN(TRIM(R35))=0</formula>
    </cfRule>
    <cfRule type="cellIs" dxfId="656" priority="262" operator="equal">
      <formula>"NO CUMPLEN CON LO SOLICITADO"</formula>
    </cfRule>
    <cfRule type="cellIs" dxfId="655" priority="263" operator="equal">
      <formula>"CUMPLEN CON LO SOLICITADO"</formula>
    </cfRule>
    <cfRule type="cellIs" dxfId="654" priority="264" operator="equal">
      <formula>"PENDIENTES"</formula>
    </cfRule>
    <cfRule type="cellIs" dxfId="653" priority="265" operator="equal">
      <formula>"NINGUNO"</formula>
    </cfRule>
  </conditionalFormatting>
  <conditionalFormatting sqref="P35">
    <cfRule type="expression" dxfId="652" priority="255">
      <formula>Q35="NO SUBSANABLE"</formula>
    </cfRule>
    <cfRule type="expression" dxfId="651" priority="256">
      <formula>Q35="REQUERIMIENTOS SUBSANADOS"</formula>
    </cfRule>
    <cfRule type="expression" dxfId="650" priority="257">
      <formula>Q35="PENDIENTES POR SUBSANAR"</formula>
    </cfRule>
    <cfRule type="expression" dxfId="649" priority="258">
      <formula>Q35="SIN OBSERVACIÓN"</formula>
    </cfRule>
    <cfRule type="containsBlanks" dxfId="648" priority="259">
      <formula>LEN(TRIM(P35))=0</formula>
    </cfRule>
  </conditionalFormatting>
  <conditionalFormatting sqref="N38">
    <cfRule type="expression" dxfId="647" priority="252">
      <formula>N38=" "</formula>
    </cfRule>
    <cfRule type="expression" dxfId="646" priority="253">
      <formula>N38="NO PRESENTÓ CERTIFICADO"</formula>
    </cfRule>
    <cfRule type="expression" dxfId="645" priority="254">
      <formula>N38="PRESENTÓ CERTIFICADO"</formula>
    </cfRule>
  </conditionalFormatting>
  <conditionalFormatting sqref="Q38">
    <cfRule type="containsBlanks" dxfId="644" priority="243">
      <formula>LEN(TRIM(Q38))=0</formula>
    </cfRule>
    <cfRule type="cellIs" dxfId="643" priority="248" operator="equal">
      <formula>"REQUERIMIENTOS SUBSANADOS"</formula>
    </cfRule>
    <cfRule type="containsText" dxfId="642" priority="249" operator="containsText" text="NO SUBSANABLE">
      <formula>NOT(ISERROR(SEARCH("NO SUBSANABLE",Q38)))</formula>
    </cfRule>
    <cfRule type="containsText" dxfId="641" priority="250" operator="containsText" text="PENDIENTES POR SUBSANAR">
      <formula>NOT(ISERROR(SEARCH("PENDIENTES POR SUBSANAR",Q38)))</formula>
    </cfRule>
    <cfRule type="containsText" dxfId="640" priority="251" operator="containsText" text="SIN OBSERVACIÓN">
      <formula>NOT(ISERROR(SEARCH("SIN OBSERVACIÓN",Q38)))</formula>
    </cfRule>
  </conditionalFormatting>
  <conditionalFormatting sqref="R38">
    <cfRule type="containsBlanks" dxfId="639" priority="242">
      <formula>LEN(TRIM(R38))=0</formula>
    </cfRule>
    <cfRule type="cellIs" dxfId="638" priority="244" operator="equal">
      <formula>"NO CUMPLEN CON LO SOLICITADO"</formula>
    </cfRule>
    <cfRule type="cellIs" dxfId="637" priority="245" operator="equal">
      <formula>"CUMPLEN CON LO SOLICITADO"</formula>
    </cfRule>
    <cfRule type="cellIs" dxfId="636" priority="246" operator="equal">
      <formula>"PENDIENTES"</formula>
    </cfRule>
    <cfRule type="cellIs" dxfId="635" priority="247" operator="equal">
      <formula>"NINGUNO"</formula>
    </cfRule>
  </conditionalFormatting>
  <conditionalFormatting sqref="P38">
    <cfRule type="expression" dxfId="634" priority="237">
      <formula>Q38="NO SUBSANABLE"</formula>
    </cfRule>
    <cfRule type="expression" dxfId="633" priority="238">
      <formula>Q38="REQUERIMIENTOS SUBSANADOS"</formula>
    </cfRule>
    <cfRule type="expression" dxfId="632" priority="239">
      <formula>Q38="PENDIENTES POR SUBSANAR"</formula>
    </cfRule>
    <cfRule type="expression" dxfId="631" priority="240">
      <formula>Q38="SIN OBSERVACIÓN"</formula>
    </cfRule>
    <cfRule type="containsBlanks" dxfId="630" priority="241">
      <formula>LEN(TRIM(P38))=0</formula>
    </cfRule>
  </conditionalFormatting>
  <conditionalFormatting sqref="H57 H60 H63 H66 H69">
    <cfRule type="notContainsBlanks" dxfId="629" priority="236">
      <formula>LEN(TRIM(H57))&gt;0</formula>
    </cfRule>
  </conditionalFormatting>
  <conditionalFormatting sqref="G57">
    <cfRule type="notContainsBlanks" dxfId="628" priority="235">
      <formula>LEN(TRIM(G57))&gt;0</formula>
    </cfRule>
  </conditionalFormatting>
  <conditionalFormatting sqref="F57">
    <cfRule type="notContainsBlanks" dxfId="627" priority="234">
      <formula>LEN(TRIM(F57))&gt;0</formula>
    </cfRule>
  </conditionalFormatting>
  <conditionalFormatting sqref="E57">
    <cfRule type="notContainsBlanks" dxfId="626" priority="233">
      <formula>LEN(TRIM(E57))&gt;0</formula>
    </cfRule>
  </conditionalFormatting>
  <conditionalFormatting sqref="D57">
    <cfRule type="notContainsBlanks" dxfId="625" priority="232">
      <formula>LEN(TRIM(D57))&gt;0</formula>
    </cfRule>
  </conditionalFormatting>
  <conditionalFormatting sqref="C57">
    <cfRule type="notContainsBlanks" dxfId="624" priority="231">
      <formula>LEN(TRIM(C57))&gt;0</formula>
    </cfRule>
  </conditionalFormatting>
  <conditionalFormatting sqref="G63">
    <cfRule type="notContainsBlanks" dxfId="623" priority="230">
      <formula>LEN(TRIM(G63))&gt;0</formula>
    </cfRule>
  </conditionalFormatting>
  <conditionalFormatting sqref="F63">
    <cfRule type="notContainsBlanks" dxfId="622" priority="229">
      <formula>LEN(TRIM(F63))&gt;0</formula>
    </cfRule>
  </conditionalFormatting>
  <conditionalFormatting sqref="E63">
    <cfRule type="notContainsBlanks" dxfId="621" priority="228">
      <formula>LEN(TRIM(E63))&gt;0</formula>
    </cfRule>
  </conditionalFormatting>
  <conditionalFormatting sqref="D63">
    <cfRule type="notContainsBlanks" dxfId="620" priority="227">
      <formula>LEN(TRIM(D63))&gt;0</formula>
    </cfRule>
  </conditionalFormatting>
  <conditionalFormatting sqref="C63">
    <cfRule type="notContainsBlanks" dxfId="619" priority="226">
      <formula>LEN(TRIM(C63))&gt;0</formula>
    </cfRule>
  </conditionalFormatting>
  <conditionalFormatting sqref="I63">
    <cfRule type="notContainsBlanks" dxfId="618" priority="225">
      <formula>LEN(TRIM(I63))&gt;0</formula>
    </cfRule>
  </conditionalFormatting>
  <conditionalFormatting sqref="G69">
    <cfRule type="notContainsBlanks" dxfId="617" priority="224">
      <formula>LEN(TRIM(G69))&gt;0</formula>
    </cfRule>
  </conditionalFormatting>
  <conditionalFormatting sqref="F69">
    <cfRule type="notContainsBlanks" dxfId="616" priority="223">
      <formula>LEN(TRIM(F69))&gt;0</formula>
    </cfRule>
  </conditionalFormatting>
  <conditionalFormatting sqref="E69">
    <cfRule type="notContainsBlanks" dxfId="615" priority="222">
      <formula>LEN(TRIM(E69))&gt;0</formula>
    </cfRule>
  </conditionalFormatting>
  <conditionalFormatting sqref="D69">
    <cfRule type="notContainsBlanks" dxfId="614" priority="221">
      <formula>LEN(TRIM(D69))&gt;0</formula>
    </cfRule>
  </conditionalFormatting>
  <conditionalFormatting sqref="C69">
    <cfRule type="notContainsBlanks" dxfId="613" priority="220">
      <formula>LEN(TRIM(C69))&gt;0</formula>
    </cfRule>
  </conditionalFormatting>
  <conditionalFormatting sqref="I69">
    <cfRule type="notContainsBlanks" dxfId="612" priority="219">
      <formula>LEN(TRIM(I69))&gt;0</formula>
    </cfRule>
  </conditionalFormatting>
  <conditionalFormatting sqref="G60">
    <cfRule type="notContainsBlanks" dxfId="611" priority="218">
      <formula>LEN(TRIM(G60))&gt;0</formula>
    </cfRule>
  </conditionalFormatting>
  <conditionalFormatting sqref="F60">
    <cfRule type="notContainsBlanks" dxfId="610" priority="217">
      <formula>LEN(TRIM(F60))&gt;0</formula>
    </cfRule>
  </conditionalFormatting>
  <conditionalFormatting sqref="E60">
    <cfRule type="notContainsBlanks" dxfId="609" priority="216">
      <formula>LEN(TRIM(E60))&gt;0</formula>
    </cfRule>
  </conditionalFormatting>
  <conditionalFormatting sqref="D60">
    <cfRule type="notContainsBlanks" dxfId="608" priority="215">
      <formula>LEN(TRIM(D60))&gt;0</formula>
    </cfRule>
  </conditionalFormatting>
  <conditionalFormatting sqref="C60">
    <cfRule type="notContainsBlanks" dxfId="607" priority="214">
      <formula>LEN(TRIM(C60))&gt;0</formula>
    </cfRule>
  </conditionalFormatting>
  <conditionalFormatting sqref="G66">
    <cfRule type="notContainsBlanks" dxfId="606" priority="213">
      <formula>LEN(TRIM(G66))&gt;0</formula>
    </cfRule>
  </conditionalFormatting>
  <conditionalFormatting sqref="F66">
    <cfRule type="notContainsBlanks" dxfId="605" priority="212">
      <formula>LEN(TRIM(F66))&gt;0</formula>
    </cfRule>
  </conditionalFormatting>
  <conditionalFormatting sqref="E66">
    <cfRule type="notContainsBlanks" dxfId="604" priority="211">
      <formula>LEN(TRIM(E66))&gt;0</formula>
    </cfRule>
  </conditionalFormatting>
  <conditionalFormatting sqref="D66">
    <cfRule type="notContainsBlanks" dxfId="603" priority="210">
      <formula>LEN(TRIM(D66))&gt;0</formula>
    </cfRule>
  </conditionalFormatting>
  <conditionalFormatting sqref="C66">
    <cfRule type="notContainsBlanks" dxfId="602" priority="209">
      <formula>LEN(TRIM(C66))&gt;0</formula>
    </cfRule>
  </conditionalFormatting>
  <conditionalFormatting sqref="I60">
    <cfRule type="notContainsBlanks" dxfId="601" priority="208">
      <formula>LEN(TRIM(I60))&gt;0</formula>
    </cfRule>
  </conditionalFormatting>
  <conditionalFormatting sqref="I66">
    <cfRule type="notContainsBlanks" dxfId="600" priority="207">
      <formula>LEN(TRIM(I66))&gt;0</formula>
    </cfRule>
  </conditionalFormatting>
  <conditionalFormatting sqref="I57">
    <cfRule type="notContainsBlanks" dxfId="599" priority="206">
      <formula>LEN(TRIM(I57))&gt;0</formula>
    </cfRule>
  </conditionalFormatting>
  <conditionalFormatting sqref="J57:J68">
    <cfRule type="cellIs" dxfId="598" priority="204" operator="equal">
      <formula>"NO CUMPLE"</formula>
    </cfRule>
    <cfRule type="cellIs" dxfId="597" priority="205" operator="equal">
      <formula>"CUMPLE"</formula>
    </cfRule>
  </conditionalFormatting>
  <conditionalFormatting sqref="J69">
    <cfRule type="cellIs" dxfId="596" priority="202" operator="equal">
      <formula>"NO CUMPLE"</formula>
    </cfRule>
    <cfRule type="cellIs" dxfId="595" priority="203" operator="equal">
      <formula>"CUMPLE"</formula>
    </cfRule>
  </conditionalFormatting>
  <conditionalFormatting sqref="J70:J71">
    <cfRule type="cellIs" dxfId="594" priority="200" operator="equal">
      <formula>"NO CUMPLE"</formula>
    </cfRule>
    <cfRule type="cellIs" dxfId="593" priority="201" operator="equal">
      <formula>"CUMPLE"</formula>
    </cfRule>
  </conditionalFormatting>
  <conditionalFormatting sqref="N66 N69">
    <cfRule type="expression" dxfId="592" priority="197">
      <formula>N66=" "</formula>
    </cfRule>
    <cfRule type="expression" dxfId="591" priority="198">
      <formula>N66="NO PRESENTÓ CERTIFICADO"</formula>
    </cfRule>
    <cfRule type="expression" dxfId="590" priority="199">
      <formula>N66="PRESENTÓ CERTIFICADO"</formula>
    </cfRule>
  </conditionalFormatting>
  <conditionalFormatting sqref="Q66">
    <cfRule type="containsBlanks" dxfId="589" priority="188">
      <formula>LEN(TRIM(Q66))=0</formula>
    </cfRule>
    <cfRule type="cellIs" dxfId="588" priority="193" operator="equal">
      <formula>"REQUERIMIENTOS SUBSANADOS"</formula>
    </cfRule>
    <cfRule type="containsText" dxfId="587" priority="194" operator="containsText" text="NO SUBSANABLE">
      <formula>NOT(ISERROR(SEARCH("NO SUBSANABLE",Q66)))</formula>
    </cfRule>
    <cfRule type="containsText" dxfId="586" priority="195" operator="containsText" text="PENDIENTES POR SUBSANAR">
      <formula>NOT(ISERROR(SEARCH("PENDIENTES POR SUBSANAR",Q66)))</formula>
    </cfRule>
    <cfRule type="containsText" dxfId="585" priority="196" operator="containsText" text="SIN OBSERVACIÓN">
      <formula>NOT(ISERROR(SEARCH("SIN OBSERVACIÓN",Q66)))</formula>
    </cfRule>
  </conditionalFormatting>
  <conditionalFormatting sqref="R66">
    <cfRule type="containsBlanks" dxfId="584" priority="187">
      <formula>LEN(TRIM(R66))=0</formula>
    </cfRule>
    <cfRule type="cellIs" dxfId="583" priority="189" operator="equal">
      <formula>"NO CUMPLEN CON LO SOLICITADO"</formula>
    </cfRule>
    <cfRule type="cellIs" dxfId="582" priority="190" operator="equal">
      <formula>"CUMPLEN CON LO SOLICITADO"</formula>
    </cfRule>
    <cfRule type="cellIs" dxfId="581" priority="191" operator="equal">
      <formula>"PENDIENTES"</formula>
    </cfRule>
    <cfRule type="cellIs" dxfId="580" priority="192" operator="equal">
      <formula>"NINGUNO"</formula>
    </cfRule>
  </conditionalFormatting>
  <conditionalFormatting sqref="P66">
    <cfRule type="expression" dxfId="579" priority="182">
      <formula>Q66="NO SUBSANABLE"</formula>
    </cfRule>
    <cfRule type="expression" dxfId="578" priority="183">
      <formula>Q66="REQUERIMIENTOS SUBSANADOS"</formula>
    </cfRule>
    <cfRule type="expression" dxfId="577" priority="184">
      <formula>Q66="PENDIENTES POR SUBSANAR"</formula>
    </cfRule>
    <cfRule type="expression" dxfId="576" priority="185">
      <formula>Q66="SIN OBSERVACIÓN"</formula>
    </cfRule>
    <cfRule type="containsBlanks" dxfId="575" priority="186">
      <formula>LEN(TRIM(P66))=0</formula>
    </cfRule>
  </conditionalFormatting>
  <conditionalFormatting sqref="N57">
    <cfRule type="expression" dxfId="574" priority="179">
      <formula>N57=" "</formula>
    </cfRule>
    <cfRule type="expression" dxfId="573" priority="180">
      <formula>N57="NO PRESENTÓ CERTIFICADO"</formula>
    </cfRule>
    <cfRule type="expression" dxfId="572" priority="181">
      <formula>N57="PRESENTÓ CERTIFICADO"</formula>
    </cfRule>
  </conditionalFormatting>
  <conditionalFormatting sqref="Q57">
    <cfRule type="containsBlanks" dxfId="571" priority="170">
      <formula>LEN(TRIM(Q57))=0</formula>
    </cfRule>
    <cfRule type="cellIs" dxfId="570" priority="175" operator="equal">
      <formula>"REQUERIMIENTOS SUBSANADOS"</formula>
    </cfRule>
    <cfRule type="containsText" dxfId="569" priority="176" operator="containsText" text="NO SUBSANABLE">
      <formula>NOT(ISERROR(SEARCH("NO SUBSANABLE",Q57)))</formula>
    </cfRule>
    <cfRule type="containsText" dxfId="568" priority="177" operator="containsText" text="PENDIENTES POR SUBSANAR">
      <formula>NOT(ISERROR(SEARCH("PENDIENTES POR SUBSANAR",Q57)))</formula>
    </cfRule>
    <cfRule type="containsText" dxfId="567" priority="178" operator="containsText" text="SIN OBSERVACIÓN">
      <formula>NOT(ISERROR(SEARCH("SIN OBSERVACIÓN",Q57)))</formula>
    </cfRule>
  </conditionalFormatting>
  <conditionalFormatting sqref="R57">
    <cfRule type="containsBlanks" dxfId="566" priority="169">
      <formula>LEN(TRIM(R57))=0</formula>
    </cfRule>
    <cfRule type="cellIs" dxfId="565" priority="171" operator="equal">
      <formula>"NO CUMPLEN CON LO SOLICITADO"</formula>
    </cfRule>
    <cfRule type="cellIs" dxfId="564" priority="172" operator="equal">
      <formula>"CUMPLEN CON LO SOLICITADO"</formula>
    </cfRule>
    <cfRule type="cellIs" dxfId="563" priority="173" operator="equal">
      <formula>"PENDIENTES"</formula>
    </cfRule>
    <cfRule type="cellIs" dxfId="562" priority="174" operator="equal">
      <formula>"NINGUNO"</formula>
    </cfRule>
  </conditionalFormatting>
  <conditionalFormatting sqref="N60">
    <cfRule type="expression" dxfId="561" priority="161">
      <formula>N60=" "</formula>
    </cfRule>
    <cfRule type="expression" dxfId="560" priority="162">
      <formula>N60="NO PRESENTÓ CERTIFICADO"</formula>
    </cfRule>
    <cfRule type="expression" dxfId="559" priority="163">
      <formula>N60="PRESENTÓ CERTIFICADO"</formula>
    </cfRule>
  </conditionalFormatting>
  <conditionalFormatting sqref="Q60">
    <cfRule type="containsBlanks" dxfId="558" priority="152">
      <formula>LEN(TRIM(Q60))=0</formula>
    </cfRule>
    <cfRule type="cellIs" dxfId="557" priority="157" operator="equal">
      <formula>"REQUERIMIENTOS SUBSANADOS"</formula>
    </cfRule>
    <cfRule type="containsText" dxfId="556" priority="158" operator="containsText" text="NO SUBSANABLE">
      <formula>NOT(ISERROR(SEARCH("NO SUBSANABLE",Q60)))</formula>
    </cfRule>
    <cfRule type="containsText" dxfId="555" priority="159" operator="containsText" text="PENDIENTES POR SUBSANAR">
      <formula>NOT(ISERROR(SEARCH("PENDIENTES POR SUBSANAR",Q60)))</formula>
    </cfRule>
    <cfRule type="containsText" dxfId="554" priority="160" operator="containsText" text="SIN OBSERVACIÓN">
      <formula>NOT(ISERROR(SEARCH("SIN OBSERVACIÓN",Q60)))</formula>
    </cfRule>
  </conditionalFormatting>
  <conditionalFormatting sqref="R60">
    <cfRule type="containsBlanks" dxfId="553" priority="151">
      <formula>LEN(TRIM(R60))=0</formula>
    </cfRule>
    <cfRule type="cellIs" dxfId="552" priority="153" operator="equal">
      <formula>"NO CUMPLEN CON LO SOLICITADO"</formula>
    </cfRule>
    <cfRule type="cellIs" dxfId="551" priority="154" operator="equal">
      <formula>"CUMPLEN CON LO SOLICITADO"</formula>
    </cfRule>
    <cfRule type="cellIs" dxfId="550" priority="155" operator="equal">
      <formula>"PENDIENTES"</formula>
    </cfRule>
    <cfRule type="cellIs" dxfId="549" priority="156" operator="equal">
      <formula>"NINGUNO"</formula>
    </cfRule>
  </conditionalFormatting>
  <conditionalFormatting sqref="N63">
    <cfRule type="expression" dxfId="548" priority="143">
      <formula>N63=" "</formula>
    </cfRule>
    <cfRule type="expression" dxfId="547" priority="144">
      <formula>N63="NO PRESENTÓ CERTIFICADO"</formula>
    </cfRule>
    <cfRule type="expression" dxfId="546" priority="145">
      <formula>N63="PRESENTÓ CERTIFICADO"</formula>
    </cfRule>
  </conditionalFormatting>
  <conditionalFormatting sqref="Q63">
    <cfRule type="containsBlanks" dxfId="545" priority="134">
      <formula>LEN(TRIM(Q63))=0</formula>
    </cfRule>
    <cfRule type="cellIs" dxfId="544" priority="139" operator="equal">
      <formula>"REQUERIMIENTOS SUBSANADOS"</formula>
    </cfRule>
    <cfRule type="containsText" dxfId="543" priority="140" operator="containsText" text="NO SUBSANABLE">
      <formula>NOT(ISERROR(SEARCH("NO SUBSANABLE",Q63)))</formula>
    </cfRule>
    <cfRule type="containsText" dxfId="542" priority="141" operator="containsText" text="PENDIENTES POR SUBSANAR">
      <formula>NOT(ISERROR(SEARCH("PENDIENTES POR SUBSANAR",Q63)))</formula>
    </cfRule>
    <cfRule type="containsText" dxfId="541" priority="142" operator="containsText" text="SIN OBSERVACIÓN">
      <formula>NOT(ISERROR(SEARCH("SIN OBSERVACIÓN",Q63)))</formula>
    </cfRule>
  </conditionalFormatting>
  <conditionalFormatting sqref="R63">
    <cfRule type="containsBlanks" dxfId="540" priority="133">
      <formula>LEN(TRIM(R63))=0</formula>
    </cfRule>
    <cfRule type="cellIs" dxfId="539" priority="135" operator="equal">
      <formula>"NO CUMPLEN CON LO SOLICITADO"</formula>
    </cfRule>
    <cfRule type="cellIs" dxfId="538" priority="136" operator="equal">
      <formula>"CUMPLEN CON LO SOLICITADO"</formula>
    </cfRule>
    <cfRule type="cellIs" dxfId="537" priority="137" operator="equal">
      <formula>"PENDIENTES"</formula>
    </cfRule>
    <cfRule type="cellIs" dxfId="536" priority="138" operator="equal">
      <formula>"NINGUNO"</formula>
    </cfRule>
  </conditionalFormatting>
  <conditionalFormatting sqref="Q69">
    <cfRule type="containsBlanks" dxfId="535" priority="119">
      <formula>LEN(TRIM(Q69))=0</formula>
    </cfRule>
    <cfRule type="cellIs" dxfId="534" priority="124" operator="equal">
      <formula>"REQUERIMIENTOS SUBSANADOS"</formula>
    </cfRule>
    <cfRule type="containsText" dxfId="533" priority="125" operator="containsText" text="NO SUBSANABLE">
      <formula>NOT(ISERROR(SEARCH("NO SUBSANABLE",Q69)))</formula>
    </cfRule>
    <cfRule type="containsText" dxfId="532" priority="126" operator="containsText" text="PENDIENTES POR SUBSANAR">
      <formula>NOT(ISERROR(SEARCH("PENDIENTES POR SUBSANAR",Q69)))</formula>
    </cfRule>
    <cfRule type="containsText" dxfId="531" priority="127" operator="containsText" text="SIN OBSERVACIÓN">
      <formula>NOT(ISERROR(SEARCH("SIN OBSERVACIÓN",Q69)))</formula>
    </cfRule>
  </conditionalFormatting>
  <conditionalFormatting sqref="R69">
    <cfRule type="containsBlanks" dxfId="530" priority="118">
      <formula>LEN(TRIM(R69))=0</formula>
    </cfRule>
    <cfRule type="cellIs" dxfId="529" priority="120" operator="equal">
      <formula>"NO CUMPLEN CON LO SOLICITADO"</formula>
    </cfRule>
    <cfRule type="cellIs" dxfId="528" priority="121" operator="equal">
      <formula>"CUMPLEN CON LO SOLICITADO"</formula>
    </cfRule>
    <cfRule type="cellIs" dxfId="527" priority="122" operator="equal">
      <formula>"PENDIENTES"</formula>
    </cfRule>
    <cfRule type="cellIs" dxfId="526" priority="123" operator="equal">
      <formula>"NINGUNO"</formula>
    </cfRule>
  </conditionalFormatting>
  <conditionalFormatting sqref="P69">
    <cfRule type="expression" dxfId="525" priority="113">
      <formula>Q69="NO SUBSANABLE"</formula>
    </cfRule>
    <cfRule type="expression" dxfId="524" priority="114">
      <formula>Q69="REQUERIMIENTOS SUBSANADOS"</formula>
    </cfRule>
    <cfRule type="expression" dxfId="523" priority="115">
      <formula>Q69="PENDIENTES POR SUBSANAR"</formula>
    </cfRule>
    <cfRule type="expression" dxfId="522" priority="116">
      <formula>Q69="SIN OBSERVACIÓN"</formula>
    </cfRule>
    <cfRule type="containsBlanks" dxfId="521" priority="117">
      <formula>LEN(TRIM(P69))=0</formula>
    </cfRule>
  </conditionalFormatting>
  <conditionalFormatting sqref="J79:J87">
    <cfRule type="cellIs" dxfId="520" priority="111" operator="equal">
      <formula>"NO CUMPLE"</formula>
    </cfRule>
    <cfRule type="cellIs" dxfId="519" priority="112" operator="equal">
      <formula>"CUMPLE"</formula>
    </cfRule>
  </conditionalFormatting>
  <conditionalFormatting sqref="N79 N82">
    <cfRule type="expression" dxfId="518" priority="108">
      <formula>N79=" "</formula>
    </cfRule>
    <cfRule type="expression" dxfId="517" priority="109">
      <formula>N79="NO PRESENTÓ CERTIFICADO"</formula>
    </cfRule>
    <cfRule type="expression" dxfId="516" priority="110">
      <formula>N79="PRESENTÓ CERTIFICADO"</formula>
    </cfRule>
  </conditionalFormatting>
  <conditionalFormatting sqref="Q79 Q82">
    <cfRule type="containsBlanks" dxfId="515" priority="99">
      <formula>LEN(TRIM(Q79))=0</formula>
    </cfRule>
    <cfRule type="cellIs" dxfId="514" priority="104" operator="equal">
      <formula>"REQUERIMIENTOS SUBSANADOS"</formula>
    </cfRule>
    <cfRule type="containsText" dxfId="513" priority="105" operator="containsText" text="NO SUBSANABLE">
      <formula>NOT(ISERROR(SEARCH("NO SUBSANABLE",Q79)))</formula>
    </cfRule>
    <cfRule type="containsText" dxfId="512" priority="106" operator="containsText" text="PENDIENTES POR SUBSANAR">
      <formula>NOT(ISERROR(SEARCH("PENDIENTES POR SUBSANAR",Q79)))</formula>
    </cfRule>
    <cfRule type="containsText" dxfId="511" priority="107" operator="containsText" text="SIN OBSERVACIÓN">
      <formula>NOT(ISERROR(SEARCH("SIN OBSERVACIÓN",Q79)))</formula>
    </cfRule>
  </conditionalFormatting>
  <conditionalFormatting sqref="R79 R82">
    <cfRule type="containsBlanks" dxfId="510" priority="98">
      <formula>LEN(TRIM(R79))=0</formula>
    </cfRule>
    <cfRule type="cellIs" dxfId="509" priority="100" operator="equal">
      <formula>"NO CUMPLEN CON LO SOLICITADO"</formula>
    </cfRule>
    <cfRule type="cellIs" dxfId="508" priority="101" operator="equal">
      <formula>"CUMPLEN CON LO SOLICITADO"</formula>
    </cfRule>
    <cfRule type="cellIs" dxfId="507" priority="102" operator="equal">
      <formula>"PENDIENTES"</formula>
    </cfRule>
    <cfRule type="cellIs" dxfId="506" priority="103" operator="equal">
      <formula>"NINGUNO"</formula>
    </cfRule>
  </conditionalFormatting>
  <conditionalFormatting sqref="P79">
    <cfRule type="expression" dxfId="505" priority="93">
      <formula>Q79="NO SUBSANABLE"</formula>
    </cfRule>
    <cfRule type="expression" dxfId="504" priority="94">
      <formula>Q79="REQUERIMIENTOS SUBSANADOS"</formula>
    </cfRule>
    <cfRule type="expression" dxfId="503" priority="95">
      <formula>Q79="PENDIENTES POR SUBSANAR"</formula>
    </cfRule>
    <cfRule type="expression" dxfId="502" priority="96">
      <formula>Q79="SIN OBSERVACIÓN"</formula>
    </cfRule>
    <cfRule type="containsBlanks" dxfId="501" priority="97">
      <formula>LEN(TRIM(P79))=0</formula>
    </cfRule>
  </conditionalFormatting>
  <conditionalFormatting sqref="N85">
    <cfRule type="expression" dxfId="500" priority="90">
      <formula>N85=" "</formula>
    </cfRule>
    <cfRule type="expression" dxfId="499" priority="91">
      <formula>N85="NO PRESENTÓ CERTIFICADO"</formula>
    </cfRule>
    <cfRule type="expression" dxfId="498" priority="92">
      <formula>N85="PRESENTÓ CERTIFICADO"</formula>
    </cfRule>
  </conditionalFormatting>
  <conditionalFormatting sqref="Q85">
    <cfRule type="containsBlanks" dxfId="497" priority="81">
      <formula>LEN(TRIM(Q85))=0</formula>
    </cfRule>
    <cfRule type="cellIs" dxfId="496" priority="86" operator="equal">
      <formula>"REQUERIMIENTOS SUBSANADOS"</formula>
    </cfRule>
    <cfRule type="containsText" dxfId="495" priority="87" operator="containsText" text="NO SUBSANABLE">
      <formula>NOT(ISERROR(SEARCH("NO SUBSANABLE",Q85)))</formula>
    </cfRule>
    <cfRule type="containsText" dxfId="494" priority="88" operator="containsText" text="PENDIENTES POR SUBSANAR">
      <formula>NOT(ISERROR(SEARCH("PENDIENTES POR SUBSANAR",Q85)))</formula>
    </cfRule>
    <cfRule type="containsText" dxfId="493" priority="89" operator="containsText" text="SIN OBSERVACIÓN">
      <formula>NOT(ISERROR(SEARCH("SIN OBSERVACIÓN",Q85)))</formula>
    </cfRule>
  </conditionalFormatting>
  <conditionalFormatting sqref="R85">
    <cfRule type="containsBlanks" dxfId="492" priority="80">
      <formula>LEN(TRIM(R85))=0</formula>
    </cfRule>
    <cfRule type="cellIs" dxfId="491" priority="82" operator="equal">
      <formula>"NO CUMPLEN CON LO SOLICITADO"</formula>
    </cfRule>
    <cfRule type="cellIs" dxfId="490" priority="83" operator="equal">
      <formula>"CUMPLEN CON LO SOLICITADO"</formula>
    </cfRule>
    <cfRule type="cellIs" dxfId="489" priority="84" operator="equal">
      <formula>"PENDIENTES"</formula>
    </cfRule>
    <cfRule type="cellIs" dxfId="488" priority="85" operator="equal">
      <formula>"NINGUNO"</formula>
    </cfRule>
  </conditionalFormatting>
  <conditionalFormatting sqref="P82">
    <cfRule type="expression" dxfId="487" priority="70">
      <formula>Q82="NO SUBSANABLE"</formula>
    </cfRule>
    <cfRule type="expression" dxfId="486" priority="71">
      <formula>Q82="REQUERIMIENTOS SUBSANADOS"</formula>
    </cfRule>
    <cfRule type="expression" dxfId="485" priority="72">
      <formula>Q82="PENDIENTES POR SUBSANAR"</formula>
    </cfRule>
    <cfRule type="expression" dxfId="484" priority="73">
      <formula>Q82="SIN OBSERVACIÓN"</formula>
    </cfRule>
    <cfRule type="containsBlanks" dxfId="483" priority="74">
      <formula>LEN(TRIM(P82))=0</formula>
    </cfRule>
  </conditionalFormatting>
  <conditionalFormatting sqref="Q123">
    <cfRule type="containsBlanks" dxfId="482" priority="61">
      <formula>LEN(TRIM(Q123))=0</formula>
    </cfRule>
    <cfRule type="cellIs" dxfId="481" priority="66" operator="equal">
      <formula>"REQUERIMIENTOS SUBSANADOS"</formula>
    </cfRule>
    <cfRule type="containsText" dxfId="480" priority="67" operator="containsText" text="NO SUBSANABLE">
      <formula>NOT(ISERROR(SEARCH("NO SUBSANABLE",Q123)))</formula>
    </cfRule>
    <cfRule type="containsText" dxfId="479" priority="68" operator="containsText" text="PENDIENTES POR SUBSANAR">
      <formula>NOT(ISERROR(SEARCH("PENDIENTES POR SUBSANAR",Q123)))</formula>
    </cfRule>
    <cfRule type="containsText" dxfId="478" priority="69" operator="containsText" text="SIN OBSERVACIÓN">
      <formula>NOT(ISERROR(SEARCH("SIN OBSERVACIÓN",Q123)))</formula>
    </cfRule>
  </conditionalFormatting>
  <conditionalFormatting sqref="R123">
    <cfRule type="containsBlanks" dxfId="477" priority="60">
      <formula>LEN(TRIM(R123))=0</formula>
    </cfRule>
    <cfRule type="cellIs" dxfId="476" priority="62" operator="equal">
      <formula>"NO CUMPLEN CON LO SOLICITADO"</formula>
    </cfRule>
    <cfRule type="cellIs" dxfId="475" priority="63" operator="equal">
      <formula>"CUMPLEN CON LO SOLICITADO"</formula>
    </cfRule>
    <cfRule type="cellIs" dxfId="474" priority="64" operator="equal">
      <formula>"PENDIENTES"</formula>
    </cfRule>
    <cfRule type="cellIs" dxfId="473" priority="65" operator="equal">
      <formula>"NINGUNO"</formula>
    </cfRule>
  </conditionalFormatting>
  <conditionalFormatting sqref="P123">
    <cfRule type="expression" dxfId="472" priority="55">
      <formula>Q123="NO SUBSANABLE"</formula>
    </cfRule>
    <cfRule type="expression" dxfId="471" priority="56">
      <formula>Q123="REQUERIMIENTOS SUBSANADOS"</formula>
    </cfRule>
    <cfRule type="expression" dxfId="470" priority="57">
      <formula>Q123="PENDIENTES POR SUBSANAR"</formula>
    </cfRule>
    <cfRule type="expression" dxfId="469" priority="58">
      <formula>Q123="SIN OBSERVACIÓN"</formula>
    </cfRule>
    <cfRule type="containsBlanks" dxfId="468" priority="59">
      <formula>LEN(TRIM(P123))=0</formula>
    </cfRule>
  </conditionalFormatting>
  <conditionalFormatting sqref="O16 O19 O22 O25">
    <cfRule type="cellIs" dxfId="467" priority="47" operator="equal">
      <formula>"PENDIENTE POR DESCRIPCIÓN"</formula>
    </cfRule>
    <cfRule type="cellIs" dxfId="466" priority="48" operator="equal">
      <formula>"DESCRIPCIÓN INSUFICIENTE"</formula>
    </cfRule>
    <cfRule type="cellIs" dxfId="465" priority="49" operator="equal">
      <formula>"NO ESTÁ ACORDE A ITEM 5.2.2 (T.R.)"</formula>
    </cfRule>
    <cfRule type="cellIs" dxfId="464" priority="50" operator="equal">
      <formula>"ACORDE A ITEM 5.2.2 (T.R.)"</formula>
    </cfRule>
    <cfRule type="cellIs" dxfId="463" priority="51" operator="equal">
      <formula>"PENDIENTE POR DESCRIPCIÓN"</formula>
    </cfRule>
    <cfRule type="cellIs" dxfId="462" priority="52" operator="equal">
      <formula>"DESCRIPCIÓN INSUFICIENTE"</formula>
    </cfRule>
    <cfRule type="cellIs" dxfId="461" priority="53" operator="equal">
      <formula>"NO ESTÁ ACORDE A ITEM 5.2.1 (T.R.)"</formula>
    </cfRule>
    <cfRule type="cellIs" dxfId="460" priority="54" operator="equal">
      <formula>"ACORDE A ITEM 5.2.1 (T.R.)"</formula>
    </cfRule>
  </conditionalFormatting>
  <conditionalFormatting sqref="O35 O38 O41 O44 O47">
    <cfRule type="cellIs" dxfId="459" priority="39" operator="equal">
      <formula>"PENDIENTE POR DESCRIPCIÓN"</formula>
    </cfRule>
    <cfRule type="cellIs" dxfId="458" priority="40" operator="equal">
      <formula>"DESCRIPCIÓN INSUFICIENTE"</formula>
    </cfRule>
    <cfRule type="cellIs" dxfId="457" priority="41" operator="equal">
      <formula>"NO ESTÁ ACORDE A ITEM 5.2.2 (T.R.)"</formula>
    </cfRule>
    <cfRule type="cellIs" dxfId="456" priority="42" operator="equal">
      <formula>"ACORDE A ITEM 5.2.2 (T.R.)"</formula>
    </cfRule>
    <cfRule type="cellIs" dxfId="455" priority="43" operator="equal">
      <formula>"PENDIENTE POR DESCRIPCIÓN"</formula>
    </cfRule>
    <cfRule type="cellIs" dxfId="454" priority="44" operator="equal">
      <formula>"DESCRIPCIÓN INSUFICIENTE"</formula>
    </cfRule>
    <cfRule type="cellIs" dxfId="453" priority="45" operator="equal">
      <formula>"NO ESTÁ ACORDE A ITEM 5.2.1 (T.R.)"</formula>
    </cfRule>
    <cfRule type="cellIs" dxfId="452" priority="46" operator="equal">
      <formula>"ACORDE A ITEM 5.2.1 (T.R.)"</formula>
    </cfRule>
  </conditionalFormatting>
  <conditionalFormatting sqref="O57 O60 O63 O66 O69">
    <cfRule type="cellIs" dxfId="451" priority="31" operator="equal">
      <formula>"PENDIENTE POR DESCRIPCIÓN"</formula>
    </cfRule>
    <cfRule type="cellIs" dxfId="450" priority="32" operator="equal">
      <formula>"DESCRIPCIÓN INSUFICIENTE"</formula>
    </cfRule>
    <cfRule type="cellIs" dxfId="449" priority="33" operator="equal">
      <formula>"NO ESTÁ ACORDE A ITEM 5.2.2 (T.R.)"</formula>
    </cfRule>
    <cfRule type="cellIs" dxfId="448" priority="34" operator="equal">
      <formula>"ACORDE A ITEM 5.2.2 (T.R.)"</formula>
    </cfRule>
    <cfRule type="cellIs" dxfId="447" priority="35" operator="equal">
      <formula>"PENDIENTE POR DESCRIPCIÓN"</formula>
    </cfRule>
    <cfRule type="cellIs" dxfId="446" priority="36" operator="equal">
      <formula>"DESCRIPCIÓN INSUFICIENTE"</formula>
    </cfRule>
    <cfRule type="cellIs" dxfId="445" priority="37" operator="equal">
      <formula>"NO ESTÁ ACORDE A ITEM 5.2.1 (T.R.)"</formula>
    </cfRule>
    <cfRule type="cellIs" dxfId="444" priority="38" operator="equal">
      <formula>"ACORDE A ITEM 5.2.1 (T.R.)"</formula>
    </cfRule>
  </conditionalFormatting>
  <conditionalFormatting sqref="O79 O82 O85 O88 O91">
    <cfRule type="cellIs" dxfId="443" priority="23" operator="equal">
      <formula>"PENDIENTE POR DESCRIPCIÓN"</formula>
    </cfRule>
    <cfRule type="cellIs" dxfId="442" priority="24" operator="equal">
      <formula>"DESCRIPCIÓN INSUFICIENTE"</formula>
    </cfRule>
    <cfRule type="cellIs" dxfId="441" priority="25" operator="equal">
      <formula>"NO ESTÁ ACORDE A ITEM 5.2.2 (T.R.)"</formula>
    </cfRule>
    <cfRule type="cellIs" dxfId="440" priority="26" operator="equal">
      <formula>"ACORDE A ITEM 5.2.2 (T.R.)"</formula>
    </cfRule>
    <cfRule type="cellIs" dxfId="439" priority="27" operator="equal">
      <formula>"PENDIENTE POR DESCRIPCIÓN"</formula>
    </cfRule>
    <cfRule type="cellIs" dxfId="438" priority="28" operator="equal">
      <formula>"DESCRIPCIÓN INSUFICIENTE"</formula>
    </cfRule>
    <cfRule type="cellIs" dxfId="437" priority="29" operator="equal">
      <formula>"NO ESTÁ ACORDE A ITEM 5.2.1 (T.R.)"</formula>
    </cfRule>
    <cfRule type="cellIs" dxfId="436" priority="30" operator="equal">
      <formula>"ACORDE A ITEM 5.2.1 (T.R.)"</formula>
    </cfRule>
  </conditionalFormatting>
  <conditionalFormatting sqref="S16 S19 S22 S25">
    <cfRule type="cellIs" dxfId="435" priority="21" operator="greaterThan">
      <formula>0</formula>
    </cfRule>
    <cfRule type="top10" dxfId="434" priority="22" rank="10"/>
  </conditionalFormatting>
  <conditionalFormatting sqref="S35">
    <cfRule type="cellIs" dxfId="433" priority="19" operator="greaterThan">
      <formula>0</formula>
    </cfRule>
    <cfRule type="top10" dxfId="432" priority="20" rank="10"/>
  </conditionalFormatting>
  <conditionalFormatting sqref="S38 S41 S44 S47">
    <cfRule type="cellIs" dxfId="431" priority="17" operator="greaterThan">
      <formula>0</formula>
    </cfRule>
    <cfRule type="top10" dxfId="430" priority="18" rank="10"/>
  </conditionalFormatting>
  <conditionalFormatting sqref="S57 S60 S63 S66 S69">
    <cfRule type="cellIs" dxfId="429" priority="15" operator="greaterThan">
      <formula>0</formula>
    </cfRule>
    <cfRule type="top10" dxfId="428" priority="16" rank="10"/>
  </conditionalFormatting>
  <conditionalFormatting sqref="S79 S82 S85 S88 S91">
    <cfRule type="cellIs" dxfId="427" priority="13" operator="greaterThan">
      <formula>0</formula>
    </cfRule>
    <cfRule type="top10" dxfId="426" priority="14" rank="10"/>
  </conditionalFormatting>
  <conditionalFormatting sqref="P57 P60 P63">
    <cfRule type="expression" dxfId="425" priority="8">
      <formula>Q57="NO SUBSANABLE"</formula>
    </cfRule>
    <cfRule type="expression" dxfId="424" priority="9">
      <formula>Q57="REQUERIMIENTOS SUBSANADOS"</formula>
    </cfRule>
    <cfRule type="expression" dxfId="423" priority="10">
      <formula>Q57="PENDIENTES POR SUBSANAR"</formula>
    </cfRule>
    <cfRule type="expression" dxfId="422" priority="11">
      <formula>Q57="SIN OBSERVACIÓN"</formula>
    </cfRule>
    <cfRule type="containsBlanks" dxfId="421" priority="12">
      <formula>LEN(TRIM(P57))=0</formula>
    </cfRule>
  </conditionalFormatting>
  <conditionalFormatting sqref="P85">
    <cfRule type="expression" dxfId="420" priority="3">
      <formula>Q85="NO SUBSANABLE"</formula>
    </cfRule>
    <cfRule type="expression" dxfId="419" priority="4">
      <formula>Q85="REQUERIMIENTOS SUBSANADOS"</formula>
    </cfRule>
    <cfRule type="expression" dxfId="418" priority="5">
      <formula>Q85="PENDIENTES POR SUBSANAR"</formula>
    </cfRule>
    <cfRule type="expression" dxfId="417" priority="6">
      <formula>Q85="SIN OBSERVACIÓN"</formula>
    </cfRule>
    <cfRule type="containsBlanks" dxfId="416" priority="7">
      <formula>LEN(TRIM(P85))=0</formula>
    </cfRule>
  </conditionalFormatting>
  <conditionalFormatting sqref="T94">
    <cfRule type="cellIs" dxfId="415" priority="1" operator="equal">
      <formula>"NO CUMPLE"</formula>
    </cfRule>
    <cfRule type="cellIs" dxfId="414" priority="2" operator="equal">
      <formula>"CUMPLE"</formula>
    </cfRule>
  </conditionalFormatting>
  <dataValidations count="8">
    <dataValidation type="list" allowBlank="1" showInputMessage="1" showErrorMessage="1" sqref="O13:O27 O35:O49 O57:O71 O79:O93" xr:uid="{00000000-0002-0000-0400-000000000000}">
      <formula1>"ACORDE A ITEM 6.2.2.1 (T.R.),NO ESTÁ ACORDE A ITEM 6.2.2.1 (T.R.),DESCRIPCIÓN INSUFICIENTE,PENDIENTE POR DESCRIPCIÓN"</formula1>
    </dataValidation>
    <dataValidation type="list" allowBlank="1" showInputMessage="1" showErrorMessage="1" sqref="R113 R19 R22 R25 R308 R16 R13 R41 R44 R47 R311 R302 R305 R35 R201 R38 R66 R63 R88 R91 R132 R101 R104 R107 R192 R195 R198 R69 R110 R135 R173 R145 R151 R157 R170 R179 R176 R167 R189 R211 R148 R85 R126 R129 R154 R223 R214 R217 R220 R239 R245 R233 R236 R242 R267 R264 R280 R258 R261 R255 R289 R277 R283 R286 R299 R57 R60 R82 R79 R123" xr:uid="{00000000-0002-0000-0400-000001000000}">
      <formula1>"NINGUNO, PENDIENTES, CUMPLEN CON LO SOLICITADO, NO CUMPLEN CON LO SOLICITADO"</formula1>
    </dataValidation>
    <dataValidation type="list" allowBlank="1" showInputMessage="1" showErrorMessage="1" sqref="Q113 Q19 Q22 Q25 Q311 Q16 Q13 Q41 Q44 Q299 Q305 Q308 Q35 Q47 Q211 Q66 Q63 Q88 Q38 Q132 Q101 Q104 Q107 Q91 Q195 Q198 Q201 Q69 Q110 Q173 Q145 Q151 Q157 Q135 Q179 Q176 Q167 Q189 Q170 Q192 Q148 Q85 Q126 Q129 Q154 Q239 Q217 Q220 Q223 Q214 Q267 Q236 Q242 Q245 Q233 Q255 Q258 Q261 Q264 Q280 Q277 Q283 Q286 Q289 Q302 Q57 Q60 Q82 Q79 Q123" xr:uid="{00000000-0002-0000-0400-000002000000}">
      <formula1>"SIN OBSERVACIÓN, PENDIENTES POR SUBSANAR, REQUERIMIENTOS SUBSANADOS, NO SUBSANABLE"</formula1>
    </dataValidation>
    <dataValidation type="list" allowBlank="1" showInputMessage="1" showErrorMessage="1" sqref="N113 N19 N22 N16 N305 N25 N13 N41 N44 N47 N311 N299 N302 N35 N201 N38 N66 N69 N88 N91 N132 N101 N104 N107 N148 N123 N110 N126 N129 N135 N173 N145 N151 N157 N170 N179 N176 N167 N189 N211 N192 N195 N198 N63 N154 N223 N239 N214 N217 N220 N245 N267 N233 N236 N242 N264 N255 N283 N258 N261 N289 N277 N308 N280 N286 N57 N60 N82 N85 N79" xr:uid="{00000000-0002-0000-0400-000003000000}">
      <formula1>"PRESENTÓ CERTIFICADO,NO PRESENTÓ CERTIFICADO"</formula1>
    </dataValidation>
    <dataValidation type="list" allowBlank="1" showInputMessage="1" showErrorMessage="1" sqref="H107 H16 H19 H22 H25 H104 H13 H41 H44 H47 H299 H258 H261 H35 H38 H79 H82 H85 H88 H91 H101 H126 H129 H110 H113 H123 H170 H173 H132 H135 H145 H148 H151 H154 H157 H167 H264 H267 H176 H179 H189 H192 H195 H198 H201 H211 H214 H217 H220 H223 H233 H236 H239 H242 H245 H255 H302 H305 H308 H311 H277 H280 H283 H286 H289 H57 H60 H63 H66 H69" xr:uid="{00000000-0002-0000-0400-000004000000}">
      <formula1>"I,C,UT"</formula1>
    </dataValidation>
    <dataValidation type="list" allowBlank="1" showInputMessage="1" showErrorMessage="1" sqref="L22:L23 L60:L61 J167:J181 L63:L64 L47:L48 L189:L190 L151:L152 L113:L114 J35:J49 L38:L39 L85:L86 L66:L67 L123:L124 L170:L171 L25:L26 L104:L105 L88:L89 L154:L155 L13:L14 L16:L17 L19:L20 L41:L42 L44:L45 L35:L36 J101:J115 J123:J137 L57:L58 L179:L180 J233:J247 L69:L70 L79:L80 J13:J27 L82:L83 L107:L108 L110:L111 L91:L92 L101:L102 J57:J71 L126:L127 L129:L130 L132:L133 L135:L136 L145:L146 J145:J159 L148:L149 L173:L174 L176:L177 L157:L158 L167:L168 L192:L193 L201:L202 L195:L196 L198:L199 J189:J203 L211:L212 L214:L215 L223:L224 L217:L218 L220:L221 J211:J225 L233:L234 L236:L237 L245:L246 L239:L240 L242:L243 J255:J269 L255:L256 L258:L259 L267:L268 L261:L262 L264:L265 J277:J291 L277:L278 L280:L281 L289:L290 L283:L284 L286:L287 J299:J313 L299:L300 L302:L303 L311:L312 L305:L306 L308:L309 J79:J93" xr:uid="{00000000-0002-0000-0400-000005000000}">
      <formula1>",CUMPLE,NO CUMPLE"</formula1>
    </dataValidation>
    <dataValidation type="list" allowBlank="1" showInputMessage="1" showErrorMessage="1" sqref="O113 O264 O261 O245 O236 O302 O201 O242 O289 O286 O277 O311 O308 O299 O305 O198 O280 O255 O283 O267 O233 O132 O101 O104 O107 O211 O192 O195 O258 O110 O135 O173 O145 O151 O157 O170 O179 O176 O167 O189 O148 O123 O126 O129 O154 O223 O220 O239 O214 O217" xr:uid="{00000000-0002-0000-0400-000006000000}">
      <formula1>"ACORDE A ITEM 5.2.2 (T.R.),NO ESTÁ ACORDE A ITEM 5.2.2 (T.R.),DESCRIPCIÓN INSUFICIENTE,PENDIENTE POR DESCRIPCIÓN"</formula1>
    </dataValidation>
    <dataValidation type="list" allowBlank="1" showInputMessage="1" showErrorMessage="1" sqref="B10 B32 B54 B76 B98 B120 B142 B164 B186 B208 B230 B252 B274 B296" xr:uid="{00000000-0002-0000-0400-000007000000}">
      <formula1>"1,2,3,4,5,6,7,8,9,10,11,12,13,14,15,16,17"</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8"/>
  <sheetViews>
    <sheetView topLeftCell="A7" zoomScaleNormal="100" workbookViewId="0">
      <selection activeCell="G12" sqref="G12"/>
    </sheetView>
  </sheetViews>
  <sheetFormatPr baseColWidth="10" defaultRowHeight="15"/>
  <cols>
    <col min="3" max="3" width="24.1640625" customWidth="1"/>
    <col min="4" max="4" width="17" customWidth="1"/>
    <col min="7" max="8" width="23.6640625" customWidth="1"/>
  </cols>
  <sheetData>
    <row r="1" spans="2:11" ht="10" customHeight="1" thickBot="1"/>
    <row r="2" spans="2:11" ht="15" customHeight="1">
      <c r="B2" s="721" t="s">
        <v>302</v>
      </c>
      <c r="C2" s="722"/>
      <c r="D2" s="722"/>
      <c r="E2" s="722"/>
      <c r="F2" s="722"/>
      <c r="G2" s="722"/>
      <c r="H2" s="723"/>
    </row>
    <row r="3" spans="2:11" ht="18" customHeight="1">
      <c r="B3" s="724"/>
      <c r="C3" s="725"/>
      <c r="D3" s="725"/>
      <c r="E3" s="725"/>
      <c r="F3" s="725"/>
      <c r="G3" s="725"/>
      <c r="H3" s="726"/>
    </row>
    <row r="4" spans="2:11" ht="98" customHeight="1" thickBot="1">
      <c r="B4" s="727"/>
      <c r="C4" s="728"/>
      <c r="D4" s="728"/>
      <c r="E4" s="728"/>
      <c r="F4" s="728"/>
      <c r="G4" s="728"/>
      <c r="H4" s="729"/>
    </row>
    <row r="6" spans="2:11" ht="16" thickBot="1"/>
    <row r="7" spans="2:11" ht="36" customHeight="1" thickBot="1">
      <c r="B7" s="730" t="s">
        <v>2</v>
      </c>
      <c r="C7" s="733" t="s">
        <v>49</v>
      </c>
      <c r="D7" s="736" t="s">
        <v>257</v>
      </c>
      <c r="E7" s="737"/>
      <c r="F7" s="737"/>
      <c r="G7" s="738"/>
      <c r="H7" s="739"/>
    </row>
    <row r="8" spans="2:11" ht="49">
      <c r="B8" s="731"/>
      <c r="C8" s="734"/>
      <c r="D8" s="459" t="s">
        <v>303</v>
      </c>
      <c r="E8" s="309" t="s">
        <v>304</v>
      </c>
      <c r="F8" s="310" t="s">
        <v>305</v>
      </c>
      <c r="G8" s="461" t="s">
        <v>10</v>
      </c>
      <c r="H8" s="740" t="s">
        <v>200</v>
      </c>
    </row>
    <row r="9" spans="2:11" ht="16" thickBot="1">
      <c r="B9" s="732"/>
      <c r="C9" s="735"/>
      <c r="D9" s="311" t="s">
        <v>197</v>
      </c>
      <c r="E9" s="312" t="s">
        <v>197</v>
      </c>
      <c r="F9" s="313" t="s">
        <v>197</v>
      </c>
      <c r="G9" s="462"/>
      <c r="H9" s="741"/>
    </row>
    <row r="10" spans="2:11" ht="16" thickBot="1">
      <c r="B10" s="262">
        <v>1</v>
      </c>
      <c r="C10" s="259" t="s">
        <v>163</v>
      </c>
      <c r="D10" s="306"/>
      <c r="E10" s="306"/>
      <c r="F10" s="306"/>
      <c r="G10" s="306"/>
      <c r="H10" s="251"/>
    </row>
    <row r="11" spans="2:11" ht="31" thickBot="1">
      <c r="B11" s="263">
        <v>2</v>
      </c>
      <c r="C11" s="260" t="s">
        <v>164</v>
      </c>
      <c r="D11" s="184"/>
      <c r="E11" s="184"/>
      <c r="F11" s="184"/>
      <c r="G11" s="306"/>
      <c r="H11" s="251"/>
    </row>
    <row r="12" spans="2:11" ht="183" thickBot="1">
      <c r="B12" s="263">
        <v>3</v>
      </c>
      <c r="C12" s="260" t="s">
        <v>320</v>
      </c>
      <c r="D12" s="184" t="s">
        <v>296</v>
      </c>
      <c r="E12" s="184" t="s">
        <v>296</v>
      </c>
      <c r="F12" s="184" t="s">
        <v>155</v>
      </c>
      <c r="G12" s="306" t="s">
        <v>316</v>
      </c>
      <c r="H12" s="251" t="s">
        <v>290</v>
      </c>
      <c r="J12" s="460"/>
      <c r="K12" s="460"/>
    </row>
    <row r="13" spans="2:11" ht="182">
      <c r="B13" s="263">
        <v>4</v>
      </c>
      <c r="C13" s="260" t="s">
        <v>321</v>
      </c>
      <c r="D13" s="184" t="s">
        <v>296</v>
      </c>
      <c r="E13" s="184" t="s">
        <v>296</v>
      </c>
      <c r="F13" s="184" t="s">
        <v>155</v>
      </c>
      <c r="G13" s="306" t="s">
        <v>317</v>
      </c>
      <c r="H13" s="251" t="s">
        <v>290</v>
      </c>
      <c r="J13" s="460"/>
      <c r="K13" s="460"/>
    </row>
    <row r="14" spans="2:11">
      <c r="D14" s="464"/>
      <c r="E14" s="464"/>
      <c r="J14" s="460"/>
      <c r="K14" s="460"/>
    </row>
    <row r="15" spans="2:11">
      <c r="J15" s="460"/>
      <c r="K15" s="460"/>
    </row>
    <row r="16" spans="2:11">
      <c r="J16" s="460"/>
      <c r="K16" s="460"/>
    </row>
    <row r="17" spans="10:11">
      <c r="J17" s="460"/>
      <c r="K17" s="460"/>
    </row>
    <row r="18" spans="10:11">
      <c r="J18" s="460"/>
      <c r="K18" s="460"/>
    </row>
  </sheetData>
  <sheetProtection algorithmName="SHA-512" hashValue="AKAGg5K0xRthIlb288obUsr/zLpWd2XyBXNIjrpqrKzIwtwAJrfuxMFZQfZug2gmI7tsG3KHRRvNW/YmUbUddQ==" saltValue="NObkxrPmc0BGc3gXmTu5hw==" spinCount="100000" sheet="1" objects="1" scenarios="1"/>
  <mergeCells count="5">
    <mergeCell ref="B2:H4"/>
    <mergeCell ref="B7:B9"/>
    <mergeCell ref="C7:C9"/>
    <mergeCell ref="D7:H7"/>
    <mergeCell ref="H8:H9"/>
  </mergeCells>
  <conditionalFormatting sqref="H10:H13">
    <cfRule type="cellIs" dxfId="413" priority="1" operator="equal">
      <formula>"NO CUMPLE"</formula>
    </cfRule>
  </conditionalFormatting>
  <dataValidations count="1">
    <dataValidation type="list" allowBlank="1" showInputMessage="1" showErrorMessage="1" sqref="H10:H13" xr:uid="{00000000-0002-0000-0500-000000000000}">
      <formula1>"CUMPLE, NO CUMPLE"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9"/>
  <sheetViews>
    <sheetView topLeftCell="C1" zoomScale="131" workbookViewId="0">
      <selection activeCell="M8" sqref="M8"/>
    </sheetView>
  </sheetViews>
  <sheetFormatPr baseColWidth="10" defaultColWidth="11.5" defaultRowHeight="16"/>
  <cols>
    <col min="1" max="1" width="6.5" style="13" bestFit="1" customWidth="1"/>
    <col min="2" max="2" width="44.5" style="13" customWidth="1"/>
    <col min="3" max="4" width="16.5" style="13" bestFit="1" customWidth="1"/>
    <col min="5" max="5" width="7.5" style="61" bestFit="1" customWidth="1"/>
    <col min="6" max="6" width="14.83203125" style="61" customWidth="1"/>
    <col min="7" max="7" width="18" style="61" bestFit="1" customWidth="1"/>
    <col min="8" max="8" width="16.5" style="61" bestFit="1" customWidth="1"/>
    <col min="9" max="9" width="19.1640625" style="61" customWidth="1"/>
    <col min="10" max="11" width="20.6640625" style="61" customWidth="1"/>
    <col min="12" max="12" width="24" style="61" customWidth="1"/>
    <col min="13" max="14" width="20.6640625" style="61" customWidth="1"/>
    <col min="15" max="15" width="23.6640625" style="13" customWidth="1"/>
    <col min="16" max="16" width="11.5" style="13" customWidth="1"/>
    <col min="17" max="17" width="11.5" style="46" customWidth="1"/>
    <col min="18" max="18" width="49.83203125" style="13" customWidth="1"/>
    <col min="19" max="19" width="14.83203125" style="47" customWidth="1"/>
    <col min="20" max="16384" width="11.5" style="13"/>
  </cols>
  <sheetData>
    <row r="1" spans="1:19" ht="23">
      <c r="A1" s="744" t="s">
        <v>48</v>
      </c>
      <c r="B1" s="744"/>
      <c r="C1" s="744"/>
      <c r="D1" s="744"/>
      <c r="E1" s="744"/>
      <c r="F1" s="744"/>
      <c r="G1" s="744"/>
      <c r="H1" s="744"/>
      <c r="I1" s="744"/>
      <c r="J1" s="744"/>
      <c r="K1" s="288"/>
      <c r="L1" s="288"/>
      <c r="M1" s="288"/>
      <c r="N1" s="288"/>
    </row>
    <row r="2" spans="1:19" s="49" customFormat="1" ht="19" thickBot="1">
      <c r="A2" s="48"/>
      <c r="B2" s="48"/>
      <c r="C2" s="48"/>
      <c r="D2" s="48"/>
      <c r="E2" s="48"/>
      <c r="F2" s="48"/>
      <c r="G2" s="48"/>
      <c r="H2" s="48"/>
      <c r="I2" s="48"/>
      <c r="J2" s="48"/>
      <c r="K2" s="48"/>
      <c r="L2" s="48"/>
      <c r="M2" s="48"/>
      <c r="N2" s="48"/>
      <c r="Q2" s="50"/>
      <c r="S2" s="51"/>
    </row>
    <row r="3" spans="1:19" ht="17" thickBot="1">
      <c r="A3" s="730" t="s">
        <v>2</v>
      </c>
      <c r="B3" s="745" t="s">
        <v>49</v>
      </c>
      <c r="C3" s="748" t="s">
        <v>50</v>
      </c>
      <c r="D3" s="748"/>
      <c r="E3" s="748"/>
      <c r="F3" s="749"/>
      <c r="G3" s="750" t="s">
        <v>51</v>
      </c>
      <c r="H3" s="751"/>
      <c r="I3" s="751"/>
      <c r="J3" s="752"/>
      <c r="K3" s="750" t="s">
        <v>185</v>
      </c>
      <c r="L3" s="751"/>
      <c r="M3" s="751"/>
      <c r="N3" s="752"/>
    </row>
    <row r="4" spans="1:19" ht="31" customHeight="1" thickBot="1">
      <c r="A4" s="731"/>
      <c r="B4" s="746"/>
      <c r="C4" s="52" t="s">
        <v>52</v>
      </c>
      <c r="D4" s="753" t="s">
        <v>53</v>
      </c>
      <c r="E4" s="754"/>
      <c r="F4" s="245">
        <v>0.65</v>
      </c>
      <c r="G4" s="247" t="s">
        <v>54</v>
      </c>
      <c r="H4" s="755" t="s">
        <v>55</v>
      </c>
      <c r="I4" s="756"/>
      <c r="J4" s="265">
        <f>+'6.2.2.1. EXPERIENCIA GRAL'!N6</f>
        <v>672323975</v>
      </c>
      <c r="K4" s="247" t="s">
        <v>186</v>
      </c>
      <c r="L4" s="755" t="s">
        <v>187</v>
      </c>
      <c r="M4" s="756"/>
      <c r="N4" s="304">
        <v>0.01</v>
      </c>
      <c r="O4" s="757" t="s">
        <v>146</v>
      </c>
    </row>
    <row r="5" spans="1:19" s="16" customFormat="1" ht="26.25" customHeight="1" thickBot="1">
      <c r="A5" s="732"/>
      <c r="B5" s="747"/>
      <c r="C5" s="243" t="s">
        <v>56</v>
      </c>
      <c r="D5" s="243" t="s">
        <v>57</v>
      </c>
      <c r="E5" s="243" t="s">
        <v>58</v>
      </c>
      <c r="F5" s="246" t="s">
        <v>59</v>
      </c>
      <c r="G5" s="248" t="s">
        <v>60</v>
      </c>
      <c r="H5" s="244" t="s">
        <v>61</v>
      </c>
      <c r="I5" s="244" t="s">
        <v>58</v>
      </c>
      <c r="J5" s="266" t="s">
        <v>59</v>
      </c>
      <c r="K5" s="248" t="s">
        <v>306</v>
      </c>
      <c r="L5" s="244" t="s">
        <v>307</v>
      </c>
      <c r="M5" s="244" t="s">
        <v>58</v>
      </c>
      <c r="N5" s="266" t="s">
        <v>59</v>
      </c>
      <c r="O5" s="758"/>
      <c r="Q5" s="742" t="s">
        <v>62</v>
      </c>
      <c r="R5" s="743"/>
      <c r="S5" s="242" t="s">
        <v>42</v>
      </c>
    </row>
    <row r="6" spans="1:19" s="16" customFormat="1" ht="18" thickBot="1">
      <c r="A6" s="262">
        <f>IF('[1]1_ENTREGA'!A8="","",'[1]1_ENTREGA'!A8)</f>
        <v>1</v>
      </c>
      <c r="B6" s="259" t="str">
        <f t="shared" ref="B6:B12" si="0">IF(A6="","",VLOOKUP(A6,LISTA_OFERENTES,2,FALSE))</f>
        <v>KER INGENIERIA S.A.S.</v>
      </c>
      <c r="C6" s="249"/>
      <c r="D6" s="249"/>
      <c r="E6" s="250" t="str">
        <f>IFERROR((C6/D6)," ")</f>
        <v xml:space="preserve"> </v>
      </c>
      <c r="F6" s="251" t="str">
        <f>IF(B6="","",IF(E6&lt;=$F$4,"CUMPLE","NO CUMPLE"))</f>
        <v>NO CUMPLE</v>
      </c>
      <c r="G6" s="252"/>
      <c r="H6" s="252"/>
      <c r="I6" s="253">
        <f>G6-H6</f>
        <v>0</v>
      </c>
      <c r="J6" s="267" t="str">
        <f>IF(B6="","",IF(I6="","NO CUMPLE",IF(I6&gt;=$J$4,"CUMPLE","NO CUMPLE")))</f>
        <v>NO CUMPLE</v>
      </c>
      <c r="K6" s="252"/>
      <c r="L6" s="252"/>
      <c r="M6" s="250">
        <v>0</v>
      </c>
      <c r="N6" s="267" t="str">
        <f>IF(F6="","",IF(M6="","NO CUMPLE",IF(M6&gt;=$N$4,"CUMPLE","NO CUMPLE")))</f>
        <v>NO CUMPLE</v>
      </c>
      <c r="O6" s="270"/>
      <c r="Q6" s="239">
        <v>1</v>
      </c>
      <c r="R6" s="240" t="str">
        <f t="shared" ref="R6:R12" si="1">VLOOKUP(Q6,LISTA_OFERENTES,2,FALSE)</f>
        <v>KER INGENIERIA S.A.S.</v>
      </c>
      <c r="S6" s="241" t="str">
        <f>IF(OR(F6="NO CUMPLE",J6="NO CUMPLE",N6="NO CUMPLE"),"NH","H")</f>
        <v>NH</v>
      </c>
    </row>
    <row r="7" spans="1:19" s="16" customFormat="1" ht="18" thickBot="1">
      <c r="A7" s="263">
        <f>IF('[1]1_ENTREGA'!A9="","",'[1]1_ENTREGA'!A9)</f>
        <v>2</v>
      </c>
      <c r="B7" s="260" t="str">
        <f t="shared" si="0"/>
        <v>UNIÓN TEMPORAL SUPERVISOR 2021</v>
      </c>
      <c r="C7" s="184"/>
      <c r="D7" s="184"/>
      <c r="E7" s="54" t="str">
        <f t="shared" ref="E7:E11" si="2">IFERROR((C7/D7)," ")</f>
        <v xml:space="preserve"> </v>
      </c>
      <c r="F7" s="55" t="str">
        <f t="shared" ref="F7:F12" si="3">IF(B7="","",IF(E7&lt;=$F$4,"CUMPLE","NO CUMPLE"))</f>
        <v>NO CUMPLE</v>
      </c>
      <c r="G7" s="60"/>
      <c r="H7" s="60"/>
      <c r="I7" s="56">
        <f t="shared" ref="I7:I12" si="4">G7-H7</f>
        <v>0</v>
      </c>
      <c r="J7" s="268" t="str">
        <f t="shared" ref="J7:J12" si="5">IF(B7="","",IF(I7="","NO CUMPLE",IF(I7&gt;=$J$4,"CUMPLE","NO CUMPLE")))</f>
        <v>NO CUMPLE</v>
      </c>
      <c r="K7" s="60"/>
      <c r="L7" s="60"/>
      <c r="M7" s="250">
        <v>0</v>
      </c>
      <c r="N7" s="267" t="str">
        <f t="shared" ref="N7:N9" si="6">IF(F7="","",IF(M7="","NO CUMPLE",IF(M7&gt;=$N$4,"CUMPLE","NO CUMPLE")))</f>
        <v>NO CUMPLE</v>
      </c>
      <c r="O7" s="270"/>
      <c r="Q7" s="234">
        <v>2</v>
      </c>
      <c r="R7" s="58" t="str">
        <f t="shared" si="1"/>
        <v>UNIÓN TEMPORAL SUPERVISOR 2021</v>
      </c>
      <c r="S7" s="235" t="str">
        <f t="shared" ref="S7:S12" si="7">IF(OR(F7="NO CUMPLE",J7="NO CUMPLE"),"NH","H")</f>
        <v>NH</v>
      </c>
    </row>
    <row r="8" spans="1:19" s="16" customFormat="1" ht="18" thickBot="1">
      <c r="A8" s="263">
        <f>IF('[1]1_ENTREGA'!A10="","",'[1]1_ENTREGA'!A10)</f>
        <v>3</v>
      </c>
      <c r="B8" s="260" t="str">
        <f t="shared" si="0"/>
        <v>PreVeo S.A.S.</v>
      </c>
      <c r="C8" s="184">
        <v>4111605062</v>
      </c>
      <c r="D8" s="184">
        <v>6356519502</v>
      </c>
      <c r="E8" s="54">
        <f>IFERROR((C8/D8)," ")</f>
        <v>0.64683276134153833</v>
      </c>
      <c r="F8" s="55" t="str">
        <f t="shared" si="3"/>
        <v>CUMPLE</v>
      </c>
      <c r="G8" s="60">
        <v>6007072961</v>
      </c>
      <c r="H8" s="184">
        <v>2993817911</v>
      </c>
      <c r="I8" s="56">
        <f t="shared" si="4"/>
        <v>3013255050</v>
      </c>
      <c r="J8" s="268" t="str">
        <f t="shared" si="5"/>
        <v>CUMPLE</v>
      </c>
      <c r="K8" s="60">
        <v>462206135</v>
      </c>
      <c r="L8" s="184">
        <v>2244914440</v>
      </c>
      <c r="M8" s="250">
        <f>K8/L8</f>
        <v>0.20589031223835863</v>
      </c>
      <c r="N8" s="267" t="str">
        <f t="shared" si="6"/>
        <v>CUMPLE</v>
      </c>
      <c r="O8" s="270"/>
      <c r="Q8" s="234">
        <v>3</v>
      </c>
      <c r="R8" s="58" t="str">
        <f t="shared" si="1"/>
        <v>PreVeo S.A.S.</v>
      </c>
      <c r="S8" s="235" t="str">
        <f t="shared" si="7"/>
        <v>H</v>
      </c>
    </row>
    <row r="9" spans="1:19" s="16" customFormat="1" ht="23.25" customHeight="1">
      <c r="A9" s="263">
        <f>IF('[1]1_ENTREGA'!A11="","",'[1]1_ENTREGA'!A11)</f>
        <v>4</v>
      </c>
      <c r="B9" s="260" t="str">
        <f t="shared" si="0"/>
        <v>INTERVE S.A.S.</v>
      </c>
      <c r="C9" s="184">
        <v>2156601582</v>
      </c>
      <c r="D9" s="184">
        <v>8263768178</v>
      </c>
      <c r="E9" s="54">
        <f t="shared" si="2"/>
        <v>0.26097072613209987</v>
      </c>
      <c r="F9" s="55" t="str">
        <f t="shared" si="3"/>
        <v>CUMPLE</v>
      </c>
      <c r="G9" s="60">
        <v>6755354125</v>
      </c>
      <c r="H9" s="60">
        <v>2156318478</v>
      </c>
      <c r="I9" s="56">
        <f t="shared" si="4"/>
        <v>4599035647</v>
      </c>
      <c r="J9" s="268" t="str">
        <f t="shared" si="5"/>
        <v>CUMPLE</v>
      </c>
      <c r="K9" s="60">
        <v>2158858917</v>
      </c>
      <c r="L9" s="60">
        <v>6107166596</v>
      </c>
      <c r="M9" s="250">
        <f t="shared" ref="M9" si="8">+K9/L9</f>
        <v>0.35349599246465357</v>
      </c>
      <c r="N9" s="267" t="str">
        <f t="shared" si="6"/>
        <v>CUMPLE</v>
      </c>
      <c r="O9" s="270"/>
      <c r="Q9" s="234">
        <v>4</v>
      </c>
      <c r="R9" s="58" t="str">
        <f t="shared" si="1"/>
        <v>INTERVE S.A.S.</v>
      </c>
      <c r="S9" s="235" t="str">
        <f t="shared" si="7"/>
        <v>H</v>
      </c>
    </row>
    <row r="10" spans="1:19" s="16" customFormat="1" ht="21" hidden="1" customHeight="1">
      <c r="A10" s="263">
        <f>IF('[1]1_ENTREGA'!A12="","",'[1]1_ENTREGA'!A12)</f>
        <v>5</v>
      </c>
      <c r="B10" s="260">
        <f t="shared" si="0"/>
        <v>0</v>
      </c>
      <c r="C10" s="184"/>
      <c r="D10" s="184"/>
      <c r="E10" s="54" t="str">
        <f t="shared" si="2"/>
        <v xml:space="preserve"> </v>
      </c>
      <c r="F10" s="55" t="str">
        <f t="shared" si="3"/>
        <v>NO CUMPLE</v>
      </c>
      <c r="G10" s="60"/>
      <c r="H10" s="60"/>
      <c r="I10" s="56">
        <f t="shared" si="4"/>
        <v>0</v>
      </c>
      <c r="J10" s="268" t="str">
        <f t="shared" si="5"/>
        <v>NO CUMPLE</v>
      </c>
      <c r="K10" s="302"/>
      <c r="L10" s="302"/>
      <c r="M10" s="302"/>
      <c r="N10" s="302"/>
      <c r="O10" s="270"/>
      <c r="Q10" s="234">
        <v>5</v>
      </c>
      <c r="R10" s="58">
        <f t="shared" si="1"/>
        <v>0</v>
      </c>
      <c r="S10" s="235" t="str">
        <f t="shared" si="7"/>
        <v>NH</v>
      </c>
    </row>
    <row r="11" spans="1:19" s="16" customFormat="1" ht="17" hidden="1">
      <c r="A11" s="263">
        <f>IF('[1]1_ENTREGA'!A13="","",'[1]1_ENTREGA'!A13)</f>
        <v>6</v>
      </c>
      <c r="B11" s="260">
        <f t="shared" si="0"/>
        <v>0</v>
      </c>
      <c r="C11" s="184"/>
      <c r="D11" s="184"/>
      <c r="E11" s="54" t="str">
        <f t="shared" si="2"/>
        <v xml:space="preserve"> </v>
      </c>
      <c r="F11" s="55" t="str">
        <f t="shared" si="3"/>
        <v>NO CUMPLE</v>
      </c>
      <c r="G11" s="60"/>
      <c r="H11" s="60"/>
      <c r="I11" s="56">
        <f t="shared" si="4"/>
        <v>0</v>
      </c>
      <c r="J11" s="268" t="str">
        <f t="shared" si="5"/>
        <v>NO CUMPLE</v>
      </c>
      <c r="K11" s="302"/>
      <c r="L11" s="302"/>
      <c r="M11" s="302"/>
      <c r="N11" s="302"/>
      <c r="O11" s="270"/>
      <c r="Q11" s="234">
        <v>6</v>
      </c>
      <c r="R11" s="58">
        <f t="shared" si="1"/>
        <v>0</v>
      </c>
      <c r="S11" s="235" t="str">
        <f t="shared" si="7"/>
        <v>NH</v>
      </c>
    </row>
    <row r="12" spans="1:19" s="16" customFormat="1" ht="29.25" hidden="1" customHeight="1">
      <c r="A12" s="263">
        <f>IF('[1]1_ENTREGA'!A14="","",'[1]1_ENTREGA'!A14)</f>
        <v>7</v>
      </c>
      <c r="B12" s="260">
        <f t="shared" si="0"/>
        <v>0</v>
      </c>
      <c r="C12" s="184"/>
      <c r="D12" s="184"/>
      <c r="E12" s="54" t="str">
        <f>IFERROR((C12/D12)," ")</f>
        <v xml:space="preserve"> </v>
      </c>
      <c r="F12" s="55" t="str">
        <f t="shared" si="3"/>
        <v>NO CUMPLE</v>
      </c>
      <c r="G12" s="60"/>
      <c r="H12" s="60"/>
      <c r="I12" s="56">
        <f t="shared" si="4"/>
        <v>0</v>
      </c>
      <c r="J12" s="268" t="str">
        <f t="shared" si="5"/>
        <v>NO CUMPLE</v>
      </c>
      <c r="K12" s="302"/>
      <c r="L12" s="302"/>
      <c r="M12" s="302"/>
      <c r="N12" s="302"/>
      <c r="O12" s="270"/>
      <c r="Q12" s="234">
        <v>7</v>
      </c>
      <c r="R12" s="58">
        <f t="shared" si="1"/>
        <v>0</v>
      </c>
      <c r="S12" s="235" t="str">
        <f t="shared" si="7"/>
        <v>NH</v>
      </c>
    </row>
    <row r="13" spans="1:19" ht="17" hidden="1">
      <c r="A13" s="263">
        <f>IF('[1]1_ENTREGA'!A15="","",'[1]1_ENTREGA'!A15)</f>
        <v>8</v>
      </c>
      <c r="B13" s="260">
        <f t="shared" ref="B13:B15" si="9">IF(A13="","",VLOOKUP(A13,LISTA_OFERENTES,2,FALSE))</f>
        <v>0</v>
      </c>
      <c r="C13" s="184"/>
      <c r="D13" s="184"/>
      <c r="E13" s="54" t="str">
        <f>IFERROR((C13/D13)," ")</f>
        <v xml:space="preserve"> </v>
      </c>
      <c r="F13" s="55" t="str">
        <f t="shared" ref="F13:F15" si="10">IF(B13="","",IF(E13&lt;=$F$4,"CUMPLE","NO CUMPLE"))</f>
        <v>NO CUMPLE</v>
      </c>
      <c r="G13" s="60"/>
      <c r="H13" s="60"/>
      <c r="I13" s="56">
        <f t="shared" ref="I13:I15" si="11">G13-H13</f>
        <v>0</v>
      </c>
      <c r="J13" s="268" t="str">
        <f t="shared" ref="J13:J15" si="12">IF(B13="","",IF(I13="","NO CUMPLE",IF(I13&gt;=$J$4,"CUMPLE","NO CUMPLE")))</f>
        <v>NO CUMPLE</v>
      </c>
      <c r="K13" s="302"/>
      <c r="L13" s="302"/>
      <c r="M13" s="302"/>
      <c r="N13" s="302"/>
      <c r="O13" s="271"/>
      <c r="Q13" s="234">
        <v>8</v>
      </c>
      <c r="R13" s="58">
        <f t="shared" ref="R13:R15" si="13">VLOOKUP(Q13,LISTA_OFERENTES,2,FALSE)</f>
        <v>0</v>
      </c>
      <c r="S13" s="235" t="str">
        <f t="shared" ref="S13:S15" si="14">IF(OR(F13="NO CUMPLE",J13="NO CUMPLE"),"NH","H")</f>
        <v>NH</v>
      </c>
    </row>
    <row r="14" spans="1:19" ht="17" hidden="1">
      <c r="A14" s="263">
        <f>IF('[1]1_ENTREGA'!A16="","",'[1]1_ENTREGA'!A16)</f>
        <v>9</v>
      </c>
      <c r="B14" s="260">
        <f t="shared" si="9"/>
        <v>0</v>
      </c>
      <c r="C14" s="184"/>
      <c r="D14" s="184"/>
      <c r="E14" s="54" t="str">
        <f t="shared" ref="E14:E15" si="15">IFERROR((C14/D14)," ")</f>
        <v xml:space="preserve"> </v>
      </c>
      <c r="F14" s="55" t="str">
        <f t="shared" si="10"/>
        <v>NO CUMPLE</v>
      </c>
      <c r="G14" s="60"/>
      <c r="H14" s="60"/>
      <c r="I14" s="56">
        <f t="shared" si="11"/>
        <v>0</v>
      </c>
      <c r="J14" s="268" t="str">
        <f t="shared" si="12"/>
        <v>NO CUMPLE</v>
      </c>
      <c r="K14" s="302"/>
      <c r="L14" s="302"/>
      <c r="M14" s="302"/>
      <c r="N14" s="302"/>
      <c r="O14" s="271"/>
      <c r="Q14" s="234">
        <v>9</v>
      </c>
      <c r="R14" s="58">
        <f t="shared" si="13"/>
        <v>0</v>
      </c>
      <c r="S14" s="235" t="str">
        <f t="shared" si="14"/>
        <v>NH</v>
      </c>
    </row>
    <row r="15" spans="1:19" ht="21.75" hidden="1" customHeight="1">
      <c r="A15" s="263">
        <f>IF('[1]1_ENTREGA'!A17="","",'[1]1_ENTREGA'!A17)</f>
        <v>10</v>
      </c>
      <c r="B15" s="260">
        <f t="shared" si="9"/>
        <v>0</v>
      </c>
      <c r="C15" s="184"/>
      <c r="D15" s="184"/>
      <c r="E15" s="54" t="str">
        <f t="shared" si="15"/>
        <v xml:space="preserve"> </v>
      </c>
      <c r="F15" s="55" t="str">
        <f t="shared" si="10"/>
        <v>NO CUMPLE</v>
      </c>
      <c r="G15" s="60"/>
      <c r="H15" s="60"/>
      <c r="I15" s="56">
        <f t="shared" si="11"/>
        <v>0</v>
      </c>
      <c r="J15" s="268" t="str">
        <f t="shared" si="12"/>
        <v>NO CUMPLE</v>
      </c>
      <c r="K15" s="302"/>
      <c r="L15" s="302"/>
      <c r="M15" s="302"/>
      <c r="N15" s="302"/>
      <c r="O15" s="271"/>
      <c r="Q15" s="234">
        <v>10</v>
      </c>
      <c r="R15" s="58">
        <f t="shared" si="13"/>
        <v>0</v>
      </c>
      <c r="S15" s="235" t="str">
        <f t="shared" si="14"/>
        <v>NH</v>
      </c>
    </row>
    <row r="16" spans="1:19" ht="23.25" hidden="1" customHeight="1">
      <c r="A16" s="263">
        <f>IF('[1]1_ENTREGA'!A18="","",'[1]1_ENTREGA'!A18)</f>
        <v>11</v>
      </c>
      <c r="B16" s="260">
        <f t="shared" ref="B16:B19" si="16">IF(A16="","",VLOOKUP(A16,LISTA_OFERENTES,2,FALSE))</f>
        <v>0</v>
      </c>
      <c r="C16" s="184"/>
      <c r="D16" s="184"/>
      <c r="E16" s="54" t="str">
        <f t="shared" ref="E16:E19" si="17">IFERROR((C16/D16)," ")</f>
        <v xml:space="preserve"> </v>
      </c>
      <c r="F16" s="55" t="str">
        <f t="shared" ref="F16:F19" si="18">IF(B16="","",IF(E16&lt;=$F$4,"CUMPLE","NO CUMPLE"))</f>
        <v>NO CUMPLE</v>
      </c>
      <c r="G16" s="60"/>
      <c r="H16" s="60"/>
      <c r="I16" s="56">
        <f t="shared" ref="I16:I19" si="19">G16-H16</f>
        <v>0</v>
      </c>
      <c r="J16" s="268" t="str">
        <f t="shared" ref="J16:J19" si="20">IF(B16="","",IF(I16="","NO CUMPLE",IF(I16&gt;=$J$4,"CUMPLE","NO CUMPLE")))</f>
        <v>NO CUMPLE</v>
      </c>
      <c r="K16" s="302"/>
      <c r="L16" s="302"/>
      <c r="M16" s="302"/>
      <c r="N16" s="302"/>
      <c r="O16" s="271"/>
      <c r="Q16" s="234">
        <v>11</v>
      </c>
      <c r="R16" s="58">
        <f t="shared" ref="R16:R19" si="21">VLOOKUP(Q16,LISTA_OFERENTES,2,FALSE)</f>
        <v>0</v>
      </c>
      <c r="S16" s="235" t="str">
        <f t="shared" ref="S16:S19" si="22">IF(OR(F16="NO CUMPLE",J16="NO CUMPLE"),"NH","H")</f>
        <v>NH</v>
      </c>
    </row>
    <row r="17" spans="1:19" ht="23.25" hidden="1" customHeight="1">
      <c r="A17" s="263">
        <f>IF('[1]1_ENTREGA'!A19="","",'[1]1_ENTREGA'!A19)</f>
        <v>12</v>
      </c>
      <c r="B17" s="260">
        <f t="shared" si="16"/>
        <v>0</v>
      </c>
      <c r="C17" s="184"/>
      <c r="D17" s="184"/>
      <c r="E17" s="54" t="str">
        <f t="shared" si="17"/>
        <v xml:space="preserve"> </v>
      </c>
      <c r="F17" s="55" t="str">
        <f t="shared" si="18"/>
        <v>NO CUMPLE</v>
      </c>
      <c r="G17" s="60"/>
      <c r="H17" s="60"/>
      <c r="I17" s="56">
        <f t="shared" si="19"/>
        <v>0</v>
      </c>
      <c r="J17" s="268" t="str">
        <f t="shared" si="20"/>
        <v>NO CUMPLE</v>
      </c>
      <c r="K17" s="302"/>
      <c r="L17" s="302"/>
      <c r="M17" s="302"/>
      <c r="N17" s="302"/>
      <c r="O17" s="271"/>
      <c r="Q17" s="234">
        <v>12</v>
      </c>
      <c r="R17" s="58">
        <f t="shared" si="21"/>
        <v>0</v>
      </c>
      <c r="S17" s="235" t="str">
        <f t="shared" si="22"/>
        <v>NH</v>
      </c>
    </row>
    <row r="18" spans="1:19" ht="44.25" hidden="1" customHeight="1">
      <c r="A18" s="263">
        <f>IF('[1]1_ENTREGA'!A20="","",'[1]1_ENTREGA'!A20)</f>
        <v>13</v>
      </c>
      <c r="B18" s="260">
        <f t="shared" si="16"/>
        <v>0</v>
      </c>
      <c r="C18" s="184"/>
      <c r="D18" s="184"/>
      <c r="E18" s="54" t="str">
        <f t="shared" si="17"/>
        <v xml:space="preserve"> </v>
      </c>
      <c r="F18" s="55" t="str">
        <f t="shared" si="18"/>
        <v>NO CUMPLE</v>
      </c>
      <c r="G18" s="60"/>
      <c r="H18" s="60"/>
      <c r="I18" s="56">
        <f t="shared" si="19"/>
        <v>0</v>
      </c>
      <c r="J18" s="268" t="str">
        <f t="shared" si="20"/>
        <v>NO CUMPLE</v>
      </c>
      <c r="K18" s="302"/>
      <c r="L18" s="302"/>
      <c r="M18" s="302"/>
      <c r="N18" s="302"/>
      <c r="O18" s="271"/>
      <c r="Q18" s="234">
        <v>13</v>
      </c>
      <c r="R18" s="58">
        <f t="shared" si="21"/>
        <v>0</v>
      </c>
      <c r="S18" s="235" t="str">
        <f t="shared" si="22"/>
        <v>NH</v>
      </c>
    </row>
    <row r="19" spans="1:19" ht="23.25" hidden="1" customHeight="1" thickBot="1">
      <c r="A19" s="264">
        <f>IF('[1]1_ENTREGA'!A21="","",'[1]1_ENTREGA'!A21)</f>
        <v>14</v>
      </c>
      <c r="B19" s="261">
        <f t="shared" si="16"/>
        <v>0</v>
      </c>
      <c r="C19" s="254"/>
      <c r="D19" s="254"/>
      <c r="E19" s="255" t="str">
        <f t="shared" si="17"/>
        <v xml:space="preserve"> </v>
      </c>
      <c r="F19" s="256" t="str">
        <f t="shared" si="18"/>
        <v>NO CUMPLE</v>
      </c>
      <c r="G19" s="257"/>
      <c r="H19" s="257"/>
      <c r="I19" s="258">
        <f t="shared" si="19"/>
        <v>0</v>
      </c>
      <c r="J19" s="269" t="str">
        <f t="shared" si="20"/>
        <v>NO CUMPLE</v>
      </c>
      <c r="K19" s="303"/>
      <c r="L19" s="303"/>
      <c r="M19" s="303"/>
      <c r="N19" s="303"/>
      <c r="O19" s="272"/>
      <c r="Q19" s="236">
        <v>14</v>
      </c>
      <c r="R19" s="237">
        <f t="shared" si="21"/>
        <v>0</v>
      </c>
      <c r="S19" s="238" t="str">
        <f t="shared" si="22"/>
        <v>NH</v>
      </c>
    </row>
  </sheetData>
  <sheetProtection algorithmName="SHA-512" hashValue="lYZ5oRTtRh8gMvpEI0m1hljxJfgLrDsj90ANZerRyL/EZgPi/7afj7BGahL4oTT4Pfk5eQBKGqOydQA6Y8FbhA==" saltValue="zhAc3HZC0VuI0BMtGjm3Sw==" spinCount="100000" sheet="1" objects="1" scenarios="1"/>
  <mergeCells count="11">
    <mergeCell ref="Q5:R5"/>
    <mergeCell ref="A1:J1"/>
    <mergeCell ref="A3:A5"/>
    <mergeCell ref="B3:B5"/>
    <mergeCell ref="C3:F3"/>
    <mergeCell ref="G3:J3"/>
    <mergeCell ref="D4:E4"/>
    <mergeCell ref="H4:I4"/>
    <mergeCell ref="O4:O5"/>
    <mergeCell ref="K3:N3"/>
    <mergeCell ref="L4:M4"/>
  </mergeCells>
  <conditionalFormatting sqref="J10:N12 J6:J9">
    <cfRule type="cellIs" dxfId="412" priority="17" operator="equal">
      <formula>"NO CUMPLE"</formula>
    </cfRule>
  </conditionalFormatting>
  <conditionalFormatting sqref="F6:F12">
    <cfRule type="cellIs" dxfId="411" priority="16" operator="equal">
      <formula>"NO CUMPLE"</formula>
    </cfRule>
  </conditionalFormatting>
  <conditionalFormatting sqref="S6">
    <cfRule type="cellIs" dxfId="410" priority="14" operator="equal">
      <formula>"NH"</formula>
    </cfRule>
    <cfRule type="cellIs" dxfId="409" priority="15" operator="equal">
      <formula>"H"</formula>
    </cfRule>
  </conditionalFormatting>
  <conditionalFormatting sqref="S7:S12">
    <cfRule type="cellIs" dxfId="408" priority="12" operator="equal">
      <formula>"NH"</formula>
    </cfRule>
    <cfRule type="cellIs" dxfId="407" priority="13" operator="equal">
      <formula>"H"</formula>
    </cfRule>
  </conditionalFormatting>
  <conditionalFormatting sqref="J13:N13">
    <cfRule type="cellIs" dxfId="406" priority="11" operator="equal">
      <formula>"NO CUMPLE"</formula>
    </cfRule>
  </conditionalFormatting>
  <conditionalFormatting sqref="F13">
    <cfRule type="cellIs" dxfId="405" priority="10" operator="equal">
      <formula>"NO CUMPLE"</formula>
    </cfRule>
  </conditionalFormatting>
  <conditionalFormatting sqref="J14:N15">
    <cfRule type="cellIs" dxfId="404" priority="9" operator="equal">
      <formula>"NO CUMPLE"</formula>
    </cfRule>
  </conditionalFormatting>
  <conditionalFormatting sqref="F14:F15">
    <cfRule type="cellIs" dxfId="403" priority="8" operator="equal">
      <formula>"NO CUMPLE"</formula>
    </cfRule>
  </conditionalFormatting>
  <conditionalFormatting sqref="S13:S15">
    <cfRule type="cellIs" dxfId="402" priority="6" operator="equal">
      <formula>"NH"</formula>
    </cfRule>
    <cfRule type="cellIs" dxfId="401" priority="7" operator="equal">
      <formula>"H"</formula>
    </cfRule>
  </conditionalFormatting>
  <conditionalFormatting sqref="J16:N19">
    <cfRule type="cellIs" dxfId="400" priority="5" operator="equal">
      <formula>"NO CUMPLE"</formula>
    </cfRule>
  </conditionalFormatting>
  <conditionalFormatting sqref="F16:F19">
    <cfRule type="cellIs" dxfId="399" priority="4" operator="equal">
      <formula>"NO CUMPLE"</formula>
    </cfRule>
  </conditionalFormatting>
  <conditionalFormatting sqref="S16:S19">
    <cfRule type="cellIs" dxfId="398" priority="2" operator="equal">
      <formula>"NH"</formula>
    </cfRule>
    <cfRule type="cellIs" dxfId="397" priority="3" operator="equal">
      <formula>"H"</formula>
    </cfRule>
  </conditionalFormatting>
  <conditionalFormatting sqref="N6:N9">
    <cfRule type="cellIs" dxfId="396" priority="1" operator="equal">
      <formula>"NO CUMPLE"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7"/>
  <sheetViews>
    <sheetView zoomScale="115" zoomScaleNormal="115" workbookViewId="0">
      <selection activeCell="G7" sqref="G7"/>
    </sheetView>
  </sheetViews>
  <sheetFormatPr baseColWidth="10" defaultColWidth="11.5" defaultRowHeight="13"/>
  <cols>
    <col min="1" max="1" width="8" style="62" customWidth="1"/>
    <col min="2" max="2" width="41" style="62" customWidth="1"/>
    <col min="3" max="3" width="17.33203125" style="62" customWidth="1"/>
    <col min="4" max="4" width="20.1640625" style="62" customWidth="1"/>
    <col min="5" max="6" width="31.5" style="62" customWidth="1"/>
    <col min="7" max="7" width="22.5" style="62" customWidth="1"/>
    <col min="8" max="8" width="29.1640625" style="62" hidden="1" customWidth="1"/>
    <col min="9" max="10" width="11.5" style="62"/>
    <col min="11" max="11" width="11.5" style="62" customWidth="1"/>
    <col min="12" max="12" width="42.5" style="68" customWidth="1"/>
    <col min="13" max="13" width="12.6640625" style="62" customWidth="1"/>
    <col min="14" max="16384" width="11.5" style="62"/>
  </cols>
  <sheetData>
    <row r="1" spans="1:13" ht="23">
      <c r="A1" s="759" t="s">
        <v>206</v>
      </c>
      <c r="B1" s="760"/>
      <c r="C1" s="760"/>
      <c r="D1" s="760"/>
      <c r="E1" s="760"/>
      <c r="F1" s="760"/>
      <c r="G1" s="760"/>
      <c r="H1" s="760"/>
    </row>
    <row r="3" spans="1:13" ht="112">
      <c r="A3" s="63" t="s">
        <v>6</v>
      </c>
      <c r="B3" s="64" t="s">
        <v>8</v>
      </c>
      <c r="C3" s="65" t="s">
        <v>201</v>
      </c>
      <c r="D3" s="65" t="s">
        <v>202</v>
      </c>
      <c r="E3" s="65" t="s">
        <v>203</v>
      </c>
      <c r="F3" s="65" t="s">
        <v>204</v>
      </c>
      <c r="G3" s="65" t="s">
        <v>205</v>
      </c>
      <c r="H3" s="65"/>
      <c r="K3" s="761" t="s">
        <v>62</v>
      </c>
      <c r="L3" s="761"/>
      <c r="M3" s="53" t="s">
        <v>42</v>
      </c>
    </row>
    <row r="4" spans="1:13" ht="17">
      <c r="A4" s="66">
        <f>+IF('[1]1_ENTREGA'!A8="","",'[1]1_ENTREGA'!A8)</f>
        <v>1</v>
      </c>
      <c r="B4" s="67" t="str">
        <f t="shared" ref="B4:B10" si="0">IF(A4="","",VLOOKUP(A4,LISTA_OFERENTES,2,FALSE))</f>
        <v>KER INGENIERIA S.A.S.</v>
      </c>
      <c r="C4" s="185"/>
      <c r="D4" s="185"/>
      <c r="E4" s="185"/>
      <c r="F4" s="185"/>
      <c r="G4" s="185"/>
      <c r="H4" s="185"/>
      <c r="K4" s="57">
        <v>1</v>
      </c>
      <c r="L4" s="69" t="str">
        <f t="shared" ref="L4:L10" si="1">VLOOKUP(K4,LISTA_OFERENTES,2,FALSE)</f>
        <v>KER INGENIERIA S.A.S.</v>
      </c>
      <c r="M4" s="59" t="str">
        <f t="shared" ref="M4:M17" si="2">IF(AND(C4="CUMPLE",D4="CUMPLE",E4="CUMPLE",F4="CUMPLE",G4="CUMPLE",H4="CUMPLE"),"H",IF(OR(C4=0,D4=0,E4=0,F4=0,G4=0,H4=0)," ","NH"))</f>
        <v xml:space="preserve"> </v>
      </c>
    </row>
    <row r="5" spans="1:13" ht="17">
      <c r="A5" s="66">
        <f>+IF('[1]1_ENTREGA'!A9="","",'[1]1_ENTREGA'!A9)</f>
        <v>2</v>
      </c>
      <c r="B5" s="67" t="str">
        <f t="shared" si="0"/>
        <v>UNIÓN TEMPORAL SUPERVISOR 2021</v>
      </c>
      <c r="C5" s="185"/>
      <c r="D5" s="185"/>
      <c r="E5" s="185"/>
      <c r="F5" s="185"/>
      <c r="G5" s="185"/>
      <c r="H5" s="185"/>
      <c r="K5" s="57">
        <v>2</v>
      </c>
      <c r="L5" s="69" t="str">
        <f t="shared" si="1"/>
        <v>UNIÓN TEMPORAL SUPERVISOR 2021</v>
      </c>
      <c r="M5" s="59" t="str">
        <f t="shared" si="2"/>
        <v xml:space="preserve"> </v>
      </c>
    </row>
    <row r="6" spans="1:13" ht="17">
      <c r="A6" s="66">
        <f>+IF('[1]1_ENTREGA'!A10="","",'[1]1_ENTREGA'!A10)</f>
        <v>3</v>
      </c>
      <c r="B6" s="67" t="str">
        <f t="shared" si="0"/>
        <v>PreVeo S.A.S.</v>
      </c>
      <c r="C6" s="185" t="s">
        <v>147</v>
      </c>
      <c r="D6" s="185" t="s">
        <v>147</v>
      </c>
      <c r="E6" s="185" t="s">
        <v>147</v>
      </c>
      <c r="F6" s="185" t="s">
        <v>147</v>
      </c>
      <c r="G6" s="185" t="s">
        <v>147</v>
      </c>
      <c r="H6" s="185"/>
      <c r="K6" s="57">
        <v>3</v>
      </c>
      <c r="L6" s="69" t="str">
        <f t="shared" si="1"/>
        <v>PreVeo S.A.S.</v>
      </c>
      <c r="M6" s="59" t="str">
        <f t="shared" si="2"/>
        <v xml:space="preserve"> </v>
      </c>
    </row>
    <row r="7" spans="1:13" ht="17">
      <c r="A7" s="66">
        <f>+IF('[1]1_ENTREGA'!A11="","",'[1]1_ENTREGA'!A11)</f>
        <v>4</v>
      </c>
      <c r="B7" s="67" t="str">
        <f t="shared" si="0"/>
        <v>INTERVE S.A.S.</v>
      </c>
      <c r="C7" s="185" t="s">
        <v>147</v>
      </c>
      <c r="D7" s="185" t="s">
        <v>147</v>
      </c>
      <c r="E7" s="185" t="s">
        <v>147</v>
      </c>
      <c r="F7" s="185" t="s">
        <v>147</v>
      </c>
      <c r="G7" s="185" t="s">
        <v>147</v>
      </c>
      <c r="H7" s="185"/>
      <c r="K7" s="57">
        <v>4</v>
      </c>
      <c r="L7" s="69" t="str">
        <f t="shared" si="1"/>
        <v>INTERVE S.A.S.</v>
      </c>
      <c r="M7" s="59" t="str">
        <f t="shared" si="2"/>
        <v xml:space="preserve"> </v>
      </c>
    </row>
    <row r="8" spans="1:13" ht="17" hidden="1">
      <c r="A8" s="66">
        <f>+IF('[1]1_ENTREGA'!A12="","",'[1]1_ENTREGA'!A12)</f>
        <v>5</v>
      </c>
      <c r="B8" s="67">
        <f t="shared" si="0"/>
        <v>0</v>
      </c>
      <c r="C8" s="185"/>
      <c r="D8" s="185"/>
      <c r="E8" s="185"/>
      <c r="F8" s="185"/>
      <c r="G8" s="185"/>
      <c r="H8" s="185"/>
      <c r="K8" s="57">
        <v>5</v>
      </c>
      <c r="L8" s="69">
        <f t="shared" si="1"/>
        <v>0</v>
      </c>
      <c r="M8" s="59" t="str">
        <f t="shared" si="2"/>
        <v xml:space="preserve"> </v>
      </c>
    </row>
    <row r="9" spans="1:13" ht="17" hidden="1">
      <c r="A9" s="66">
        <f>+IF('[1]1_ENTREGA'!A13="","",'[1]1_ENTREGA'!A13)</f>
        <v>6</v>
      </c>
      <c r="B9" s="67">
        <f t="shared" si="0"/>
        <v>0</v>
      </c>
      <c r="C9" s="185"/>
      <c r="D9" s="185"/>
      <c r="E9" s="185"/>
      <c r="F9" s="185"/>
      <c r="G9" s="185"/>
      <c r="H9" s="185"/>
      <c r="K9" s="57">
        <v>6</v>
      </c>
      <c r="L9" s="69">
        <f t="shared" si="1"/>
        <v>0</v>
      </c>
      <c r="M9" s="59" t="str">
        <f t="shared" si="2"/>
        <v xml:space="preserve"> </v>
      </c>
    </row>
    <row r="10" spans="1:13" ht="21.75" hidden="1" customHeight="1">
      <c r="A10" s="66">
        <f>+IF('[1]1_ENTREGA'!A14="","",'[1]1_ENTREGA'!A14)</f>
        <v>7</v>
      </c>
      <c r="B10" s="67">
        <f t="shared" si="0"/>
        <v>0</v>
      </c>
      <c r="C10" s="185"/>
      <c r="D10" s="185"/>
      <c r="E10" s="185"/>
      <c r="F10" s="185"/>
      <c r="G10" s="185"/>
      <c r="H10" s="185"/>
      <c r="K10" s="57">
        <v>7</v>
      </c>
      <c r="L10" s="69">
        <f t="shared" si="1"/>
        <v>0</v>
      </c>
      <c r="M10" s="59" t="str">
        <f t="shared" si="2"/>
        <v xml:space="preserve"> </v>
      </c>
    </row>
    <row r="11" spans="1:13" ht="17" hidden="1">
      <c r="A11" s="66">
        <f>+IF('[1]1_ENTREGA'!A15="","",'[1]1_ENTREGA'!A15)</f>
        <v>8</v>
      </c>
      <c r="B11" s="67">
        <f t="shared" ref="B11:B13" si="3">IF(A11="","",VLOOKUP(A11,LISTA_OFERENTES,2,FALSE))</f>
        <v>0</v>
      </c>
      <c r="C11" s="185"/>
      <c r="D11" s="185"/>
      <c r="E11" s="185"/>
      <c r="F11" s="185"/>
      <c r="G11" s="185"/>
      <c r="H11" s="185"/>
      <c r="K11" s="57">
        <v>8</v>
      </c>
      <c r="L11" s="69">
        <f t="shared" ref="L11:L17" si="4">VLOOKUP(K11,LISTA_OFERENTES,2,FALSE)</f>
        <v>0</v>
      </c>
      <c r="M11" s="59" t="str">
        <f t="shared" si="2"/>
        <v xml:space="preserve"> </v>
      </c>
    </row>
    <row r="12" spans="1:13" ht="17" hidden="1">
      <c r="A12" s="66">
        <f>+IF('[1]1_ENTREGA'!A16="","",'[1]1_ENTREGA'!A16)</f>
        <v>9</v>
      </c>
      <c r="B12" s="67">
        <f t="shared" si="3"/>
        <v>0</v>
      </c>
      <c r="C12" s="185"/>
      <c r="D12" s="185"/>
      <c r="E12" s="185"/>
      <c r="F12" s="185"/>
      <c r="G12" s="185"/>
      <c r="H12" s="185"/>
      <c r="K12" s="57">
        <f>+K11+1</f>
        <v>9</v>
      </c>
      <c r="L12" s="69">
        <f t="shared" si="4"/>
        <v>0</v>
      </c>
      <c r="M12" s="59" t="str">
        <f t="shared" si="2"/>
        <v xml:space="preserve"> </v>
      </c>
    </row>
    <row r="13" spans="1:13" ht="17" hidden="1">
      <c r="A13" s="66">
        <f>+IF('[1]1_ENTREGA'!A17="","",'[1]1_ENTREGA'!A17)</f>
        <v>10</v>
      </c>
      <c r="B13" s="67">
        <f t="shared" si="3"/>
        <v>0</v>
      </c>
      <c r="C13" s="185"/>
      <c r="D13" s="185"/>
      <c r="E13" s="185"/>
      <c r="F13" s="185"/>
      <c r="G13" s="185"/>
      <c r="H13" s="185"/>
      <c r="K13" s="57">
        <f t="shared" ref="K13:K17" si="5">+K12+1</f>
        <v>10</v>
      </c>
      <c r="L13" s="69">
        <f t="shared" si="4"/>
        <v>0</v>
      </c>
      <c r="M13" s="59" t="str">
        <f t="shared" si="2"/>
        <v xml:space="preserve"> </v>
      </c>
    </row>
    <row r="14" spans="1:13" ht="17" hidden="1">
      <c r="A14" s="66">
        <f>+IF('[1]1_ENTREGA'!A18="","",'[1]1_ENTREGA'!A18)</f>
        <v>11</v>
      </c>
      <c r="B14" s="67">
        <f t="shared" ref="B14:B17" si="6">IF(A14="","",VLOOKUP(A14,LISTA_OFERENTES,2,FALSE))</f>
        <v>0</v>
      </c>
      <c r="C14" s="185"/>
      <c r="D14" s="185"/>
      <c r="E14" s="185"/>
      <c r="F14" s="185"/>
      <c r="G14" s="185"/>
      <c r="H14" s="185"/>
      <c r="K14" s="57">
        <f t="shared" si="5"/>
        <v>11</v>
      </c>
      <c r="L14" s="69">
        <f t="shared" si="4"/>
        <v>0</v>
      </c>
      <c r="M14" s="59" t="str">
        <f t="shared" si="2"/>
        <v xml:space="preserve"> </v>
      </c>
    </row>
    <row r="15" spans="1:13" ht="17" hidden="1">
      <c r="A15" s="66">
        <f>+IF('[1]1_ENTREGA'!A19="","",'[1]1_ENTREGA'!A19)</f>
        <v>12</v>
      </c>
      <c r="B15" s="67">
        <f t="shared" si="6"/>
        <v>0</v>
      </c>
      <c r="C15" s="185"/>
      <c r="D15" s="185"/>
      <c r="E15" s="185"/>
      <c r="F15" s="185"/>
      <c r="G15" s="185"/>
      <c r="H15" s="185"/>
      <c r="K15" s="57">
        <f t="shared" si="5"/>
        <v>12</v>
      </c>
      <c r="L15" s="69">
        <f t="shared" si="4"/>
        <v>0</v>
      </c>
      <c r="M15" s="59" t="str">
        <f t="shared" si="2"/>
        <v xml:space="preserve"> </v>
      </c>
    </row>
    <row r="16" spans="1:13" ht="17" hidden="1">
      <c r="A16" s="66">
        <f>+IF('[1]1_ENTREGA'!A20="","",'[1]1_ENTREGA'!A20)</f>
        <v>13</v>
      </c>
      <c r="B16" s="67">
        <f t="shared" si="6"/>
        <v>0</v>
      </c>
      <c r="C16" s="185"/>
      <c r="D16" s="185"/>
      <c r="E16" s="185"/>
      <c r="F16" s="185"/>
      <c r="G16" s="185"/>
      <c r="H16" s="185"/>
      <c r="K16" s="57">
        <f t="shared" si="5"/>
        <v>13</v>
      </c>
      <c r="L16" s="69">
        <f t="shared" si="4"/>
        <v>0</v>
      </c>
      <c r="M16" s="59" t="str">
        <f t="shared" si="2"/>
        <v xml:space="preserve"> </v>
      </c>
    </row>
    <row r="17" spans="1:13" ht="17" hidden="1">
      <c r="A17" s="66">
        <f>+IF('[1]1_ENTREGA'!A21="","",'[1]1_ENTREGA'!A21)</f>
        <v>14</v>
      </c>
      <c r="B17" s="67">
        <f t="shared" si="6"/>
        <v>0</v>
      </c>
      <c r="C17" s="185"/>
      <c r="D17" s="185"/>
      <c r="E17" s="185"/>
      <c r="F17" s="185"/>
      <c r="G17" s="185"/>
      <c r="H17" s="185"/>
      <c r="K17" s="57">
        <f t="shared" si="5"/>
        <v>14</v>
      </c>
      <c r="L17" s="69">
        <f t="shared" si="4"/>
        <v>0</v>
      </c>
      <c r="M17" s="59" t="str">
        <f t="shared" si="2"/>
        <v xml:space="preserve"> </v>
      </c>
    </row>
  </sheetData>
  <sheetProtection algorithmName="SHA-512" hashValue="fAKbMAEaXdIR2w6d/olOdNnWg7/cSHmm2rXvf3AJHm5VgMwmMO8bek5+TSMHxsqBWN2S1u1DjBqgpY9LH6MrOw==" saltValue="SDkME9hPGSlNU6ISG8Dssw==" spinCount="100000" sheet="1" objects="1" scenarios="1"/>
  <mergeCells count="2">
    <mergeCell ref="A1:H1"/>
    <mergeCell ref="K3:L3"/>
  </mergeCells>
  <conditionalFormatting sqref="C4">
    <cfRule type="cellIs" dxfId="395" priority="41" operator="equal">
      <formula>"NO CUMPLE"</formula>
    </cfRule>
    <cfRule type="cellIs" dxfId="394" priority="42" operator="equal">
      <formula>"CUMPLE"</formula>
    </cfRule>
  </conditionalFormatting>
  <conditionalFormatting sqref="M4">
    <cfRule type="cellIs" dxfId="393" priority="29" operator="equal">
      <formula>"NH"</formula>
    </cfRule>
    <cfRule type="cellIs" dxfId="392" priority="30" operator="equal">
      <formula>"H"</formula>
    </cfRule>
  </conditionalFormatting>
  <conditionalFormatting sqref="M5:M10">
    <cfRule type="cellIs" dxfId="391" priority="27" operator="equal">
      <formula>"NH"</formula>
    </cfRule>
    <cfRule type="cellIs" dxfId="390" priority="28" operator="equal">
      <formula>"H"</formula>
    </cfRule>
  </conditionalFormatting>
  <conditionalFormatting sqref="F16">
    <cfRule type="cellIs" dxfId="389" priority="19" operator="equal">
      <formula>"NO CUMPLE"</formula>
    </cfRule>
    <cfRule type="cellIs" dxfId="388" priority="20" operator="equal">
      <formula>"CUMPLE"</formula>
    </cfRule>
  </conditionalFormatting>
  <conditionalFormatting sqref="M11:M17">
    <cfRule type="cellIs" dxfId="387" priority="13" operator="equal">
      <formula>"NH"</formula>
    </cfRule>
    <cfRule type="cellIs" dxfId="386" priority="14" operator="equal">
      <formula>"H"</formula>
    </cfRule>
  </conditionalFormatting>
  <conditionalFormatting sqref="C5:C17">
    <cfRule type="cellIs" dxfId="385" priority="11" operator="equal">
      <formula>"NO CUMPLE"</formula>
    </cfRule>
    <cfRule type="cellIs" dxfId="384" priority="12" operator="equal">
      <formula>"CUMPLE"</formula>
    </cfRule>
  </conditionalFormatting>
  <conditionalFormatting sqref="D4:D17">
    <cfRule type="cellIs" dxfId="383" priority="9" operator="equal">
      <formula>"NO CUMPLE"</formula>
    </cfRule>
    <cfRule type="cellIs" dxfId="382" priority="10" operator="equal">
      <formula>"CUMPLE"</formula>
    </cfRule>
  </conditionalFormatting>
  <conditionalFormatting sqref="E4:E17">
    <cfRule type="cellIs" dxfId="381" priority="7" operator="equal">
      <formula>"NO CUMPLE"</formula>
    </cfRule>
    <cfRule type="cellIs" dxfId="380" priority="8" operator="equal">
      <formula>"CUMPLE"</formula>
    </cfRule>
  </conditionalFormatting>
  <conditionalFormatting sqref="F4:F15">
    <cfRule type="cellIs" dxfId="379" priority="5" operator="equal">
      <formula>"NO CUMPLE"</formula>
    </cfRule>
    <cfRule type="cellIs" dxfId="378" priority="6" operator="equal">
      <formula>"CUMPLE"</formula>
    </cfRule>
  </conditionalFormatting>
  <conditionalFormatting sqref="F17">
    <cfRule type="cellIs" dxfId="377" priority="3" operator="equal">
      <formula>"NO CUMPLE"</formula>
    </cfRule>
    <cfRule type="cellIs" dxfId="376" priority="4" operator="equal">
      <formula>"CUMPLE"</formula>
    </cfRule>
  </conditionalFormatting>
  <conditionalFormatting sqref="G4:H17">
    <cfRule type="cellIs" dxfId="375" priority="1" operator="equal">
      <formula>"NO CUMPLE"</formula>
    </cfRule>
    <cfRule type="cellIs" dxfId="374" priority="2" operator="equal">
      <formula>"CUMPLE"</formula>
    </cfRule>
  </conditionalFormatting>
  <dataValidations count="1">
    <dataValidation type="list" allowBlank="1" showInputMessage="1" showErrorMessage="1" sqref="C4:H17" xr:uid="{00000000-0002-0000-0700-000000000000}">
      <formula1>"CUMPLE,NO CUMPLE"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JQ145"/>
  <sheetViews>
    <sheetView topLeftCell="L1" zoomScale="61" zoomScaleNormal="85" workbookViewId="0">
      <selection activeCell="P2" sqref="P2:V3"/>
    </sheetView>
  </sheetViews>
  <sheetFormatPr baseColWidth="10" defaultRowHeight="16"/>
  <cols>
    <col min="1" max="1" width="7.1640625" style="186" customWidth="1"/>
    <col min="2" max="2" width="21" style="187" customWidth="1"/>
    <col min="3" max="3" width="18" style="187" customWidth="1"/>
    <col min="4" max="4" width="135.5" style="187" customWidth="1"/>
    <col min="5" max="5" width="21.83203125" style="187" customWidth="1"/>
    <col min="6" max="6" width="37.1640625" style="187" customWidth="1"/>
    <col min="7" max="7" width="43.33203125" style="187" customWidth="1"/>
    <col min="8" max="10" width="30.83203125" style="187" customWidth="1"/>
    <col min="11" max="11" width="33.33203125" style="187" customWidth="1"/>
    <col min="12" max="12" width="15.6640625" style="187" customWidth="1"/>
    <col min="13" max="13" width="23.1640625" style="187" customWidth="1"/>
    <col min="14" max="14" width="15.5" style="187" customWidth="1"/>
    <col min="15" max="15" width="124.5" style="187" customWidth="1"/>
    <col min="16" max="16" width="22.5" style="187" customWidth="1"/>
    <col min="17" max="17" width="33.1640625" style="187" customWidth="1"/>
    <col min="18" max="18" width="38.33203125" style="187" customWidth="1"/>
    <col min="19" max="19" width="35.1640625" style="187" customWidth="1"/>
    <col min="20" max="20" width="23.6640625" style="187" customWidth="1"/>
    <col min="21" max="21" width="24.33203125" style="187" customWidth="1"/>
    <col min="22" max="22" width="30.5" style="187" customWidth="1"/>
    <col min="23" max="23" width="4.6640625" style="71" customWidth="1"/>
    <col min="24" max="24" width="9.83203125" style="71" customWidth="1"/>
    <col min="25" max="25" width="4.6640625" style="71" customWidth="1"/>
    <col min="26" max="26" width="6.5" style="71" customWidth="1"/>
    <col min="27" max="27" width="7.33203125" style="71" customWidth="1"/>
    <col min="28" max="28" width="4.6640625" style="71" customWidth="1"/>
    <col min="29" max="29" width="7.5" style="71" customWidth="1"/>
    <col min="30" max="30" width="20.83203125" style="71" customWidth="1"/>
    <col min="31" max="31" width="10.6640625" style="71" customWidth="1"/>
    <col min="32" max="32" width="8.6640625" style="187" customWidth="1"/>
    <col min="33" max="33" width="8" style="187" customWidth="1"/>
    <col min="34" max="35" width="11.5" style="187" customWidth="1"/>
    <col min="36" max="36" width="121.33203125" style="187" customWidth="1"/>
    <col min="37" max="38" width="20.33203125" style="187" customWidth="1"/>
    <col min="39" max="39" width="23.5" style="187" customWidth="1"/>
    <col min="40" max="40" width="21" style="187" customWidth="1"/>
    <col min="41" max="41" width="19.33203125" style="187" customWidth="1"/>
    <col min="42" max="42" width="21.1640625" style="187" customWidth="1"/>
    <col min="43" max="43" width="24.6640625" style="187" customWidth="1"/>
    <col min="44" max="50" width="11.5" style="187" customWidth="1"/>
    <col min="51" max="51" width="21" style="187" customWidth="1"/>
    <col min="52" max="52" width="15.5" style="187" customWidth="1"/>
    <col min="53" max="56" width="11.5" style="187"/>
    <col min="57" max="57" width="118.5" style="187" customWidth="1"/>
    <col min="58" max="58" width="15.5" style="187" bestFit="1" customWidth="1"/>
    <col min="59" max="59" width="30.1640625" style="187" customWidth="1"/>
    <col min="60" max="60" width="32.6640625" style="187" customWidth="1"/>
    <col min="61" max="61" width="20.33203125" style="187" customWidth="1"/>
    <col min="62" max="62" width="17.6640625" style="187" customWidth="1"/>
    <col min="63" max="63" width="15.6640625" style="187" customWidth="1"/>
    <col min="64" max="64" width="30.1640625" style="187" customWidth="1"/>
    <col min="65" max="71" width="11.5" style="187"/>
    <col min="72" max="72" width="28.33203125" style="187" customWidth="1"/>
    <col min="73" max="73" width="16.5" style="187" customWidth="1"/>
    <col min="74" max="77" width="11.5" style="187"/>
    <col min="78" max="78" width="118.5" style="187" customWidth="1"/>
    <col min="79" max="79" width="11.5" style="187"/>
    <col min="80" max="80" width="30.1640625" style="187" customWidth="1"/>
    <col min="81" max="81" width="32.6640625" style="187" customWidth="1"/>
    <col min="82" max="82" width="20.33203125" style="187" customWidth="1"/>
    <col min="83" max="83" width="18.33203125" style="187" customWidth="1"/>
    <col min="84" max="84" width="11.5" style="187"/>
    <col min="85" max="85" width="30.1640625" style="187" customWidth="1"/>
    <col min="86" max="92" width="11.5" style="187"/>
    <col min="93" max="93" width="28.33203125" style="187" customWidth="1"/>
    <col min="94" max="94" width="16.5" style="187" customWidth="1"/>
    <col min="95" max="137" width="11.5" style="187"/>
    <col min="138" max="138" width="2.33203125" style="187" customWidth="1"/>
    <col min="139" max="139" width="7.1640625" style="187" customWidth="1"/>
    <col min="140" max="140" width="8.83203125" style="187" customWidth="1"/>
    <col min="141" max="141" width="71.5" style="187" customWidth="1"/>
    <col min="142" max="142" width="23.1640625" style="187" customWidth="1"/>
    <col min="143" max="143" width="19" style="187" customWidth="1"/>
    <col min="144" max="144" width="28.33203125" style="187" customWidth="1"/>
    <col min="145" max="145" width="43.83203125" style="187" customWidth="1"/>
    <col min="146" max="393" width="11.5" style="187"/>
    <col min="394" max="394" width="2.33203125" style="187" customWidth="1"/>
    <col min="395" max="395" width="7.1640625" style="187" customWidth="1"/>
    <col min="396" max="396" width="8.83203125" style="187" customWidth="1"/>
    <col min="397" max="397" width="71.5" style="187" customWidth="1"/>
    <col min="398" max="398" width="23.1640625" style="187" customWidth="1"/>
    <col min="399" max="399" width="19" style="187" customWidth="1"/>
    <col min="400" max="400" width="28.33203125" style="187" customWidth="1"/>
    <col min="401" max="401" width="43.83203125" style="187" customWidth="1"/>
    <col min="402" max="649" width="11.5" style="187"/>
    <col min="650" max="650" width="2.33203125" style="187" customWidth="1"/>
    <col min="651" max="651" width="7.1640625" style="187" customWidth="1"/>
    <col min="652" max="652" width="8.83203125" style="187" customWidth="1"/>
    <col min="653" max="653" width="71.5" style="187" customWidth="1"/>
    <col min="654" max="654" width="23.1640625" style="187" customWidth="1"/>
    <col min="655" max="655" width="19" style="187" customWidth="1"/>
    <col min="656" max="656" width="28.33203125" style="187" customWidth="1"/>
    <col min="657" max="657" width="43.83203125" style="187" customWidth="1"/>
    <col min="658" max="905" width="11.5" style="187"/>
    <col min="906" max="906" width="2.33203125" style="187" customWidth="1"/>
    <col min="907" max="907" width="7.1640625" style="187" customWidth="1"/>
    <col min="908" max="908" width="8.83203125" style="187" customWidth="1"/>
    <col min="909" max="909" width="71.5" style="187" customWidth="1"/>
    <col min="910" max="910" width="23.1640625" style="187" customWidth="1"/>
    <col min="911" max="911" width="19" style="187" customWidth="1"/>
    <col min="912" max="912" width="28.33203125" style="187" customWidth="1"/>
    <col min="913" max="913" width="43.83203125" style="187" customWidth="1"/>
    <col min="914" max="1161" width="11.5" style="187"/>
    <col min="1162" max="1162" width="2.33203125" style="187" customWidth="1"/>
    <col min="1163" max="1163" width="7.1640625" style="187" customWidth="1"/>
    <col min="1164" max="1164" width="8.83203125" style="187" customWidth="1"/>
    <col min="1165" max="1165" width="71.5" style="187" customWidth="1"/>
    <col min="1166" max="1166" width="23.1640625" style="187" customWidth="1"/>
    <col min="1167" max="1167" width="19" style="187" customWidth="1"/>
    <col min="1168" max="1168" width="28.33203125" style="187" customWidth="1"/>
    <col min="1169" max="1169" width="43.83203125" style="187" customWidth="1"/>
    <col min="1170" max="1417" width="11.5" style="187"/>
    <col min="1418" max="1418" width="2.33203125" style="187" customWidth="1"/>
    <col min="1419" max="1419" width="7.1640625" style="187" customWidth="1"/>
    <col min="1420" max="1420" width="8.83203125" style="187" customWidth="1"/>
    <col min="1421" max="1421" width="71.5" style="187" customWidth="1"/>
    <col min="1422" max="1422" width="23.1640625" style="187" customWidth="1"/>
    <col min="1423" max="1423" width="19" style="187" customWidth="1"/>
    <col min="1424" max="1424" width="28.33203125" style="187" customWidth="1"/>
    <col min="1425" max="1425" width="43.83203125" style="187" customWidth="1"/>
    <col min="1426" max="1673" width="11.5" style="187"/>
    <col min="1674" max="1674" width="2.33203125" style="187" customWidth="1"/>
    <col min="1675" max="1675" width="7.1640625" style="187" customWidth="1"/>
    <col min="1676" max="1676" width="8.83203125" style="187" customWidth="1"/>
    <col min="1677" max="1677" width="71.5" style="187" customWidth="1"/>
    <col min="1678" max="1678" width="23.1640625" style="187" customWidth="1"/>
    <col min="1679" max="1679" width="19" style="187" customWidth="1"/>
    <col min="1680" max="1680" width="28.33203125" style="187" customWidth="1"/>
    <col min="1681" max="1681" width="43.83203125" style="187" customWidth="1"/>
    <col min="1682" max="1929" width="11.5" style="187"/>
    <col min="1930" max="1930" width="2.33203125" style="187" customWidth="1"/>
    <col min="1931" max="1931" width="7.1640625" style="187" customWidth="1"/>
    <col min="1932" max="1932" width="8.83203125" style="187" customWidth="1"/>
    <col min="1933" max="1933" width="71.5" style="187" customWidth="1"/>
    <col min="1934" max="1934" width="23.1640625" style="187" customWidth="1"/>
    <col min="1935" max="1935" width="19" style="187" customWidth="1"/>
    <col min="1936" max="1936" width="28.33203125" style="187" customWidth="1"/>
    <col min="1937" max="1937" width="43.83203125" style="187" customWidth="1"/>
    <col min="1938" max="2185" width="11.5" style="187"/>
    <col min="2186" max="2186" width="2.33203125" style="187" customWidth="1"/>
    <col min="2187" max="2187" width="7.1640625" style="187" customWidth="1"/>
    <col min="2188" max="2188" width="8.83203125" style="187" customWidth="1"/>
    <col min="2189" max="2189" width="71.5" style="187" customWidth="1"/>
    <col min="2190" max="2190" width="23.1640625" style="187" customWidth="1"/>
    <col min="2191" max="2191" width="19" style="187" customWidth="1"/>
    <col min="2192" max="2192" width="28.33203125" style="187" customWidth="1"/>
    <col min="2193" max="2193" width="43.83203125" style="187" customWidth="1"/>
    <col min="2194" max="2441" width="11.5" style="187"/>
    <col min="2442" max="2442" width="2.33203125" style="187" customWidth="1"/>
    <col min="2443" max="2443" width="7.1640625" style="187" customWidth="1"/>
    <col min="2444" max="2444" width="8.83203125" style="187" customWidth="1"/>
    <col min="2445" max="2445" width="71.5" style="187" customWidth="1"/>
    <col min="2446" max="2446" width="23.1640625" style="187" customWidth="1"/>
    <col min="2447" max="2447" width="19" style="187" customWidth="1"/>
    <col min="2448" max="2448" width="28.33203125" style="187" customWidth="1"/>
    <col min="2449" max="2449" width="43.83203125" style="187" customWidth="1"/>
    <col min="2450" max="2697" width="11.5" style="187"/>
    <col min="2698" max="2698" width="2.33203125" style="187" customWidth="1"/>
    <col min="2699" max="2699" width="7.1640625" style="187" customWidth="1"/>
    <col min="2700" max="2700" width="8.83203125" style="187" customWidth="1"/>
    <col min="2701" max="2701" width="71.5" style="187" customWidth="1"/>
    <col min="2702" max="2702" width="23.1640625" style="187" customWidth="1"/>
    <col min="2703" max="2703" width="19" style="187" customWidth="1"/>
    <col min="2704" max="2704" width="28.33203125" style="187" customWidth="1"/>
    <col min="2705" max="2705" width="43.83203125" style="187" customWidth="1"/>
    <col min="2706" max="2953" width="11.5" style="187"/>
    <col min="2954" max="2954" width="2.33203125" style="187" customWidth="1"/>
    <col min="2955" max="2955" width="7.1640625" style="187" customWidth="1"/>
    <col min="2956" max="2956" width="8.83203125" style="187" customWidth="1"/>
    <col min="2957" max="2957" width="71.5" style="187" customWidth="1"/>
    <col min="2958" max="2958" width="23.1640625" style="187" customWidth="1"/>
    <col min="2959" max="2959" width="19" style="187" customWidth="1"/>
    <col min="2960" max="2960" width="28.33203125" style="187" customWidth="1"/>
    <col min="2961" max="2961" width="43.83203125" style="187" customWidth="1"/>
    <col min="2962" max="3209" width="11.5" style="187"/>
    <col min="3210" max="3210" width="2.33203125" style="187" customWidth="1"/>
    <col min="3211" max="3211" width="7.1640625" style="187" customWidth="1"/>
    <col min="3212" max="3212" width="8.83203125" style="187" customWidth="1"/>
    <col min="3213" max="3213" width="71.5" style="187" customWidth="1"/>
    <col min="3214" max="3214" width="23.1640625" style="187" customWidth="1"/>
    <col min="3215" max="3215" width="19" style="187" customWidth="1"/>
    <col min="3216" max="3216" width="28.33203125" style="187" customWidth="1"/>
    <col min="3217" max="3217" width="43.83203125" style="187" customWidth="1"/>
    <col min="3218" max="3465" width="11.5" style="187"/>
    <col min="3466" max="3466" width="2.33203125" style="187" customWidth="1"/>
    <col min="3467" max="3467" width="7.1640625" style="187" customWidth="1"/>
    <col min="3468" max="3468" width="8.83203125" style="187" customWidth="1"/>
    <col min="3469" max="3469" width="71.5" style="187" customWidth="1"/>
    <col min="3470" max="3470" width="23.1640625" style="187" customWidth="1"/>
    <col min="3471" max="3471" width="19" style="187" customWidth="1"/>
    <col min="3472" max="3472" width="28.33203125" style="187" customWidth="1"/>
    <col min="3473" max="3473" width="43.83203125" style="187" customWidth="1"/>
    <col min="3474" max="3721" width="11.5" style="187"/>
    <col min="3722" max="3722" width="2.33203125" style="187" customWidth="1"/>
    <col min="3723" max="3723" width="7.1640625" style="187" customWidth="1"/>
    <col min="3724" max="3724" width="8.83203125" style="187" customWidth="1"/>
    <col min="3725" max="3725" width="71.5" style="187" customWidth="1"/>
    <col min="3726" max="3726" width="23.1640625" style="187" customWidth="1"/>
    <col min="3727" max="3727" width="19" style="187" customWidth="1"/>
    <col min="3728" max="3728" width="28.33203125" style="187" customWidth="1"/>
    <col min="3729" max="3729" width="43.83203125" style="187" customWidth="1"/>
    <col min="3730" max="3977" width="11.5" style="187"/>
    <col min="3978" max="3978" width="2.33203125" style="187" customWidth="1"/>
    <col min="3979" max="3979" width="7.1640625" style="187" customWidth="1"/>
    <col min="3980" max="3980" width="8.83203125" style="187" customWidth="1"/>
    <col min="3981" max="3981" width="71.5" style="187" customWidth="1"/>
    <col min="3982" max="3982" width="23.1640625" style="187" customWidth="1"/>
    <col min="3983" max="3983" width="19" style="187" customWidth="1"/>
    <col min="3984" max="3984" width="28.33203125" style="187" customWidth="1"/>
    <col min="3985" max="3985" width="43.83203125" style="187" customWidth="1"/>
    <col min="3986" max="4233" width="11.5" style="187"/>
    <col min="4234" max="4234" width="2.33203125" style="187" customWidth="1"/>
    <col min="4235" max="4235" width="7.1640625" style="187" customWidth="1"/>
    <col min="4236" max="4236" width="8.83203125" style="187" customWidth="1"/>
    <col min="4237" max="4237" width="71.5" style="187" customWidth="1"/>
    <col min="4238" max="4238" width="23.1640625" style="187" customWidth="1"/>
    <col min="4239" max="4239" width="19" style="187" customWidth="1"/>
    <col min="4240" max="4240" width="28.33203125" style="187" customWidth="1"/>
    <col min="4241" max="4241" width="43.83203125" style="187" customWidth="1"/>
    <col min="4242" max="4489" width="11.5" style="187"/>
    <col min="4490" max="4490" width="2.33203125" style="187" customWidth="1"/>
    <col min="4491" max="4491" width="7.1640625" style="187" customWidth="1"/>
    <col min="4492" max="4492" width="8.83203125" style="187" customWidth="1"/>
    <col min="4493" max="4493" width="71.5" style="187" customWidth="1"/>
    <col min="4494" max="4494" width="23.1640625" style="187" customWidth="1"/>
    <col min="4495" max="4495" width="19" style="187" customWidth="1"/>
    <col min="4496" max="4496" width="28.33203125" style="187" customWidth="1"/>
    <col min="4497" max="4497" width="43.83203125" style="187" customWidth="1"/>
    <col min="4498" max="4745" width="11.5" style="187"/>
    <col min="4746" max="4746" width="2.33203125" style="187" customWidth="1"/>
    <col min="4747" max="4747" width="7.1640625" style="187" customWidth="1"/>
    <col min="4748" max="4748" width="8.83203125" style="187" customWidth="1"/>
    <col min="4749" max="4749" width="71.5" style="187" customWidth="1"/>
    <col min="4750" max="4750" width="23.1640625" style="187" customWidth="1"/>
    <col min="4751" max="4751" width="19" style="187" customWidth="1"/>
    <col min="4752" max="4752" width="28.33203125" style="187" customWidth="1"/>
    <col min="4753" max="4753" width="43.83203125" style="187" customWidth="1"/>
    <col min="4754" max="5001" width="11.5" style="187"/>
    <col min="5002" max="5002" width="2.33203125" style="187" customWidth="1"/>
    <col min="5003" max="5003" width="7.1640625" style="187" customWidth="1"/>
    <col min="5004" max="5004" width="8.83203125" style="187" customWidth="1"/>
    <col min="5005" max="5005" width="71.5" style="187" customWidth="1"/>
    <col min="5006" max="5006" width="23.1640625" style="187" customWidth="1"/>
    <col min="5007" max="5007" width="19" style="187" customWidth="1"/>
    <col min="5008" max="5008" width="28.33203125" style="187" customWidth="1"/>
    <col min="5009" max="5009" width="43.83203125" style="187" customWidth="1"/>
    <col min="5010" max="5257" width="11.5" style="187"/>
    <col min="5258" max="5258" width="2.33203125" style="187" customWidth="1"/>
    <col min="5259" max="5259" width="7.1640625" style="187" customWidth="1"/>
    <col min="5260" max="5260" width="8.83203125" style="187" customWidth="1"/>
    <col min="5261" max="5261" width="71.5" style="187" customWidth="1"/>
    <col min="5262" max="5262" width="23.1640625" style="187" customWidth="1"/>
    <col min="5263" max="5263" width="19" style="187" customWidth="1"/>
    <col min="5264" max="5264" width="28.33203125" style="187" customWidth="1"/>
    <col min="5265" max="5265" width="43.83203125" style="187" customWidth="1"/>
    <col min="5266" max="5513" width="11.5" style="187"/>
    <col min="5514" max="5514" width="2.33203125" style="187" customWidth="1"/>
    <col min="5515" max="5515" width="7.1640625" style="187" customWidth="1"/>
    <col min="5516" max="5516" width="8.83203125" style="187" customWidth="1"/>
    <col min="5517" max="5517" width="71.5" style="187" customWidth="1"/>
    <col min="5518" max="5518" width="23.1640625" style="187" customWidth="1"/>
    <col min="5519" max="5519" width="19" style="187" customWidth="1"/>
    <col min="5520" max="5520" width="28.33203125" style="187" customWidth="1"/>
    <col min="5521" max="5521" width="43.83203125" style="187" customWidth="1"/>
    <col min="5522" max="5769" width="11.5" style="187"/>
    <col min="5770" max="5770" width="2.33203125" style="187" customWidth="1"/>
    <col min="5771" max="5771" width="7.1640625" style="187" customWidth="1"/>
    <col min="5772" max="5772" width="8.83203125" style="187" customWidth="1"/>
    <col min="5773" max="5773" width="71.5" style="187" customWidth="1"/>
    <col min="5774" max="5774" width="23.1640625" style="187" customWidth="1"/>
    <col min="5775" max="5775" width="19" style="187" customWidth="1"/>
    <col min="5776" max="5776" width="28.33203125" style="187" customWidth="1"/>
    <col min="5777" max="5777" width="43.83203125" style="187" customWidth="1"/>
    <col min="5778" max="6025" width="11.5" style="187"/>
    <col min="6026" max="6026" width="2.33203125" style="187" customWidth="1"/>
    <col min="6027" max="6027" width="7.1640625" style="187" customWidth="1"/>
    <col min="6028" max="6028" width="8.83203125" style="187" customWidth="1"/>
    <col min="6029" max="6029" width="71.5" style="187" customWidth="1"/>
    <col min="6030" max="6030" width="23.1640625" style="187" customWidth="1"/>
    <col min="6031" max="6031" width="19" style="187" customWidth="1"/>
    <col min="6032" max="6032" width="28.33203125" style="187" customWidth="1"/>
    <col min="6033" max="6033" width="43.83203125" style="187" customWidth="1"/>
    <col min="6034" max="6281" width="11.5" style="187"/>
    <col min="6282" max="6282" width="2.33203125" style="187" customWidth="1"/>
    <col min="6283" max="6283" width="7.1640625" style="187" customWidth="1"/>
    <col min="6284" max="6284" width="8.83203125" style="187" customWidth="1"/>
    <col min="6285" max="6285" width="71.5" style="187" customWidth="1"/>
    <col min="6286" max="6286" width="23.1640625" style="187" customWidth="1"/>
    <col min="6287" max="6287" width="19" style="187" customWidth="1"/>
    <col min="6288" max="6288" width="28.33203125" style="187" customWidth="1"/>
    <col min="6289" max="6289" width="43.83203125" style="187" customWidth="1"/>
    <col min="6290" max="6537" width="11.5" style="187"/>
    <col min="6538" max="6538" width="2.33203125" style="187" customWidth="1"/>
    <col min="6539" max="6539" width="7.1640625" style="187" customWidth="1"/>
    <col min="6540" max="6540" width="8.83203125" style="187" customWidth="1"/>
    <col min="6541" max="6541" width="71.5" style="187" customWidth="1"/>
    <col min="6542" max="6542" width="23.1640625" style="187" customWidth="1"/>
    <col min="6543" max="6543" width="19" style="187" customWidth="1"/>
    <col min="6544" max="6544" width="28.33203125" style="187" customWidth="1"/>
    <col min="6545" max="6545" width="43.83203125" style="187" customWidth="1"/>
    <col min="6546" max="6793" width="11.5" style="187"/>
    <col min="6794" max="6794" width="2.33203125" style="187" customWidth="1"/>
    <col min="6795" max="6795" width="7.1640625" style="187" customWidth="1"/>
    <col min="6796" max="6796" width="8.83203125" style="187" customWidth="1"/>
    <col min="6797" max="6797" width="71.5" style="187" customWidth="1"/>
    <col min="6798" max="6798" width="23.1640625" style="187" customWidth="1"/>
    <col min="6799" max="6799" width="19" style="187" customWidth="1"/>
    <col min="6800" max="6800" width="28.33203125" style="187" customWidth="1"/>
    <col min="6801" max="6801" width="43.83203125" style="187" customWidth="1"/>
    <col min="6802" max="7049" width="11.5" style="187"/>
    <col min="7050" max="7050" width="2.33203125" style="187" customWidth="1"/>
    <col min="7051" max="7051" width="7.1640625" style="187" customWidth="1"/>
    <col min="7052" max="7052" width="8.83203125" style="187" customWidth="1"/>
    <col min="7053" max="7053" width="71.5" style="187" customWidth="1"/>
    <col min="7054" max="7054" width="23.1640625" style="187" customWidth="1"/>
    <col min="7055" max="7055" width="19" style="187" customWidth="1"/>
    <col min="7056" max="7056" width="28.33203125" style="187" customWidth="1"/>
    <col min="7057" max="7057" width="43.83203125" style="187" customWidth="1"/>
    <col min="7058" max="7305" width="11.5" style="187"/>
    <col min="7306" max="7306" width="2.33203125" style="187" customWidth="1"/>
    <col min="7307" max="7307" width="7.1640625" style="187" customWidth="1"/>
    <col min="7308" max="7308" width="8.83203125" style="187" customWidth="1"/>
    <col min="7309" max="7309" width="71.5" style="187" customWidth="1"/>
    <col min="7310" max="7310" width="23.1640625" style="187" customWidth="1"/>
    <col min="7311" max="7311" width="19" style="187" customWidth="1"/>
    <col min="7312" max="7312" width="28.33203125" style="187" customWidth="1"/>
    <col min="7313" max="7313" width="43.83203125" style="187" customWidth="1"/>
    <col min="7314" max="7561" width="11.5" style="187"/>
    <col min="7562" max="7562" width="2.33203125" style="187" customWidth="1"/>
    <col min="7563" max="7563" width="7.1640625" style="187" customWidth="1"/>
    <col min="7564" max="7564" width="8.83203125" style="187" customWidth="1"/>
    <col min="7565" max="7565" width="71.5" style="187" customWidth="1"/>
    <col min="7566" max="7566" width="23.1640625" style="187" customWidth="1"/>
    <col min="7567" max="7567" width="19" style="187" customWidth="1"/>
    <col min="7568" max="7568" width="28.33203125" style="187" customWidth="1"/>
    <col min="7569" max="7569" width="43.83203125" style="187" customWidth="1"/>
    <col min="7570" max="7817" width="11.5" style="187"/>
    <col min="7818" max="7818" width="2.33203125" style="187" customWidth="1"/>
    <col min="7819" max="7819" width="7.1640625" style="187" customWidth="1"/>
    <col min="7820" max="7820" width="8.83203125" style="187" customWidth="1"/>
    <col min="7821" max="7821" width="71.5" style="187" customWidth="1"/>
    <col min="7822" max="7822" width="23.1640625" style="187" customWidth="1"/>
    <col min="7823" max="7823" width="19" style="187" customWidth="1"/>
    <col min="7824" max="7824" width="28.33203125" style="187" customWidth="1"/>
    <col min="7825" max="7825" width="43.83203125" style="187" customWidth="1"/>
    <col min="7826" max="8073" width="11.5" style="187"/>
    <col min="8074" max="8074" width="2.33203125" style="187" customWidth="1"/>
    <col min="8075" max="8075" width="7.1640625" style="187" customWidth="1"/>
    <col min="8076" max="8076" width="8.83203125" style="187" customWidth="1"/>
    <col min="8077" max="8077" width="71.5" style="187" customWidth="1"/>
    <col min="8078" max="8078" width="23.1640625" style="187" customWidth="1"/>
    <col min="8079" max="8079" width="19" style="187" customWidth="1"/>
    <col min="8080" max="8080" width="28.33203125" style="187" customWidth="1"/>
    <col min="8081" max="8081" width="43.83203125" style="187" customWidth="1"/>
    <col min="8082" max="8329" width="11.5" style="187"/>
    <col min="8330" max="8330" width="2.33203125" style="187" customWidth="1"/>
    <col min="8331" max="8331" width="7.1640625" style="187" customWidth="1"/>
    <col min="8332" max="8332" width="8.83203125" style="187" customWidth="1"/>
    <col min="8333" max="8333" width="71.5" style="187" customWidth="1"/>
    <col min="8334" max="8334" width="23.1640625" style="187" customWidth="1"/>
    <col min="8335" max="8335" width="19" style="187" customWidth="1"/>
    <col min="8336" max="8336" width="28.33203125" style="187" customWidth="1"/>
    <col min="8337" max="8337" width="43.83203125" style="187" customWidth="1"/>
    <col min="8338" max="8585" width="11.5" style="187"/>
    <col min="8586" max="8586" width="2.33203125" style="187" customWidth="1"/>
    <col min="8587" max="8587" width="7.1640625" style="187" customWidth="1"/>
    <col min="8588" max="8588" width="8.83203125" style="187" customWidth="1"/>
    <col min="8589" max="8589" width="71.5" style="187" customWidth="1"/>
    <col min="8590" max="8590" width="23.1640625" style="187" customWidth="1"/>
    <col min="8591" max="8591" width="19" style="187" customWidth="1"/>
    <col min="8592" max="8592" width="28.33203125" style="187" customWidth="1"/>
    <col min="8593" max="8593" width="43.83203125" style="187" customWidth="1"/>
    <col min="8594" max="8841" width="11.5" style="187"/>
    <col min="8842" max="8842" width="2.33203125" style="187" customWidth="1"/>
    <col min="8843" max="8843" width="7.1640625" style="187" customWidth="1"/>
    <col min="8844" max="8844" width="8.83203125" style="187" customWidth="1"/>
    <col min="8845" max="8845" width="71.5" style="187" customWidth="1"/>
    <col min="8846" max="8846" width="23.1640625" style="187" customWidth="1"/>
    <col min="8847" max="8847" width="19" style="187" customWidth="1"/>
    <col min="8848" max="8848" width="28.33203125" style="187" customWidth="1"/>
    <col min="8849" max="8849" width="43.83203125" style="187" customWidth="1"/>
    <col min="8850" max="9097" width="11.5" style="187"/>
    <col min="9098" max="9098" width="2.33203125" style="187" customWidth="1"/>
    <col min="9099" max="9099" width="7.1640625" style="187" customWidth="1"/>
    <col min="9100" max="9100" width="8.83203125" style="187" customWidth="1"/>
    <col min="9101" max="9101" width="71.5" style="187" customWidth="1"/>
    <col min="9102" max="9102" width="23.1640625" style="187" customWidth="1"/>
    <col min="9103" max="9103" width="19" style="187" customWidth="1"/>
    <col min="9104" max="9104" width="28.33203125" style="187" customWidth="1"/>
    <col min="9105" max="9105" width="43.83203125" style="187" customWidth="1"/>
    <col min="9106" max="9353" width="11.5" style="187"/>
    <col min="9354" max="9354" width="2.33203125" style="187" customWidth="1"/>
    <col min="9355" max="9355" width="7.1640625" style="187" customWidth="1"/>
    <col min="9356" max="9356" width="8.83203125" style="187" customWidth="1"/>
    <col min="9357" max="9357" width="71.5" style="187" customWidth="1"/>
    <col min="9358" max="9358" width="23.1640625" style="187" customWidth="1"/>
    <col min="9359" max="9359" width="19" style="187" customWidth="1"/>
    <col min="9360" max="9360" width="28.33203125" style="187" customWidth="1"/>
    <col min="9361" max="9361" width="43.83203125" style="187" customWidth="1"/>
    <col min="9362" max="9609" width="11.5" style="187"/>
    <col min="9610" max="9610" width="2.33203125" style="187" customWidth="1"/>
    <col min="9611" max="9611" width="7.1640625" style="187" customWidth="1"/>
    <col min="9612" max="9612" width="8.83203125" style="187" customWidth="1"/>
    <col min="9613" max="9613" width="71.5" style="187" customWidth="1"/>
    <col min="9614" max="9614" width="23.1640625" style="187" customWidth="1"/>
    <col min="9615" max="9615" width="19" style="187" customWidth="1"/>
    <col min="9616" max="9616" width="28.33203125" style="187" customWidth="1"/>
    <col min="9617" max="9617" width="43.83203125" style="187" customWidth="1"/>
    <col min="9618" max="9865" width="11.5" style="187"/>
    <col min="9866" max="9866" width="2.33203125" style="187" customWidth="1"/>
    <col min="9867" max="9867" width="7.1640625" style="187" customWidth="1"/>
    <col min="9868" max="9868" width="8.83203125" style="187" customWidth="1"/>
    <col min="9869" max="9869" width="71.5" style="187" customWidth="1"/>
    <col min="9870" max="9870" width="23.1640625" style="187" customWidth="1"/>
    <col min="9871" max="9871" width="19" style="187" customWidth="1"/>
    <col min="9872" max="9872" width="28.33203125" style="187" customWidth="1"/>
    <col min="9873" max="9873" width="43.83203125" style="187" customWidth="1"/>
    <col min="9874" max="10121" width="11.5" style="187"/>
    <col min="10122" max="10122" width="2.33203125" style="187" customWidth="1"/>
    <col min="10123" max="10123" width="7.1640625" style="187" customWidth="1"/>
    <col min="10124" max="10124" width="8.83203125" style="187" customWidth="1"/>
    <col min="10125" max="10125" width="71.5" style="187" customWidth="1"/>
    <col min="10126" max="10126" width="23.1640625" style="187" customWidth="1"/>
    <col min="10127" max="10127" width="19" style="187" customWidth="1"/>
    <col min="10128" max="10128" width="28.33203125" style="187" customWidth="1"/>
    <col min="10129" max="10129" width="43.83203125" style="187" customWidth="1"/>
    <col min="10130" max="10377" width="11.5" style="187"/>
    <col min="10378" max="10378" width="2.33203125" style="187" customWidth="1"/>
    <col min="10379" max="10379" width="7.1640625" style="187" customWidth="1"/>
    <col min="10380" max="10380" width="8.83203125" style="187" customWidth="1"/>
    <col min="10381" max="10381" width="71.5" style="187" customWidth="1"/>
    <col min="10382" max="10382" width="23.1640625" style="187" customWidth="1"/>
    <col min="10383" max="10383" width="19" style="187" customWidth="1"/>
    <col min="10384" max="10384" width="28.33203125" style="187" customWidth="1"/>
    <col min="10385" max="10385" width="43.83203125" style="187" customWidth="1"/>
    <col min="10386" max="10633" width="11.5" style="187"/>
    <col min="10634" max="10634" width="2.33203125" style="187" customWidth="1"/>
    <col min="10635" max="10635" width="7.1640625" style="187" customWidth="1"/>
    <col min="10636" max="10636" width="8.83203125" style="187" customWidth="1"/>
    <col min="10637" max="10637" width="71.5" style="187" customWidth="1"/>
    <col min="10638" max="10638" width="23.1640625" style="187" customWidth="1"/>
    <col min="10639" max="10639" width="19" style="187" customWidth="1"/>
    <col min="10640" max="10640" width="28.33203125" style="187" customWidth="1"/>
    <col min="10641" max="10641" width="43.83203125" style="187" customWidth="1"/>
    <col min="10642" max="10889" width="11.5" style="187"/>
    <col min="10890" max="10890" width="2.33203125" style="187" customWidth="1"/>
    <col min="10891" max="10891" width="7.1640625" style="187" customWidth="1"/>
    <col min="10892" max="10892" width="8.83203125" style="187" customWidth="1"/>
    <col min="10893" max="10893" width="71.5" style="187" customWidth="1"/>
    <col min="10894" max="10894" width="23.1640625" style="187" customWidth="1"/>
    <col min="10895" max="10895" width="19" style="187" customWidth="1"/>
    <col min="10896" max="10896" width="28.33203125" style="187" customWidth="1"/>
    <col min="10897" max="10897" width="43.83203125" style="187" customWidth="1"/>
    <col min="10898" max="11145" width="11.5" style="187"/>
    <col min="11146" max="11146" width="2.33203125" style="187" customWidth="1"/>
    <col min="11147" max="11147" width="7.1640625" style="187" customWidth="1"/>
    <col min="11148" max="11148" width="8.83203125" style="187" customWidth="1"/>
    <col min="11149" max="11149" width="71.5" style="187" customWidth="1"/>
    <col min="11150" max="11150" width="23.1640625" style="187" customWidth="1"/>
    <col min="11151" max="11151" width="19" style="187" customWidth="1"/>
    <col min="11152" max="11152" width="28.33203125" style="187" customWidth="1"/>
    <col min="11153" max="11153" width="43.83203125" style="187" customWidth="1"/>
    <col min="11154" max="11401" width="11.5" style="187"/>
    <col min="11402" max="11402" width="2.33203125" style="187" customWidth="1"/>
    <col min="11403" max="11403" width="7.1640625" style="187" customWidth="1"/>
    <col min="11404" max="11404" width="8.83203125" style="187" customWidth="1"/>
    <col min="11405" max="11405" width="71.5" style="187" customWidth="1"/>
    <col min="11406" max="11406" width="23.1640625" style="187" customWidth="1"/>
    <col min="11407" max="11407" width="19" style="187" customWidth="1"/>
    <col min="11408" max="11408" width="28.33203125" style="187" customWidth="1"/>
    <col min="11409" max="11409" width="43.83203125" style="187" customWidth="1"/>
    <col min="11410" max="11657" width="11.5" style="187"/>
    <col min="11658" max="11658" width="2.33203125" style="187" customWidth="1"/>
    <col min="11659" max="11659" width="7.1640625" style="187" customWidth="1"/>
    <col min="11660" max="11660" width="8.83203125" style="187" customWidth="1"/>
    <col min="11661" max="11661" width="71.5" style="187" customWidth="1"/>
    <col min="11662" max="11662" width="23.1640625" style="187" customWidth="1"/>
    <col min="11663" max="11663" width="19" style="187" customWidth="1"/>
    <col min="11664" max="11664" width="28.33203125" style="187" customWidth="1"/>
    <col min="11665" max="11665" width="43.83203125" style="187" customWidth="1"/>
    <col min="11666" max="11913" width="11.5" style="187"/>
    <col min="11914" max="11914" width="2.33203125" style="187" customWidth="1"/>
    <col min="11915" max="11915" width="7.1640625" style="187" customWidth="1"/>
    <col min="11916" max="11916" width="8.83203125" style="187" customWidth="1"/>
    <col min="11917" max="11917" width="71.5" style="187" customWidth="1"/>
    <col min="11918" max="11918" width="23.1640625" style="187" customWidth="1"/>
    <col min="11919" max="11919" width="19" style="187" customWidth="1"/>
    <col min="11920" max="11920" width="28.33203125" style="187" customWidth="1"/>
    <col min="11921" max="11921" width="43.83203125" style="187" customWidth="1"/>
    <col min="11922" max="12169" width="11.5" style="187"/>
    <col min="12170" max="12170" width="2.33203125" style="187" customWidth="1"/>
    <col min="12171" max="12171" width="7.1640625" style="187" customWidth="1"/>
    <col min="12172" max="12172" width="8.83203125" style="187" customWidth="1"/>
    <col min="12173" max="12173" width="71.5" style="187" customWidth="1"/>
    <col min="12174" max="12174" width="23.1640625" style="187" customWidth="1"/>
    <col min="12175" max="12175" width="19" style="187" customWidth="1"/>
    <col min="12176" max="12176" width="28.33203125" style="187" customWidth="1"/>
    <col min="12177" max="12177" width="43.83203125" style="187" customWidth="1"/>
    <col min="12178" max="12425" width="11.5" style="187"/>
    <col min="12426" max="12426" width="2.33203125" style="187" customWidth="1"/>
    <col min="12427" max="12427" width="7.1640625" style="187" customWidth="1"/>
    <col min="12428" max="12428" width="8.83203125" style="187" customWidth="1"/>
    <col min="12429" max="12429" width="71.5" style="187" customWidth="1"/>
    <col min="12430" max="12430" width="23.1640625" style="187" customWidth="1"/>
    <col min="12431" max="12431" width="19" style="187" customWidth="1"/>
    <col min="12432" max="12432" width="28.33203125" style="187" customWidth="1"/>
    <col min="12433" max="12433" width="43.83203125" style="187" customWidth="1"/>
    <col min="12434" max="12681" width="11.5" style="187"/>
    <col min="12682" max="12682" width="2.33203125" style="187" customWidth="1"/>
    <col min="12683" max="12683" width="7.1640625" style="187" customWidth="1"/>
    <col min="12684" max="12684" width="8.83203125" style="187" customWidth="1"/>
    <col min="12685" max="12685" width="71.5" style="187" customWidth="1"/>
    <col min="12686" max="12686" width="23.1640625" style="187" customWidth="1"/>
    <col min="12687" max="12687" width="19" style="187" customWidth="1"/>
    <col min="12688" max="12688" width="28.33203125" style="187" customWidth="1"/>
    <col min="12689" max="12689" width="43.83203125" style="187" customWidth="1"/>
    <col min="12690" max="12937" width="11.5" style="187"/>
    <col min="12938" max="12938" width="2.33203125" style="187" customWidth="1"/>
    <col min="12939" max="12939" width="7.1640625" style="187" customWidth="1"/>
    <col min="12940" max="12940" width="8.83203125" style="187" customWidth="1"/>
    <col min="12941" max="12941" width="71.5" style="187" customWidth="1"/>
    <col min="12942" max="12942" width="23.1640625" style="187" customWidth="1"/>
    <col min="12943" max="12943" width="19" style="187" customWidth="1"/>
    <col min="12944" max="12944" width="28.33203125" style="187" customWidth="1"/>
    <col min="12945" max="12945" width="43.83203125" style="187" customWidth="1"/>
    <col min="12946" max="13193" width="11.5" style="187"/>
    <col min="13194" max="13194" width="2.33203125" style="187" customWidth="1"/>
    <col min="13195" max="13195" width="7.1640625" style="187" customWidth="1"/>
    <col min="13196" max="13196" width="8.83203125" style="187" customWidth="1"/>
    <col min="13197" max="13197" width="71.5" style="187" customWidth="1"/>
    <col min="13198" max="13198" width="23.1640625" style="187" customWidth="1"/>
    <col min="13199" max="13199" width="19" style="187" customWidth="1"/>
    <col min="13200" max="13200" width="28.33203125" style="187" customWidth="1"/>
    <col min="13201" max="13201" width="43.83203125" style="187" customWidth="1"/>
    <col min="13202" max="13449" width="11.5" style="187"/>
    <col min="13450" max="13450" width="2.33203125" style="187" customWidth="1"/>
    <col min="13451" max="13451" width="7.1640625" style="187" customWidth="1"/>
    <col min="13452" max="13452" width="8.83203125" style="187" customWidth="1"/>
    <col min="13453" max="13453" width="71.5" style="187" customWidth="1"/>
    <col min="13454" max="13454" width="23.1640625" style="187" customWidth="1"/>
    <col min="13455" max="13455" width="19" style="187" customWidth="1"/>
    <col min="13456" max="13456" width="28.33203125" style="187" customWidth="1"/>
    <col min="13457" max="13457" width="43.83203125" style="187" customWidth="1"/>
    <col min="13458" max="13705" width="11.5" style="187"/>
    <col min="13706" max="13706" width="2.33203125" style="187" customWidth="1"/>
    <col min="13707" max="13707" width="7.1640625" style="187" customWidth="1"/>
    <col min="13708" max="13708" width="8.83203125" style="187" customWidth="1"/>
    <col min="13709" max="13709" width="71.5" style="187" customWidth="1"/>
    <col min="13710" max="13710" width="23.1640625" style="187" customWidth="1"/>
    <col min="13711" max="13711" width="19" style="187" customWidth="1"/>
    <col min="13712" max="13712" width="28.33203125" style="187" customWidth="1"/>
    <col min="13713" max="13713" width="43.83203125" style="187" customWidth="1"/>
    <col min="13714" max="13961" width="11.5" style="187"/>
    <col min="13962" max="13962" width="2.33203125" style="187" customWidth="1"/>
    <col min="13963" max="13963" width="7.1640625" style="187" customWidth="1"/>
    <col min="13964" max="13964" width="8.83203125" style="187" customWidth="1"/>
    <col min="13965" max="13965" width="71.5" style="187" customWidth="1"/>
    <col min="13966" max="13966" width="23.1640625" style="187" customWidth="1"/>
    <col min="13967" max="13967" width="19" style="187" customWidth="1"/>
    <col min="13968" max="13968" width="28.33203125" style="187" customWidth="1"/>
    <col min="13969" max="13969" width="43.83203125" style="187" customWidth="1"/>
    <col min="13970" max="14217" width="11.5" style="187"/>
    <col min="14218" max="14218" width="2.33203125" style="187" customWidth="1"/>
    <col min="14219" max="14219" width="7.1640625" style="187" customWidth="1"/>
    <col min="14220" max="14220" width="8.83203125" style="187" customWidth="1"/>
    <col min="14221" max="14221" width="71.5" style="187" customWidth="1"/>
    <col min="14222" max="14222" width="23.1640625" style="187" customWidth="1"/>
    <col min="14223" max="14223" width="19" style="187" customWidth="1"/>
    <col min="14224" max="14224" width="28.33203125" style="187" customWidth="1"/>
    <col min="14225" max="14225" width="43.83203125" style="187" customWidth="1"/>
    <col min="14226" max="14473" width="11.5" style="187"/>
    <col min="14474" max="14474" width="2.33203125" style="187" customWidth="1"/>
    <col min="14475" max="14475" width="7.1640625" style="187" customWidth="1"/>
    <col min="14476" max="14476" width="8.83203125" style="187" customWidth="1"/>
    <col min="14477" max="14477" width="71.5" style="187" customWidth="1"/>
    <col min="14478" max="14478" width="23.1640625" style="187" customWidth="1"/>
    <col min="14479" max="14479" width="19" style="187" customWidth="1"/>
    <col min="14480" max="14480" width="28.33203125" style="187" customWidth="1"/>
    <col min="14481" max="14481" width="43.83203125" style="187" customWidth="1"/>
    <col min="14482" max="14729" width="11.5" style="187"/>
    <col min="14730" max="14730" width="2.33203125" style="187" customWidth="1"/>
    <col min="14731" max="14731" width="7.1640625" style="187" customWidth="1"/>
    <col min="14732" max="14732" width="8.83203125" style="187" customWidth="1"/>
    <col min="14733" max="14733" width="71.5" style="187" customWidth="1"/>
    <col min="14734" max="14734" width="23.1640625" style="187" customWidth="1"/>
    <col min="14735" max="14735" width="19" style="187" customWidth="1"/>
    <col min="14736" max="14736" width="28.33203125" style="187" customWidth="1"/>
    <col min="14737" max="14737" width="43.83203125" style="187" customWidth="1"/>
    <col min="14738" max="14985" width="11.5" style="187"/>
    <col min="14986" max="14986" width="2.33203125" style="187" customWidth="1"/>
    <col min="14987" max="14987" width="7.1640625" style="187" customWidth="1"/>
    <col min="14988" max="14988" width="8.83203125" style="187" customWidth="1"/>
    <col min="14989" max="14989" width="71.5" style="187" customWidth="1"/>
    <col min="14990" max="14990" width="23.1640625" style="187" customWidth="1"/>
    <col min="14991" max="14991" width="19" style="187" customWidth="1"/>
    <col min="14992" max="14992" width="28.33203125" style="187" customWidth="1"/>
    <col min="14993" max="14993" width="43.83203125" style="187" customWidth="1"/>
    <col min="14994" max="15241" width="11.5" style="187"/>
    <col min="15242" max="15242" width="2.33203125" style="187" customWidth="1"/>
    <col min="15243" max="15243" width="7.1640625" style="187" customWidth="1"/>
    <col min="15244" max="15244" width="8.83203125" style="187" customWidth="1"/>
    <col min="15245" max="15245" width="71.5" style="187" customWidth="1"/>
    <col min="15246" max="15246" width="23.1640625" style="187" customWidth="1"/>
    <col min="15247" max="15247" width="19" style="187" customWidth="1"/>
    <col min="15248" max="15248" width="28.33203125" style="187" customWidth="1"/>
    <col min="15249" max="15249" width="43.83203125" style="187" customWidth="1"/>
    <col min="15250" max="15497" width="11.5" style="187"/>
    <col min="15498" max="15498" width="2.33203125" style="187" customWidth="1"/>
    <col min="15499" max="15499" width="7.1640625" style="187" customWidth="1"/>
    <col min="15500" max="15500" width="8.83203125" style="187" customWidth="1"/>
    <col min="15501" max="15501" width="71.5" style="187" customWidth="1"/>
    <col min="15502" max="15502" width="23.1640625" style="187" customWidth="1"/>
    <col min="15503" max="15503" width="19" style="187" customWidth="1"/>
    <col min="15504" max="15504" width="28.33203125" style="187" customWidth="1"/>
    <col min="15505" max="15505" width="43.83203125" style="187" customWidth="1"/>
    <col min="15506" max="15753" width="11.5" style="187"/>
    <col min="15754" max="15754" width="2.33203125" style="187" customWidth="1"/>
    <col min="15755" max="15755" width="7.1640625" style="187" customWidth="1"/>
    <col min="15756" max="15756" width="8.83203125" style="187" customWidth="1"/>
    <col min="15757" max="15757" width="71.5" style="187" customWidth="1"/>
    <col min="15758" max="15758" width="23.1640625" style="187" customWidth="1"/>
    <col min="15759" max="15759" width="19" style="187" customWidth="1"/>
    <col min="15760" max="15760" width="28.33203125" style="187" customWidth="1"/>
    <col min="15761" max="15761" width="43.83203125" style="187" customWidth="1"/>
    <col min="15762" max="16384" width="11.5" style="187"/>
  </cols>
  <sheetData>
    <row r="1" spans="2:94" ht="17" thickBot="1"/>
    <row r="2" spans="2:94" ht="16.5" customHeight="1" thickTop="1" thickBot="1">
      <c r="M2" s="768">
        <v>1</v>
      </c>
      <c r="N2" s="770" t="s">
        <v>3</v>
      </c>
      <c r="O2" s="771"/>
      <c r="P2" s="770" t="str">
        <f>VLOOKUP(M2,LISTA_OFERENTES,2,FALSE)</f>
        <v>KER INGENIERIA S.A.S.</v>
      </c>
      <c r="Q2" s="774"/>
      <c r="R2" s="774"/>
      <c r="S2" s="774"/>
      <c r="T2" s="774"/>
      <c r="U2" s="774"/>
      <c r="V2" s="771"/>
      <c r="AH2" s="768">
        <v>2</v>
      </c>
      <c r="AI2" s="770" t="s">
        <v>3</v>
      </c>
      <c r="AJ2" s="771"/>
      <c r="AK2" s="770" t="str">
        <f>VLOOKUP(AH2,LISTA_OFERENTES,2,FALSE)</f>
        <v>UNIÓN TEMPORAL SUPERVISOR 2021</v>
      </c>
      <c r="AL2" s="774"/>
      <c r="AM2" s="774"/>
      <c r="AN2" s="774"/>
      <c r="AO2" s="774"/>
      <c r="AP2" s="774"/>
      <c r="AQ2" s="771"/>
      <c r="AR2" s="71"/>
      <c r="AS2" s="71"/>
      <c r="AT2" s="71"/>
      <c r="AU2" s="71"/>
      <c r="AV2" s="71"/>
      <c r="AW2" s="71"/>
      <c r="AX2" s="71"/>
      <c r="AY2" s="71"/>
      <c r="AZ2" s="71"/>
      <c r="BC2" s="768">
        <v>3</v>
      </c>
      <c r="BD2" s="770" t="s">
        <v>3</v>
      </c>
      <c r="BE2" s="771"/>
      <c r="BF2" s="770" t="str">
        <f>VLOOKUP(BC2,LISTA_OFERENTES,2,FALSE)</f>
        <v>PreVeo S.A.S.</v>
      </c>
      <c r="BG2" s="774"/>
      <c r="BH2" s="774"/>
      <c r="BI2" s="774"/>
      <c r="BJ2" s="774"/>
      <c r="BK2" s="774"/>
      <c r="BL2" s="771"/>
      <c r="BM2" s="71"/>
      <c r="BN2" s="71"/>
      <c r="BO2" s="71"/>
      <c r="BP2" s="71"/>
      <c r="BQ2" s="71"/>
      <c r="BR2" s="71"/>
      <c r="BS2" s="71"/>
      <c r="BT2" s="71"/>
      <c r="BU2" s="71"/>
      <c r="BX2" s="768">
        <v>4</v>
      </c>
      <c r="BY2" s="770" t="s">
        <v>3</v>
      </c>
      <c r="BZ2" s="771"/>
      <c r="CA2" s="770" t="str">
        <f>VLOOKUP(BX2,LISTA_OFERENTES,2,FALSE)</f>
        <v>INTERVE S.A.S.</v>
      </c>
      <c r="CB2" s="774"/>
      <c r="CC2" s="774"/>
      <c r="CD2" s="774"/>
      <c r="CE2" s="774"/>
      <c r="CF2" s="774"/>
      <c r="CG2" s="771"/>
      <c r="CH2" s="71"/>
      <c r="CI2" s="71"/>
      <c r="CJ2" s="71"/>
      <c r="CK2" s="71"/>
      <c r="CL2" s="71"/>
      <c r="CM2" s="71"/>
      <c r="CN2" s="71"/>
      <c r="CO2" s="71"/>
      <c r="CP2" s="71"/>
    </row>
    <row r="3" spans="2:94" ht="19.5" customHeight="1" thickTop="1" thickBot="1">
      <c r="B3" s="821" t="s">
        <v>210</v>
      </c>
      <c r="C3" s="821"/>
      <c r="D3" s="821"/>
      <c r="E3" s="821"/>
      <c r="F3" s="821"/>
      <c r="G3" s="821"/>
      <c r="H3" s="821"/>
      <c r="I3" s="821"/>
      <c r="J3" s="821"/>
      <c r="K3" s="821"/>
      <c r="M3" s="769"/>
      <c r="N3" s="772"/>
      <c r="O3" s="773"/>
      <c r="P3" s="772"/>
      <c r="Q3" s="775"/>
      <c r="R3" s="775"/>
      <c r="S3" s="775"/>
      <c r="T3" s="775"/>
      <c r="U3" s="775"/>
      <c r="V3" s="773"/>
      <c r="W3" s="776" t="s">
        <v>94</v>
      </c>
      <c r="X3" s="776" t="s">
        <v>95</v>
      </c>
      <c r="Y3" s="776" t="s">
        <v>96</v>
      </c>
      <c r="Z3" s="776" t="s">
        <v>97</v>
      </c>
      <c r="AA3" s="788" t="s">
        <v>98</v>
      </c>
      <c r="AB3" s="788" t="s">
        <v>99</v>
      </c>
      <c r="AC3" s="776" t="s">
        <v>64</v>
      </c>
      <c r="AD3" s="776" t="s">
        <v>65</v>
      </c>
      <c r="AE3" s="776" t="s">
        <v>66</v>
      </c>
      <c r="AH3" s="769"/>
      <c r="AI3" s="772"/>
      <c r="AJ3" s="773"/>
      <c r="AK3" s="772"/>
      <c r="AL3" s="775"/>
      <c r="AM3" s="775"/>
      <c r="AN3" s="775"/>
      <c r="AO3" s="775"/>
      <c r="AP3" s="775"/>
      <c r="AQ3" s="773"/>
      <c r="AR3" s="776" t="s">
        <v>94</v>
      </c>
      <c r="AS3" s="776" t="s">
        <v>95</v>
      </c>
      <c r="AT3" s="776" t="s">
        <v>96</v>
      </c>
      <c r="AU3" s="776" t="s">
        <v>97</v>
      </c>
      <c r="AV3" s="788" t="s">
        <v>98</v>
      </c>
      <c r="AW3" s="788" t="s">
        <v>99</v>
      </c>
      <c r="AX3" s="776" t="s">
        <v>64</v>
      </c>
      <c r="AY3" s="776" t="s">
        <v>65</v>
      </c>
      <c r="AZ3" s="776" t="s">
        <v>66</v>
      </c>
      <c r="BC3" s="769"/>
      <c r="BD3" s="772"/>
      <c r="BE3" s="773"/>
      <c r="BF3" s="772"/>
      <c r="BG3" s="775"/>
      <c r="BH3" s="775"/>
      <c r="BI3" s="775"/>
      <c r="BJ3" s="775"/>
      <c r="BK3" s="775"/>
      <c r="BL3" s="773"/>
      <c r="BM3" s="776" t="s">
        <v>94</v>
      </c>
      <c r="BN3" s="776" t="s">
        <v>95</v>
      </c>
      <c r="BO3" s="776" t="s">
        <v>96</v>
      </c>
      <c r="BP3" s="776" t="s">
        <v>97</v>
      </c>
      <c r="BQ3" s="788" t="s">
        <v>98</v>
      </c>
      <c r="BR3" s="788" t="s">
        <v>99</v>
      </c>
      <c r="BS3" s="776" t="s">
        <v>64</v>
      </c>
      <c r="BT3" s="776" t="s">
        <v>65</v>
      </c>
      <c r="BU3" s="776" t="s">
        <v>66</v>
      </c>
      <c r="BX3" s="769"/>
      <c r="BY3" s="772"/>
      <c r="BZ3" s="773"/>
      <c r="CA3" s="772"/>
      <c r="CB3" s="775"/>
      <c r="CC3" s="775"/>
      <c r="CD3" s="775"/>
      <c r="CE3" s="775"/>
      <c r="CF3" s="775"/>
      <c r="CG3" s="773"/>
      <c r="CH3" s="776" t="s">
        <v>94</v>
      </c>
      <c r="CI3" s="776" t="s">
        <v>95</v>
      </c>
      <c r="CJ3" s="776" t="s">
        <v>96</v>
      </c>
      <c r="CK3" s="776" t="s">
        <v>97</v>
      </c>
      <c r="CL3" s="788" t="s">
        <v>98</v>
      </c>
      <c r="CM3" s="788" t="s">
        <v>99</v>
      </c>
      <c r="CN3" s="776" t="s">
        <v>64</v>
      </c>
      <c r="CO3" s="776" t="s">
        <v>65</v>
      </c>
      <c r="CP3" s="776" t="s">
        <v>66</v>
      </c>
    </row>
    <row r="4" spans="2:94" ht="37.5" customHeight="1" thickTop="1" thickBot="1">
      <c r="B4" s="794" t="s">
        <v>63</v>
      </c>
      <c r="C4" s="795"/>
      <c r="D4" s="796"/>
      <c r="E4" s="822" t="s">
        <v>0</v>
      </c>
      <c r="F4" s="823"/>
      <c r="G4" s="823"/>
      <c r="H4" s="823"/>
      <c r="I4" s="823"/>
      <c r="J4" s="823"/>
      <c r="K4" s="824"/>
      <c r="M4" s="794"/>
      <c r="N4" s="795"/>
      <c r="O4" s="796"/>
      <c r="P4" s="822" t="s">
        <v>0</v>
      </c>
      <c r="Q4" s="823"/>
      <c r="R4" s="823"/>
      <c r="S4" s="823"/>
      <c r="T4" s="823"/>
      <c r="U4" s="823"/>
      <c r="V4" s="824"/>
      <c r="W4" s="777"/>
      <c r="X4" s="777"/>
      <c r="Y4" s="777"/>
      <c r="Z4" s="777"/>
      <c r="AA4" s="789"/>
      <c r="AB4" s="789"/>
      <c r="AC4" s="777"/>
      <c r="AD4" s="777"/>
      <c r="AE4" s="777"/>
      <c r="AH4" s="794"/>
      <c r="AI4" s="795"/>
      <c r="AJ4" s="796"/>
      <c r="AK4" s="822" t="s">
        <v>0</v>
      </c>
      <c r="AL4" s="823"/>
      <c r="AM4" s="823"/>
      <c r="AN4" s="823"/>
      <c r="AO4" s="823"/>
      <c r="AP4" s="823"/>
      <c r="AQ4" s="824"/>
      <c r="AR4" s="777"/>
      <c r="AS4" s="777"/>
      <c r="AT4" s="777"/>
      <c r="AU4" s="777"/>
      <c r="AV4" s="789"/>
      <c r="AW4" s="789"/>
      <c r="AX4" s="777"/>
      <c r="AY4" s="777"/>
      <c r="AZ4" s="777"/>
      <c r="BC4" s="794"/>
      <c r="BD4" s="795"/>
      <c r="BE4" s="796"/>
      <c r="BF4" s="822" t="s">
        <v>0</v>
      </c>
      <c r="BG4" s="823"/>
      <c r="BH4" s="823"/>
      <c r="BI4" s="823"/>
      <c r="BJ4" s="823"/>
      <c r="BK4" s="823"/>
      <c r="BL4" s="824"/>
      <c r="BM4" s="777"/>
      <c r="BN4" s="777"/>
      <c r="BO4" s="777"/>
      <c r="BP4" s="777"/>
      <c r="BQ4" s="789"/>
      <c r="BR4" s="789"/>
      <c r="BS4" s="777"/>
      <c r="BT4" s="777"/>
      <c r="BU4" s="777"/>
      <c r="BX4" s="794"/>
      <c r="BY4" s="795"/>
      <c r="BZ4" s="796"/>
      <c r="CA4" s="822" t="s">
        <v>0</v>
      </c>
      <c r="CB4" s="823"/>
      <c r="CC4" s="823"/>
      <c r="CD4" s="823"/>
      <c r="CE4" s="823"/>
      <c r="CF4" s="823"/>
      <c r="CG4" s="824"/>
      <c r="CH4" s="777"/>
      <c r="CI4" s="777"/>
      <c r="CJ4" s="777"/>
      <c r="CK4" s="777"/>
      <c r="CL4" s="789"/>
      <c r="CM4" s="789"/>
      <c r="CN4" s="777"/>
      <c r="CO4" s="777"/>
      <c r="CP4" s="777"/>
    </row>
    <row r="5" spans="2:94" ht="19.5" customHeight="1" thickTop="1">
      <c r="B5" s="797"/>
      <c r="C5" s="798"/>
      <c r="D5" s="799"/>
      <c r="E5" s="825"/>
      <c r="F5" s="826"/>
      <c r="G5" s="826"/>
      <c r="H5" s="827"/>
      <c r="I5" s="827"/>
      <c r="J5" s="827"/>
      <c r="K5" s="828"/>
      <c r="M5" s="797"/>
      <c r="N5" s="798"/>
      <c r="O5" s="799"/>
      <c r="P5" s="839"/>
      <c r="Q5" s="840"/>
      <c r="R5" s="840"/>
      <c r="S5" s="840"/>
      <c r="T5" s="840"/>
      <c r="U5" s="840"/>
      <c r="V5" s="841"/>
      <c r="W5" s="777"/>
      <c r="X5" s="777"/>
      <c r="Y5" s="777"/>
      <c r="Z5" s="777"/>
      <c r="AA5" s="789"/>
      <c r="AB5" s="789"/>
      <c r="AC5" s="777"/>
      <c r="AD5" s="777"/>
      <c r="AE5" s="777"/>
      <c r="AH5" s="797"/>
      <c r="AI5" s="798"/>
      <c r="AJ5" s="799"/>
      <c r="AK5" s="839"/>
      <c r="AL5" s="840"/>
      <c r="AM5" s="840"/>
      <c r="AN5" s="840"/>
      <c r="AO5" s="840"/>
      <c r="AP5" s="840"/>
      <c r="AQ5" s="841"/>
      <c r="AR5" s="777"/>
      <c r="AS5" s="777"/>
      <c r="AT5" s="777"/>
      <c r="AU5" s="777"/>
      <c r="AV5" s="789"/>
      <c r="AW5" s="789"/>
      <c r="AX5" s="777"/>
      <c r="AY5" s="777"/>
      <c r="AZ5" s="777"/>
      <c r="BC5" s="797"/>
      <c r="BD5" s="798"/>
      <c r="BE5" s="799"/>
      <c r="BF5" s="839"/>
      <c r="BG5" s="840"/>
      <c r="BH5" s="840"/>
      <c r="BI5" s="840"/>
      <c r="BJ5" s="840"/>
      <c r="BK5" s="840"/>
      <c r="BL5" s="841"/>
      <c r="BM5" s="777"/>
      <c r="BN5" s="777"/>
      <c r="BO5" s="777"/>
      <c r="BP5" s="777"/>
      <c r="BQ5" s="789"/>
      <c r="BR5" s="789"/>
      <c r="BS5" s="777"/>
      <c r="BT5" s="777"/>
      <c r="BU5" s="777"/>
      <c r="BX5" s="797"/>
      <c r="BY5" s="798"/>
      <c r="BZ5" s="799"/>
      <c r="CA5" s="839"/>
      <c r="CB5" s="840"/>
      <c r="CC5" s="840"/>
      <c r="CD5" s="840"/>
      <c r="CE5" s="840"/>
      <c r="CF5" s="840"/>
      <c r="CG5" s="841"/>
      <c r="CH5" s="777"/>
      <c r="CI5" s="777"/>
      <c r="CJ5" s="777"/>
      <c r="CK5" s="777"/>
      <c r="CL5" s="789"/>
      <c r="CM5" s="789"/>
      <c r="CN5" s="777"/>
      <c r="CO5" s="777"/>
      <c r="CP5" s="777"/>
    </row>
    <row r="6" spans="2:94" ht="19.5" customHeight="1" thickBot="1">
      <c r="B6" s="797"/>
      <c r="C6" s="798"/>
      <c r="D6" s="799"/>
      <c r="E6" s="829"/>
      <c r="F6" s="830"/>
      <c r="G6" s="830"/>
      <c r="H6" s="831"/>
      <c r="I6" s="831"/>
      <c r="J6" s="831"/>
      <c r="K6" s="832"/>
      <c r="M6" s="797"/>
      <c r="N6" s="798"/>
      <c r="O6" s="799"/>
      <c r="P6" s="842"/>
      <c r="Q6" s="843"/>
      <c r="R6" s="843"/>
      <c r="S6" s="843"/>
      <c r="T6" s="843"/>
      <c r="U6" s="843"/>
      <c r="V6" s="844"/>
      <c r="W6" s="777"/>
      <c r="X6" s="777"/>
      <c r="Y6" s="777"/>
      <c r="Z6" s="777"/>
      <c r="AA6" s="789"/>
      <c r="AB6" s="789"/>
      <c r="AC6" s="777"/>
      <c r="AD6" s="777"/>
      <c r="AE6" s="777"/>
      <c r="AH6" s="797"/>
      <c r="AI6" s="798"/>
      <c r="AJ6" s="799"/>
      <c r="AK6" s="842"/>
      <c r="AL6" s="843"/>
      <c r="AM6" s="843"/>
      <c r="AN6" s="843"/>
      <c r="AO6" s="843"/>
      <c r="AP6" s="843"/>
      <c r="AQ6" s="844"/>
      <c r="AR6" s="777"/>
      <c r="AS6" s="777"/>
      <c r="AT6" s="777"/>
      <c r="AU6" s="777"/>
      <c r="AV6" s="789"/>
      <c r="AW6" s="789"/>
      <c r="AX6" s="777"/>
      <c r="AY6" s="777"/>
      <c r="AZ6" s="777"/>
      <c r="BC6" s="797"/>
      <c r="BD6" s="798"/>
      <c r="BE6" s="799"/>
      <c r="BF6" s="842"/>
      <c r="BG6" s="843"/>
      <c r="BH6" s="843"/>
      <c r="BI6" s="843"/>
      <c r="BJ6" s="843"/>
      <c r="BK6" s="843"/>
      <c r="BL6" s="844"/>
      <c r="BM6" s="777"/>
      <c r="BN6" s="777"/>
      <c r="BO6" s="777"/>
      <c r="BP6" s="777"/>
      <c r="BQ6" s="789"/>
      <c r="BR6" s="789"/>
      <c r="BS6" s="777"/>
      <c r="BT6" s="777"/>
      <c r="BU6" s="777"/>
      <c r="BX6" s="797"/>
      <c r="BY6" s="798"/>
      <c r="BZ6" s="799"/>
      <c r="CA6" s="842"/>
      <c r="CB6" s="843"/>
      <c r="CC6" s="843"/>
      <c r="CD6" s="843"/>
      <c r="CE6" s="843"/>
      <c r="CF6" s="843"/>
      <c r="CG6" s="844"/>
      <c r="CH6" s="777"/>
      <c r="CI6" s="777"/>
      <c r="CJ6" s="777"/>
      <c r="CK6" s="777"/>
      <c r="CL6" s="789"/>
      <c r="CM6" s="789"/>
      <c r="CN6" s="777"/>
      <c r="CO6" s="777"/>
      <c r="CP6" s="777"/>
    </row>
    <row r="7" spans="2:94" ht="19.5" customHeight="1" thickTop="1">
      <c r="B7" s="797"/>
      <c r="C7" s="798"/>
      <c r="D7" s="799"/>
      <c r="E7" s="833"/>
      <c r="F7" s="834"/>
      <c r="G7" s="834"/>
      <c r="H7" s="834"/>
      <c r="I7" s="834"/>
      <c r="J7" s="834"/>
      <c r="K7" s="835"/>
      <c r="M7" s="797"/>
      <c r="N7" s="798"/>
      <c r="O7" s="799"/>
      <c r="P7" s="83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v>
      </c>
      <c r="Q7" s="834"/>
      <c r="R7" s="834"/>
      <c r="S7" s="834"/>
      <c r="T7" s="834"/>
      <c r="U7" s="834"/>
      <c r="V7" s="835"/>
      <c r="W7" s="777"/>
      <c r="X7" s="777"/>
      <c r="Y7" s="777"/>
      <c r="Z7" s="777"/>
      <c r="AA7" s="789"/>
      <c r="AB7" s="789"/>
      <c r="AC7" s="777"/>
      <c r="AD7" s="777"/>
      <c r="AE7" s="777"/>
      <c r="AH7" s="797"/>
      <c r="AI7" s="798"/>
      <c r="AJ7" s="799"/>
      <c r="AK7" s="83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v>
      </c>
      <c r="AL7" s="834"/>
      <c r="AM7" s="834"/>
      <c r="AN7" s="834"/>
      <c r="AO7" s="834"/>
      <c r="AP7" s="834"/>
      <c r="AQ7" s="835"/>
      <c r="AR7" s="777"/>
      <c r="AS7" s="777"/>
      <c r="AT7" s="777"/>
      <c r="AU7" s="777"/>
      <c r="AV7" s="789"/>
      <c r="AW7" s="789"/>
      <c r="AX7" s="777"/>
      <c r="AY7" s="777"/>
      <c r="AZ7" s="777"/>
      <c r="BC7" s="797"/>
      <c r="BD7" s="798"/>
      <c r="BE7" s="799"/>
      <c r="BF7" s="83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v>
      </c>
      <c r="BG7" s="834"/>
      <c r="BH7" s="834"/>
      <c r="BI7" s="834"/>
      <c r="BJ7" s="834"/>
      <c r="BK7" s="834"/>
      <c r="BL7" s="835"/>
      <c r="BM7" s="777"/>
      <c r="BN7" s="777"/>
      <c r="BO7" s="777"/>
      <c r="BP7" s="777"/>
      <c r="BQ7" s="789"/>
      <c r="BR7" s="789"/>
      <c r="BS7" s="777"/>
      <c r="BT7" s="777"/>
      <c r="BU7" s="777"/>
      <c r="BX7" s="797"/>
      <c r="BY7" s="798"/>
      <c r="BZ7" s="799"/>
      <c r="CA7" s="83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 la Nueva Infraestructura Ciudadela Luis Javier Arroyave Morales etapa 1, ubicada en el Municipio de Medellín.</v>
      </c>
      <c r="CB7" s="834"/>
      <c r="CC7" s="834"/>
      <c r="CD7" s="834"/>
      <c r="CE7" s="834"/>
      <c r="CF7" s="834"/>
      <c r="CG7" s="835"/>
      <c r="CH7" s="777"/>
      <c r="CI7" s="777"/>
      <c r="CJ7" s="777"/>
      <c r="CK7" s="777"/>
      <c r="CL7" s="789"/>
      <c r="CM7" s="789"/>
      <c r="CN7" s="777"/>
      <c r="CO7" s="777"/>
      <c r="CP7" s="777"/>
    </row>
    <row r="8" spans="2:94" ht="149.25" customHeight="1" thickBot="1">
      <c r="B8" s="800"/>
      <c r="C8" s="801"/>
      <c r="D8" s="802"/>
      <c r="E8" s="836"/>
      <c r="F8" s="837"/>
      <c r="G8" s="837"/>
      <c r="H8" s="837"/>
      <c r="I8" s="837"/>
      <c r="J8" s="837"/>
      <c r="K8" s="838"/>
      <c r="M8" s="800"/>
      <c r="N8" s="801"/>
      <c r="O8" s="802"/>
      <c r="P8" s="836"/>
      <c r="Q8" s="837"/>
      <c r="R8" s="837"/>
      <c r="S8" s="837"/>
      <c r="T8" s="837"/>
      <c r="U8" s="837"/>
      <c r="V8" s="838"/>
      <c r="W8" s="777"/>
      <c r="X8" s="777"/>
      <c r="Y8" s="777"/>
      <c r="Z8" s="777"/>
      <c r="AA8" s="789"/>
      <c r="AB8" s="789"/>
      <c r="AC8" s="777"/>
      <c r="AD8" s="777"/>
      <c r="AE8" s="777"/>
      <c r="AH8" s="800"/>
      <c r="AI8" s="801"/>
      <c r="AJ8" s="802"/>
      <c r="AK8" s="836"/>
      <c r="AL8" s="837"/>
      <c r="AM8" s="837"/>
      <c r="AN8" s="837"/>
      <c r="AO8" s="837"/>
      <c r="AP8" s="837"/>
      <c r="AQ8" s="838"/>
      <c r="AR8" s="777"/>
      <c r="AS8" s="777"/>
      <c r="AT8" s="777"/>
      <c r="AU8" s="777"/>
      <c r="AV8" s="789"/>
      <c r="AW8" s="789"/>
      <c r="AX8" s="777"/>
      <c r="AY8" s="777"/>
      <c r="AZ8" s="777"/>
      <c r="BC8" s="800"/>
      <c r="BD8" s="801"/>
      <c r="BE8" s="802"/>
      <c r="BF8" s="836"/>
      <c r="BG8" s="837"/>
      <c r="BH8" s="837"/>
      <c r="BI8" s="837"/>
      <c r="BJ8" s="837"/>
      <c r="BK8" s="837"/>
      <c r="BL8" s="838"/>
      <c r="BM8" s="777"/>
      <c r="BN8" s="777"/>
      <c r="BO8" s="777"/>
      <c r="BP8" s="777"/>
      <c r="BQ8" s="789"/>
      <c r="BR8" s="789"/>
      <c r="BS8" s="777"/>
      <c r="BT8" s="777"/>
      <c r="BU8" s="777"/>
      <c r="BX8" s="800"/>
      <c r="BY8" s="801"/>
      <c r="BZ8" s="802"/>
      <c r="CA8" s="836"/>
      <c r="CB8" s="837"/>
      <c r="CC8" s="837"/>
      <c r="CD8" s="837"/>
      <c r="CE8" s="837"/>
      <c r="CF8" s="837"/>
      <c r="CG8" s="838"/>
      <c r="CH8" s="777"/>
      <c r="CI8" s="777"/>
      <c r="CJ8" s="777"/>
      <c r="CK8" s="777"/>
      <c r="CL8" s="789"/>
      <c r="CM8" s="789"/>
      <c r="CN8" s="777"/>
      <c r="CO8" s="777"/>
      <c r="CP8" s="777"/>
    </row>
    <row r="9" spans="2:94" ht="57" customHeight="1" thickTop="1">
      <c r="B9" s="319" t="s">
        <v>93</v>
      </c>
      <c r="C9" s="320"/>
      <c r="D9" s="321" t="s">
        <v>214</v>
      </c>
      <c r="E9" s="322" t="s">
        <v>215</v>
      </c>
      <c r="F9" s="323" t="s">
        <v>216</v>
      </c>
      <c r="G9" s="323" t="s">
        <v>217</v>
      </c>
      <c r="H9" s="323" t="s">
        <v>218</v>
      </c>
      <c r="I9" s="323" t="s">
        <v>219</v>
      </c>
      <c r="J9" s="323" t="s">
        <v>220</v>
      </c>
      <c r="K9" s="324" t="s">
        <v>221</v>
      </c>
      <c r="M9" s="409" t="s">
        <v>93</v>
      </c>
      <c r="N9" s="320"/>
      <c r="O9" s="321" t="s">
        <v>214</v>
      </c>
      <c r="P9" s="322" t="s">
        <v>215</v>
      </c>
      <c r="Q9" s="323" t="s">
        <v>216</v>
      </c>
      <c r="R9" s="323" t="s">
        <v>217</v>
      </c>
      <c r="S9" s="323" t="s">
        <v>218</v>
      </c>
      <c r="T9" s="323" t="s">
        <v>219</v>
      </c>
      <c r="U9" s="323" t="s">
        <v>220</v>
      </c>
      <c r="V9" s="410" t="s">
        <v>221</v>
      </c>
      <c r="W9" s="777"/>
      <c r="X9" s="777"/>
      <c r="Y9" s="777"/>
      <c r="Z9" s="777"/>
      <c r="AA9" s="789"/>
      <c r="AB9" s="789"/>
      <c r="AC9" s="777"/>
      <c r="AD9" s="777"/>
      <c r="AE9" s="777"/>
      <c r="AH9" s="409"/>
      <c r="AI9" s="320"/>
      <c r="AJ9" s="321"/>
      <c r="AK9" s="322"/>
      <c r="AL9" s="323"/>
      <c r="AM9" s="323"/>
      <c r="AN9" s="323"/>
      <c r="AO9" s="323"/>
      <c r="AP9" s="323"/>
      <c r="AQ9" s="410"/>
      <c r="AR9" s="777"/>
      <c r="AS9" s="777"/>
      <c r="AT9" s="777"/>
      <c r="AU9" s="777"/>
      <c r="AV9" s="789"/>
      <c r="AW9" s="789"/>
      <c r="AX9" s="777"/>
      <c r="AY9" s="777"/>
      <c r="AZ9" s="777"/>
      <c r="BC9" s="319" t="s">
        <v>93</v>
      </c>
      <c r="BD9" s="320"/>
      <c r="BE9" s="321" t="s">
        <v>214</v>
      </c>
      <c r="BF9" s="322" t="s">
        <v>215</v>
      </c>
      <c r="BG9" s="323" t="s">
        <v>216</v>
      </c>
      <c r="BH9" s="323" t="s">
        <v>217</v>
      </c>
      <c r="BI9" s="323" t="s">
        <v>218</v>
      </c>
      <c r="BJ9" s="323" t="s">
        <v>219</v>
      </c>
      <c r="BK9" s="323" t="s">
        <v>220</v>
      </c>
      <c r="BL9" s="324" t="s">
        <v>221</v>
      </c>
      <c r="BM9" s="777"/>
      <c r="BN9" s="777"/>
      <c r="BO9" s="777"/>
      <c r="BP9" s="777"/>
      <c r="BQ9" s="789"/>
      <c r="BR9" s="789"/>
      <c r="BS9" s="777"/>
      <c r="BT9" s="777"/>
      <c r="BU9" s="777"/>
      <c r="BX9" s="319" t="s">
        <v>93</v>
      </c>
      <c r="BY9" s="320"/>
      <c r="BZ9" s="321" t="s">
        <v>214</v>
      </c>
      <c r="CA9" s="322" t="s">
        <v>215</v>
      </c>
      <c r="CB9" s="323" t="s">
        <v>216</v>
      </c>
      <c r="CC9" s="323" t="s">
        <v>217</v>
      </c>
      <c r="CD9" s="323" t="s">
        <v>218</v>
      </c>
      <c r="CE9" s="323" t="s">
        <v>219</v>
      </c>
      <c r="CF9" s="323" t="s">
        <v>220</v>
      </c>
      <c r="CG9" s="324" t="s">
        <v>221</v>
      </c>
      <c r="CH9" s="777"/>
      <c r="CI9" s="777"/>
      <c r="CJ9" s="777"/>
      <c r="CK9" s="777"/>
      <c r="CL9" s="789"/>
      <c r="CM9" s="789"/>
      <c r="CN9" s="777"/>
      <c r="CO9" s="777"/>
      <c r="CP9" s="777"/>
    </row>
    <row r="10" spans="2:94" ht="17" thickBot="1">
      <c r="B10" s="392" t="s">
        <v>248</v>
      </c>
      <c r="C10" s="392" t="s">
        <v>249</v>
      </c>
      <c r="D10" s="812" t="s">
        <v>250</v>
      </c>
      <c r="E10" s="813"/>
      <c r="F10" s="813"/>
      <c r="G10" s="813"/>
      <c r="H10" s="813"/>
      <c r="I10" s="813"/>
      <c r="J10" s="813"/>
      <c r="K10" s="813"/>
      <c r="M10" s="411" t="s">
        <v>248</v>
      </c>
      <c r="N10" s="392" t="s">
        <v>249</v>
      </c>
      <c r="O10" s="812" t="s">
        <v>250</v>
      </c>
      <c r="P10" s="813"/>
      <c r="Q10" s="813"/>
      <c r="R10" s="813"/>
      <c r="S10" s="813"/>
      <c r="T10" s="813"/>
      <c r="U10" s="813"/>
      <c r="V10" s="814"/>
      <c r="W10" s="778"/>
      <c r="X10" s="778"/>
      <c r="Y10" s="778"/>
      <c r="Z10" s="778"/>
      <c r="AA10" s="790"/>
      <c r="AB10" s="790"/>
      <c r="AC10" s="778"/>
      <c r="AD10" s="778"/>
      <c r="AE10" s="778"/>
      <c r="AH10" s="411"/>
      <c r="AI10" s="392"/>
      <c r="AJ10" s="812"/>
      <c r="AK10" s="813"/>
      <c r="AL10" s="813"/>
      <c r="AM10" s="813"/>
      <c r="AN10" s="813"/>
      <c r="AO10" s="813"/>
      <c r="AP10" s="813"/>
      <c r="AQ10" s="814"/>
      <c r="AR10" s="778"/>
      <c r="AS10" s="778"/>
      <c r="AT10" s="778"/>
      <c r="AU10" s="778"/>
      <c r="AV10" s="790"/>
      <c r="AW10" s="790"/>
      <c r="AX10" s="778"/>
      <c r="AY10" s="778"/>
      <c r="AZ10" s="778"/>
      <c r="BC10" s="392" t="s">
        <v>248</v>
      </c>
      <c r="BD10" s="392" t="s">
        <v>249</v>
      </c>
      <c r="BE10" s="812" t="s">
        <v>250</v>
      </c>
      <c r="BF10" s="813"/>
      <c r="BG10" s="813"/>
      <c r="BH10" s="813"/>
      <c r="BI10" s="813"/>
      <c r="BJ10" s="813"/>
      <c r="BK10" s="813"/>
      <c r="BL10" s="813"/>
      <c r="BM10" s="778"/>
      <c r="BN10" s="778"/>
      <c r="BO10" s="778"/>
      <c r="BP10" s="778"/>
      <c r="BQ10" s="790"/>
      <c r="BR10" s="790"/>
      <c r="BS10" s="778"/>
      <c r="BT10" s="778"/>
      <c r="BU10" s="778"/>
      <c r="BX10" s="392" t="s">
        <v>248</v>
      </c>
      <c r="BY10" s="392" t="s">
        <v>249</v>
      </c>
      <c r="BZ10" s="812" t="s">
        <v>250</v>
      </c>
      <c r="CA10" s="813"/>
      <c r="CB10" s="813"/>
      <c r="CC10" s="813"/>
      <c r="CD10" s="813"/>
      <c r="CE10" s="813"/>
      <c r="CF10" s="813"/>
      <c r="CG10" s="813"/>
      <c r="CH10" s="778"/>
      <c r="CI10" s="778"/>
      <c r="CJ10" s="778"/>
      <c r="CK10" s="778"/>
      <c r="CL10" s="790"/>
      <c r="CM10" s="790"/>
      <c r="CN10" s="778"/>
      <c r="CO10" s="778"/>
      <c r="CP10" s="778"/>
    </row>
    <row r="11" spans="2:94" ht="84.75" customHeight="1" thickTop="1">
      <c r="B11" s="325" t="s">
        <v>211</v>
      </c>
      <c r="C11" s="325" t="s">
        <v>251</v>
      </c>
      <c r="D11" s="393" t="s">
        <v>252</v>
      </c>
      <c r="E11" s="394">
        <v>1</v>
      </c>
      <c r="F11" s="328">
        <v>0</v>
      </c>
      <c r="G11" s="329">
        <f>F11*1.035</f>
        <v>0</v>
      </c>
      <c r="H11" s="395">
        <v>0.25</v>
      </c>
      <c r="I11" s="396">
        <v>2</v>
      </c>
      <c r="J11" s="397">
        <v>9</v>
      </c>
      <c r="K11" s="333">
        <f>ROUND(E11*F11*H11*I11,0)+ROUND(E11*G11*H11*J11,0)</f>
        <v>0</v>
      </c>
      <c r="M11" s="412" t="s">
        <v>211</v>
      </c>
      <c r="N11" s="325" t="s">
        <v>251</v>
      </c>
      <c r="O11" s="393" t="s">
        <v>252</v>
      </c>
      <c r="P11" s="394">
        <v>1</v>
      </c>
      <c r="Q11" s="328">
        <v>6000000</v>
      </c>
      <c r="R11" s="329">
        <f>Q11*1.035</f>
        <v>6209999.9999999991</v>
      </c>
      <c r="S11" s="395">
        <v>0.25</v>
      </c>
      <c r="T11" s="396">
        <v>2</v>
      </c>
      <c r="U11" s="397">
        <v>9</v>
      </c>
      <c r="V11" s="413">
        <f>ROUND(P11*Q11*S11*T11,0)+ROUND(P11*R11*S11*U11,0)</f>
        <v>16972500</v>
      </c>
      <c r="W11" s="107">
        <f t="shared" ref="W11:W17" si="0">IFERROR(IF(EXACT(VLOOKUP(M11,OFERTA_0,1,FALSE),M11),1,0),0)</f>
        <v>1</v>
      </c>
      <c r="X11" s="107">
        <f t="shared" ref="X11:X17" si="1">IFERROR(IF(EXACT(VLOOKUP(M11,OFERTA_0,3,FALSE),O11),1,0),0)</f>
        <v>1</v>
      </c>
      <c r="Y11" s="107">
        <f t="shared" ref="Y11:Y17" si="2">IFERROR(IF(EXACT(VLOOKUP(M11,OFERTA_0,4,FALSE),P11),1,0),0)</f>
        <v>1</v>
      </c>
      <c r="Z11" s="107">
        <f t="shared" ref="Z11:Z17" si="3">IFERROR(IF(EXACT(VLOOKUP(M11,OFERTA_0,7,FALSE),S11),1,0),0)</f>
        <v>1</v>
      </c>
      <c r="AA11" s="107">
        <f>IFERROR(IF(R11&lt;=0,0,1),0)</f>
        <v>1</v>
      </c>
      <c r="AB11" s="107">
        <f>IFERROR(IF(V11&lt;=0,0,1),0)</f>
        <v>1</v>
      </c>
      <c r="AC11" s="107">
        <f>PRODUCT(W11:AB11)</f>
        <v>1</v>
      </c>
      <c r="AD11" s="108">
        <f>ROUND(V11,0)</f>
        <v>16972500</v>
      </c>
      <c r="AE11" s="109">
        <f>V11-AD11</f>
        <v>0</v>
      </c>
      <c r="AH11" s="412"/>
      <c r="AI11" s="325"/>
      <c r="AJ11" s="393"/>
      <c r="AK11" s="394"/>
      <c r="AL11" s="328"/>
      <c r="AM11" s="329"/>
      <c r="AN11" s="395"/>
      <c r="AO11" s="396"/>
      <c r="AP11" s="397"/>
      <c r="AQ11" s="413"/>
      <c r="AR11" s="107">
        <f t="shared" ref="AR11:AR17" si="4">IFERROR(IF(EXACT(VLOOKUP(AH11,OFERTA_0,1,FALSE),AH11),1,0),0)</f>
        <v>0</v>
      </c>
      <c r="AS11" s="107">
        <f t="shared" ref="AS11:AS17" si="5">IFERROR(IF(EXACT(VLOOKUP(AH11,OFERTA_0,3,FALSE),AJ11),1,0),0)</f>
        <v>0</v>
      </c>
      <c r="AT11" s="107">
        <f t="shared" ref="AT11:AT17" si="6">IFERROR(IF(EXACT(VLOOKUP(AH11,OFERTA_0,4,FALSE),AK11),1,0),0)</f>
        <v>0</v>
      </c>
      <c r="AU11" s="107">
        <f t="shared" ref="AU11:AU17" si="7">IFERROR(IF(EXACT(VLOOKUP(AH11,OFERTA_0,7,FALSE),AN11),1,0),0)</f>
        <v>0</v>
      </c>
      <c r="AV11" s="107">
        <f>IFERROR(IF(AM11&lt;=0,0,1),0)</f>
        <v>0</v>
      </c>
      <c r="AW11" s="107">
        <f>IFERROR(IF(AQ11&lt;=0,0,1),0)</f>
        <v>0</v>
      </c>
      <c r="AX11" s="107">
        <f>PRODUCT(AR11:AW11)</f>
        <v>0</v>
      </c>
      <c r="AY11" s="108">
        <f>ROUND(AQ11,0)</f>
        <v>0</v>
      </c>
      <c r="AZ11" s="109">
        <f>AQ11-AY11</f>
        <v>0</v>
      </c>
      <c r="BC11" s="325" t="s">
        <v>211</v>
      </c>
      <c r="BD11" s="325" t="s">
        <v>251</v>
      </c>
      <c r="BE11" s="393" t="s">
        <v>252</v>
      </c>
      <c r="BF11" s="394">
        <v>1</v>
      </c>
      <c r="BG11" s="328">
        <v>8700000</v>
      </c>
      <c r="BH11" s="329">
        <f>BG11*1.035</f>
        <v>9004500</v>
      </c>
      <c r="BI11" s="395">
        <v>0.25</v>
      </c>
      <c r="BJ11" s="396">
        <v>2</v>
      </c>
      <c r="BK11" s="397">
        <v>9</v>
      </c>
      <c r="BL11" s="333">
        <f>ROUND(BF11*BG11*BI11*BJ11,0)+ROUND(BF11*BH11*BI11*BK11,0)</f>
        <v>24610125</v>
      </c>
      <c r="BM11" s="107">
        <f t="shared" ref="BM11:BM17" si="8">IFERROR(IF(EXACT(VLOOKUP(BC11,OFERTA_0,1,FALSE),BC11),1,0),0)</f>
        <v>1</v>
      </c>
      <c r="BN11" s="107">
        <f t="shared" ref="BN11:BN17" si="9">IFERROR(IF(EXACT(VLOOKUP(BC11,OFERTA_0,3,FALSE),BE11),1,0),0)</f>
        <v>1</v>
      </c>
      <c r="BO11" s="107">
        <f t="shared" ref="BO11:BO17" si="10">IFERROR(IF(EXACT(VLOOKUP(BC11,OFERTA_0,4,FALSE),BF11),1,0),0)</f>
        <v>1</v>
      </c>
      <c r="BP11" s="107">
        <f t="shared" ref="BP11:BP17" si="11">IFERROR(IF(EXACT(VLOOKUP(BC11,OFERTA_0,7,FALSE),BI11),1,0),0)</f>
        <v>1</v>
      </c>
      <c r="BQ11" s="107">
        <f>IFERROR(IF(BH11&lt;=0,0,1),0)</f>
        <v>1</v>
      </c>
      <c r="BR11" s="107">
        <f>IFERROR(IF(BL11&lt;=0,0,1),0)</f>
        <v>1</v>
      </c>
      <c r="BS11" s="107">
        <f>PRODUCT(BM11:BR11)</f>
        <v>1</v>
      </c>
      <c r="BT11" s="108">
        <f>ROUND(BL11,0)</f>
        <v>24610125</v>
      </c>
      <c r="BU11" s="109">
        <f>BL11-BT11</f>
        <v>0</v>
      </c>
      <c r="BX11" s="325" t="s">
        <v>211</v>
      </c>
      <c r="BY11" s="325" t="s">
        <v>251</v>
      </c>
      <c r="BZ11" s="393" t="s">
        <v>252</v>
      </c>
      <c r="CA11" s="394">
        <v>1</v>
      </c>
      <c r="CB11" s="328">
        <v>8000000</v>
      </c>
      <c r="CC11" s="329">
        <f>CB11*1.035</f>
        <v>8279999.9999999991</v>
      </c>
      <c r="CD11" s="395">
        <v>0.25</v>
      </c>
      <c r="CE11" s="396">
        <v>2</v>
      </c>
      <c r="CF11" s="397">
        <v>9</v>
      </c>
      <c r="CG11" s="333">
        <f>ROUND(CA11*CB11*CD11*CE11,0)+ROUND(CA11*CC11*CD11*CF11,0)</f>
        <v>22630000</v>
      </c>
      <c r="CH11" s="107">
        <f t="shared" ref="CH11:CH17" si="12">IFERROR(IF(EXACT(VLOOKUP(BX11,OFERTA_0,1,FALSE),BX11),1,0),0)</f>
        <v>1</v>
      </c>
      <c r="CI11" s="107">
        <f t="shared" ref="CI11:CI17" si="13">IFERROR(IF(EXACT(VLOOKUP(BX11,OFERTA_0,3,FALSE),BZ11),1,0),0)</f>
        <v>1</v>
      </c>
      <c r="CJ11" s="107">
        <f t="shared" ref="CJ11:CJ17" si="14">IFERROR(IF(EXACT(VLOOKUP(BX11,OFERTA_0,4,FALSE),CA11),1,0),0)</f>
        <v>1</v>
      </c>
      <c r="CK11" s="107">
        <f t="shared" ref="CK11:CK17" si="15">IFERROR(IF(EXACT(VLOOKUP(BX11,OFERTA_0,7,FALSE),CD11),1,0),0)</f>
        <v>1</v>
      </c>
      <c r="CL11" s="107">
        <f>IFERROR(IF(CC11&lt;=0,0,1),0)</f>
        <v>1</v>
      </c>
      <c r="CM11" s="107">
        <f>IFERROR(IF(CG11&lt;=0,0,1),0)</f>
        <v>1</v>
      </c>
      <c r="CN11" s="107">
        <f>PRODUCT(CH11:CM11)</f>
        <v>1</v>
      </c>
      <c r="CO11" s="108">
        <f>ROUND(CG11,0)</f>
        <v>22630000</v>
      </c>
      <c r="CP11" s="109">
        <f>CG11-CO11</f>
        <v>0</v>
      </c>
    </row>
    <row r="12" spans="2:94" ht="68">
      <c r="B12" s="325">
        <v>1.2</v>
      </c>
      <c r="C12" s="325" t="s">
        <v>251</v>
      </c>
      <c r="D12" s="326" t="s">
        <v>260</v>
      </c>
      <c r="E12" s="327">
        <v>1</v>
      </c>
      <c r="F12" s="328">
        <v>0</v>
      </c>
      <c r="G12" s="329">
        <f t="shared" ref="G12:G17" si="16">F12*1.035</f>
        <v>0</v>
      </c>
      <c r="H12" s="330">
        <v>1</v>
      </c>
      <c r="I12" s="331">
        <v>2</v>
      </c>
      <c r="J12" s="332">
        <v>9</v>
      </c>
      <c r="K12" s="333">
        <f t="shared" ref="K12:K21" si="17">ROUND(E12*F12*H12*I12,0)+ROUND(E12*G12*H12*J12,0)</f>
        <v>0</v>
      </c>
      <c r="M12" s="412">
        <v>1.2</v>
      </c>
      <c r="N12" s="325" t="s">
        <v>251</v>
      </c>
      <c r="O12" s="326" t="s">
        <v>260</v>
      </c>
      <c r="P12" s="327">
        <v>1</v>
      </c>
      <c r="Q12" s="328">
        <v>3000000</v>
      </c>
      <c r="R12" s="329">
        <f t="shared" ref="R12:R17" si="18">Q12*1.035</f>
        <v>3104999.9999999995</v>
      </c>
      <c r="S12" s="330">
        <v>1</v>
      </c>
      <c r="T12" s="331">
        <v>2</v>
      </c>
      <c r="U12" s="332">
        <v>9</v>
      </c>
      <c r="V12" s="413">
        <f t="shared" ref="V12:V21" si="19">ROUND(P12*Q12*S12*T12,0)+ROUND(P12*R12*S12*U12,0)</f>
        <v>33945000</v>
      </c>
      <c r="W12" s="107">
        <f t="shared" si="0"/>
        <v>1</v>
      </c>
      <c r="X12" s="107">
        <f t="shared" si="1"/>
        <v>1</v>
      </c>
      <c r="Y12" s="107">
        <f t="shared" si="2"/>
        <v>1</v>
      </c>
      <c r="Z12" s="107">
        <f t="shared" si="3"/>
        <v>1</v>
      </c>
      <c r="AA12" s="107">
        <f t="shared" ref="AA12:AA17" si="20">IFERROR(IF(R12&lt;=0,0,1),0)</f>
        <v>1</v>
      </c>
      <c r="AB12" s="107">
        <f t="shared" ref="AB12:AB17" si="21">IFERROR(IF(V12&lt;=0,0,1),0)</f>
        <v>1</v>
      </c>
      <c r="AC12" s="107">
        <f t="shared" ref="AC12:AC17" si="22">PRODUCT(W12:AB12)</f>
        <v>1</v>
      </c>
      <c r="AD12" s="108">
        <f t="shared" ref="AD12:AD17" si="23">ROUND(V12,0)</f>
        <v>33945000</v>
      </c>
      <c r="AE12" s="109">
        <f t="shared" ref="AE12:AE17" si="24">V12-AD12</f>
        <v>0</v>
      </c>
      <c r="AH12" s="412"/>
      <c r="AI12" s="325"/>
      <c r="AJ12" s="326"/>
      <c r="AK12" s="327"/>
      <c r="AL12" s="328"/>
      <c r="AM12" s="329"/>
      <c r="AN12" s="330"/>
      <c r="AO12" s="331"/>
      <c r="AP12" s="332"/>
      <c r="AQ12" s="413"/>
      <c r="AR12" s="107">
        <f t="shared" si="4"/>
        <v>0</v>
      </c>
      <c r="AS12" s="107">
        <f t="shared" si="5"/>
        <v>0</v>
      </c>
      <c r="AT12" s="107">
        <f t="shared" si="6"/>
        <v>0</v>
      </c>
      <c r="AU12" s="107">
        <f t="shared" si="7"/>
        <v>0</v>
      </c>
      <c r="AV12" s="107">
        <f t="shared" ref="AV12:AV17" si="25">IFERROR(IF(AM12&lt;=0,0,1),0)</f>
        <v>0</v>
      </c>
      <c r="AW12" s="107">
        <f t="shared" ref="AW12:AW17" si="26">IFERROR(IF(AQ12&lt;=0,0,1),0)</f>
        <v>0</v>
      </c>
      <c r="AX12" s="107">
        <f t="shared" ref="AX12:AX17" si="27">PRODUCT(AR12:AW12)</f>
        <v>0</v>
      </c>
      <c r="AY12" s="108">
        <f t="shared" ref="AY12:AY17" si="28">ROUND(AQ12,0)</f>
        <v>0</v>
      </c>
      <c r="AZ12" s="109">
        <f t="shared" ref="AZ12:AZ17" si="29">AQ12-AY12</f>
        <v>0</v>
      </c>
      <c r="BC12" s="325">
        <v>1.2</v>
      </c>
      <c r="BD12" s="325" t="s">
        <v>251</v>
      </c>
      <c r="BE12" s="326" t="s">
        <v>260</v>
      </c>
      <c r="BF12" s="327">
        <v>1</v>
      </c>
      <c r="BG12" s="328">
        <v>3500000</v>
      </c>
      <c r="BH12" s="329">
        <f t="shared" ref="BH12:BH17" si="30">BG12*1.035</f>
        <v>3622499.9999999995</v>
      </c>
      <c r="BI12" s="330">
        <v>1</v>
      </c>
      <c r="BJ12" s="331">
        <v>2</v>
      </c>
      <c r="BK12" s="332">
        <v>9</v>
      </c>
      <c r="BL12" s="333">
        <f t="shared" ref="BL12:BL17" si="31">ROUND(BF12*BG12*BI12*BJ12,0)+ROUND(BF12*BH12*BI12*BK12,0)</f>
        <v>39602500</v>
      </c>
      <c r="BM12" s="107">
        <f t="shared" si="8"/>
        <v>1</v>
      </c>
      <c r="BN12" s="107">
        <f t="shared" si="9"/>
        <v>1</v>
      </c>
      <c r="BO12" s="107">
        <f t="shared" si="10"/>
        <v>1</v>
      </c>
      <c r="BP12" s="107">
        <f t="shared" si="11"/>
        <v>1</v>
      </c>
      <c r="BQ12" s="107">
        <f t="shared" ref="BQ12:BQ17" si="32">IFERROR(IF(BH12&lt;=0,0,1),0)</f>
        <v>1</v>
      </c>
      <c r="BR12" s="107">
        <f t="shared" ref="BR12:BR17" si="33">IFERROR(IF(BL12&lt;=0,0,1),0)</f>
        <v>1</v>
      </c>
      <c r="BS12" s="107">
        <f t="shared" ref="BS12:BS17" si="34">PRODUCT(BM12:BR12)</f>
        <v>1</v>
      </c>
      <c r="BT12" s="108">
        <f t="shared" ref="BT12:BT17" si="35">ROUND(BL12,0)</f>
        <v>39602500</v>
      </c>
      <c r="BU12" s="109">
        <f t="shared" ref="BU12:BU17" si="36">BL12-BT12</f>
        <v>0</v>
      </c>
      <c r="BX12" s="325">
        <v>1.2</v>
      </c>
      <c r="BY12" s="325" t="s">
        <v>251</v>
      </c>
      <c r="BZ12" s="326" t="s">
        <v>253</v>
      </c>
      <c r="CA12" s="327">
        <v>1</v>
      </c>
      <c r="CB12" s="328">
        <v>4250000</v>
      </c>
      <c r="CC12" s="329">
        <f t="shared" ref="CC12:CC17" si="37">CB12*1.035</f>
        <v>4398750</v>
      </c>
      <c r="CD12" s="330">
        <v>1</v>
      </c>
      <c r="CE12" s="331">
        <v>2</v>
      </c>
      <c r="CF12" s="332">
        <v>9</v>
      </c>
      <c r="CG12" s="333">
        <f t="shared" ref="CG12:CG17" si="38">ROUND(CA12*CB12*CD12*CE12,0)+ROUND(CA12*CC12*CD12*CF12,0)</f>
        <v>48088750</v>
      </c>
      <c r="CH12" s="107">
        <f t="shared" si="12"/>
        <v>1</v>
      </c>
      <c r="CI12" s="107">
        <f t="shared" si="13"/>
        <v>1</v>
      </c>
      <c r="CJ12" s="107">
        <f t="shared" si="14"/>
        <v>1</v>
      </c>
      <c r="CK12" s="107">
        <f t="shared" si="15"/>
        <v>1</v>
      </c>
      <c r="CL12" s="107">
        <f t="shared" ref="CL12:CL17" si="39">IFERROR(IF(CC12&lt;=0,0,1),0)</f>
        <v>1</v>
      </c>
      <c r="CM12" s="107">
        <f t="shared" ref="CM12:CM17" si="40">IFERROR(IF(CG12&lt;=0,0,1),0)</f>
        <v>1</v>
      </c>
      <c r="CN12" s="107">
        <f t="shared" ref="CN12:CN17" si="41">PRODUCT(CH12:CM12)</f>
        <v>1</v>
      </c>
      <c r="CO12" s="108">
        <f t="shared" ref="CO12:CO17" si="42">ROUND(CG12,0)</f>
        <v>48088750</v>
      </c>
      <c r="CP12" s="109">
        <f t="shared" ref="CP12:CP17" si="43">CG12-CO12</f>
        <v>0</v>
      </c>
    </row>
    <row r="13" spans="2:94" ht="75.75" customHeight="1">
      <c r="B13" s="325">
        <v>1.3</v>
      </c>
      <c r="C13" s="325" t="s">
        <v>142</v>
      </c>
      <c r="D13" s="326" t="s">
        <v>261</v>
      </c>
      <c r="E13" s="327">
        <v>1</v>
      </c>
      <c r="F13" s="328">
        <v>0</v>
      </c>
      <c r="G13" s="329">
        <f t="shared" si="16"/>
        <v>0</v>
      </c>
      <c r="H13" s="330">
        <v>0.3</v>
      </c>
      <c r="I13" s="331">
        <v>2</v>
      </c>
      <c r="J13" s="332">
        <v>3</v>
      </c>
      <c r="K13" s="333">
        <f t="shared" si="17"/>
        <v>0</v>
      </c>
      <c r="M13" s="412">
        <v>1.3</v>
      </c>
      <c r="N13" s="325" t="s">
        <v>142</v>
      </c>
      <c r="O13" s="326" t="s">
        <v>261</v>
      </c>
      <c r="P13" s="327">
        <v>1</v>
      </c>
      <c r="Q13" s="328">
        <v>3000000</v>
      </c>
      <c r="R13" s="329">
        <f t="shared" si="18"/>
        <v>3104999.9999999995</v>
      </c>
      <c r="S13" s="330">
        <v>0.3</v>
      </c>
      <c r="T13" s="331">
        <v>2</v>
      </c>
      <c r="U13" s="332">
        <v>3</v>
      </c>
      <c r="V13" s="413">
        <f t="shared" si="19"/>
        <v>4594500</v>
      </c>
      <c r="W13" s="107">
        <f t="shared" si="0"/>
        <v>1</v>
      </c>
      <c r="X13" s="107">
        <f t="shared" si="1"/>
        <v>1</v>
      </c>
      <c r="Y13" s="107">
        <f t="shared" si="2"/>
        <v>1</v>
      </c>
      <c r="Z13" s="107">
        <f t="shared" si="3"/>
        <v>1</v>
      </c>
      <c r="AA13" s="107">
        <f t="shared" si="20"/>
        <v>1</v>
      </c>
      <c r="AB13" s="107">
        <f t="shared" si="21"/>
        <v>1</v>
      </c>
      <c r="AC13" s="107">
        <f t="shared" si="22"/>
        <v>1</v>
      </c>
      <c r="AD13" s="108">
        <f t="shared" si="23"/>
        <v>4594500</v>
      </c>
      <c r="AE13" s="109">
        <f t="shared" si="24"/>
        <v>0</v>
      </c>
      <c r="AH13" s="412"/>
      <c r="AI13" s="325"/>
      <c r="AJ13" s="326"/>
      <c r="AK13" s="327"/>
      <c r="AL13" s="328"/>
      <c r="AM13" s="329"/>
      <c r="AN13" s="330"/>
      <c r="AO13" s="331"/>
      <c r="AP13" s="332"/>
      <c r="AQ13" s="413"/>
      <c r="AR13" s="107">
        <f t="shared" si="4"/>
        <v>0</v>
      </c>
      <c r="AS13" s="107">
        <f t="shared" si="5"/>
        <v>0</v>
      </c>
      <c r="AT13" s="107">
        <f t="shared" si="6"/>
        <v>0</v>
      </c>
      <c r="AU13" s="107">
        <f t="shared" si="7"/>
        <v>0</v>
      </c>
      <c r="AV13" s="107">
        <f t="shared" si="25"/>
        <v>0</v>
      </c>
      <c r="AW13" s="107">
        <f t="shared" si="26"/>
        <v>0</v>
      </c>
      <c r="AX13" s="107">
        <f t="shared" si="27"/>
        <v>0</v>
      </c>
      <c r="AY13" s="108">
        <f t="shared" si="28"/>
        <v>0</v>
      </c>
      <c r="AZ13" s="109">
        <f t="shared" si="29"/>
        <v>0</v>
      </c>
      <c r="BC13" s="325">
        <v>1.3</v>
      </c>
      <c r="BD13" s="325" t="s">
        <v>142</v>
      </c>
      <c r="BE13" s="326" t="s">
        <v>261</v>
      </c>
      <c r="BF13" s="327">
        <v>1</v>
      </c>
      <c r="BG13" s="328">
        <v>4552650</v>
      </c>
      <c r="BH13" s="329">
        <f t="shared" si="30"/>
        <v>4711992.75</v>
      </c>
      <c r="BI13" s="330">
        <v>0.3</v>
      </c>
      <c r="BJ13" s="331">
        <v>2</v>
      </c>
      <c r="BK13" s="332">
        <v>3</v>
      </c>
      <c r="BL13" s="333">
        <f t="shared" si="31"/>
        <v>6972383</v>
      </c>
      <c r="BM13" s="107">
        <f t="shared" si="8"/>
        <v>1</v>
      </c>
      <c r="BN13" s="107">
        <f t="shared" si="9"/>
        <v>1</v>
      </c>
      <c r="BO13" s="107">
        <f t="shared" si="10"/>
        <v>1</v>
      </c>
      <c r="BP13" s="107">
        <f t="shared" si="11"/>
        <v>1</v>
      </c>
      <c r="BQ13" s="107">
        <f t="shared" si="32"/>
        <v>1</v>
      </c>
      <c r="BR13" s="107">
        <f t="shared" si="33"/>
        <v>1</v>
      </c>
      <c r="BS13" s="107">
        <f t="shared" si="34"/>
        <v>1</v>
      </c>
      <c r="BT13" s="108">
        <f t="shared" si="35"/>
        <v>6972383</v>
      </c>
      <c r="BU13" s="109">
        <f t="shared" si="36"/>
        <v>0</v>
      </c>
      <c r="BX13" s="325">
        <v>1.3</v>
      </c>
      <c r="BY13" s="325" t="s">
        <v>142</v>
      </c>
      <c r="BZ13" s="326" t="s">
        <v>222</v>
      </c>
      <c r="CA13" s="327">
        <v>1</v>
      </c>
      <c r="CB13" s="328">
        <v>5000000</v>
      </c>
      <c r="CC13" s="329">
        <f t="shared" si="37"/>
        <v>5175000</v>
      </c>
      <c r="CD13" s="330">
        <v>0.3</v>
      </c>
      <c r="CE13" s="331">
        <v>2</v>
      </c>
      <c r="CF13" s="332">
        <v>3</v>
      </c>
      <c r="CG13" s="333">
        <f t="shared" si="38"/>
        <v>7657500</v>
      </c>
      <c r="CH13" s="107">
        <f t="shared" si="12"/>
        <v>1</v>
      </c>
      <c r="CI13" s="107">
        <f t="shared" si="13"/>
        <v>1</v>
      </c>
      <c r="CJ13" s="107">
        <f t="shared" si="14"/>
        <v>1</v>
      </c>
      <c r="CK13" s="107">
        <f t="shared" si="15"/>
        <v>1</v>
      </c>
      <c r="CL13" s="107">
        <f t="shared" si="39"/>
        <v>1</v>
      </c>
      <c r="CM13" s="107">
        <f t="shared" si="40"/>
        <v>1</v>
      </c>
      <c r="CN13" s="107">
        <f t="shared" si="41"/>
        <v>1</v>
      </c>
      <c r="CO13" s="108">
        <f t="shared" si="42"/>
        <v>7657500</v>
      </c>
      <c r="CP13" s="109">
        <f t="shared" si="43"/>
        <v>0</v>
      </c>
    </row>
    <row r="14" spans="2:94" ht="52.5" customHeight="1">
      <c r="B14" s="325">
        <v>1.4</v>
      </c>
      <c r="C14" s="325" t="s">
        <v>142</v>
      </c>
      <c r="D14" s="326" t="s">
        <v>223</v>
      </c>
      <c r="E14" s="327">
        <v>1</v>
      </c>
      <c r="F14" s="328">
        <v>0</v>
      </c>
      <c r="G14" s="329">
        <f t="shared" si="16"/>
        <v>0</v>
      </c>
      <c r="H14" s="330">
        <v>0.1</v>
      </c>
      <c r="I14" s="331">
        <v>2</v>
      </c>
      <c r="J14" s="332">
        <v>4</v>
      </c>
      <c r="K14" s="333">
        <f t="shared" si="17"/>
        <v>0</v>
      </c>
      <c r="M14" s="412">
        <v>1.4</v>
      </c>
      <c r="N14" s="325" t="s">
        <v>142</v>
      </c>
      <c r="O14" s="326" t="s">
        <v>223</v>
      </c>
      <c r="P14" s="327">
        <v>1</v>
      </c>
      <c r="Q14" s="328">
        <v>3000000</v>
      </c>
      <c r="R14" s="329">
        <f t="shared" si="18"/>
        <v>3104999.9999999995</v>
      </c>
      <c r="S14" s="330">
        <v>0.1</v>
      </c>
      <c r="T14" s="331">
        <v>2</v>
      </c>
      <c r="U14" s="332">
        <v>4</v>
      </c>
      <c r="V14" s="413">
        <f t="shared" si="19"/>
        <v>1842000</v>
      </c>
      <c r="W14" s="107">
        <f t="shared" si="0"/>
        <v>1</v>
      </c>
      <c r="X14" s="107">
        <f t="shared" si="1"/>
        <v>1</v>
      </c>
      <c r="Y14" s="107">
        <f t="shared" si="2"/>
        <v>1</v>
      </c>
      <c r="Z14" s="107">
        <f t="shared" si="3"/>
        <v>1</v>
      </c>
      <c r="AA14" s="107">
        <f t="shared" si="20"/>
        <v>1</v>
      </c>
      <c r="AB14" s="107">
        <f t="shared" si="21"/>
        <v>1</v>
      </c>
      <c r="AC14" s="107">
        <f t="shared" si="22"/>
        <v>1</v>
      </c>
      <c r="AD14" s="108">
        <f t="shared" si="23"/>
        <v>1842000</v>
      </c>
      <c r="AE14" s="109">
        <f t="shared" si="24"/>
        <v>0</v>
      </c>
      <c r="AH14" s="412"/>
      <c r="AI14" s="325"/>
      <c r="AJ14" s="326"/>
      <c r="AK14" s="327"/>
      <c r="AL14" s="328"/>
      <c r="AM14" s="329"/>
      <c r="AN14" s="330"/>
      <c r="AO14" s="331"/>
      <c r="AP14" s="332"/>
      <c r="AQ14" s="413"/>
      <c r="AR14" s="107">
        <f t="shared" si="4"/>
        <v>0</v>
      </c>
      <c r="AS14" s="107">
        <f t="shared" si="5"/>
        <v>0</v>
      </c>
      <c r="AT14" s="107">
        <f t="shared" si="6"/>
        <v>0</v>
      </c>
      <c r="AU14" s="107">
        <f t="shared" si="7"/>
        <v>0</v>
      </c>
      <c r="AV14" s="107">
        <f t="shared" si="25"/>
        <v>0</v>
      </c>
      <c r="AW14" s="107">
        <f t="shared" si="26"/>
        <v>0</v>
      </c>
      <c r="AX14" s="107">
        <f t="shared" si="27"/>
        <v>0</v>
      </c>
      <c r="AY14" s="108">
        <f t="shared" si="28"/>
        <v>0</v>
      </c>
      <c r="AZ14" s="109">
        <f t="shared" si="29"/>
        <v>0</v>
      </c>
      <c r="BC14" s="325">
        <v>1.4</v>
      </c>
      <c r="BD14" s="325" t="s">
        <v>142</v>
      </c>
      <c r="BE14" s="326" t="s">
        <v>223</v>
      </c>
      <c r="BF14" s="327">
        <v>1</v>
      </c>
      <c r="BG14" s="328">
        <v>4500000</v>
      </c>
      <c r="BH14" s="329">
        <f t="shared" si="30"/>
        <v>4657500</v>
      </c>
      <c r="BI14" s="330">
        <v>0.1</v>
      </c>
      <c r="BJ14" s="331">
        <v>2</v>
      </c>
      <c r="BK14" s="332">
        <v>4</v>
      </c>
      <c r="BL14" s="333">
        <f t="shared" si="31"/>
        <v>2763000</v>
      </c>
      <c r="BM14" s="107">
        <f t="shared" si="8"/>
        <v>1</v>
      </c>
      <c r="BN14" s="107">
        <f t="shared" si="9"/>
        <v>1</v>
      </c>
      <c r="BO14" s="107">
        <f t="shared" si="10"/>
        <v>1</v>
      </c>
      <c r="BP14" s="107">
        <f t="shared" si="11"/>
        <v>1</v>
      </c>
      <c r="BQ14" s="107">
        <f t="shared" si="32"/>
        <v>1</v>
      </c>
      <c r="BR14" s="107">
        <f t="shared" si="33"/>
        <v>1</v>
      </c>
      <c r="BS14" s="107">
        <f t="shared" si="34"/>
        <v>1</v>
      </c>
      <c r="BT14" s="108">
        <f t="shared" si="35"/>
        <v>2763000</v>
      </c>
      <c r="BU14" s="109">
        <f t="shared" si="36"/>
        <v>0</v>
      </c>
      <c r="BX14" s="325">
        <v>1.4</v>
      </c>
      <c r="BY14" s="325" t="s">
        <v>142</v>
      </c>
      <c r="BZ14" s="326" t="s">
        <v>223</v>
      </c>
      <c r="CA14" s="327">
        <v>1</v>
      </c>
      <c r="CB14" s="328">
        <v>6000000</v>
      </c>
      <c r="CC14" s="329">
        <f t="shared" si="37"/>
        <v>6209999.9999999991</v>
      </c>
      <c r="CD14" s="330">
        <v>0.1</v>
      </c>
      <c r="CE14" s="331">
        <v>2</v>
      </c>
      <c r="CF14" s="332">
        <v>4</v>
      </c>
      <c r="CG14" s="333">
        <f t="shared" si="38"/>
        <v>3684000</v>
      </c>
      <c r="CH14" s="107">
        <f t="shared" si="12"/>
        <v>1</v>
      </c>
      <c r="CI14" s="107">
        <f t="shared" si="13"/>
        <v>1</v>
      </c>
      <c r="CJ14" s="107">
        <f t="shared" si="14"/>
        <v>1</v>
      </c>
      <c r="CK14" s="107">
        <f t="shared" si="15"/>
        <v>1</v>
      </c>
      <c r="CL14" s="107">
        <f t="shared" si="39"/>
        <v>1</v>
      </c>
      <c r="CM14" s="107">
        <f t="shared" si="40"/>
        <v>1</v>
      </c>
      <c r="CN14" s="107">
        <f t="shared" si="41"/>
        <v>1</v>
      </c>
      <c r="CO14" s="108">
        <f t="shared" si="42"/>
        <v>3684000</v>
      </c>
      <c r="CP14" s="109">
        <f t="shared" si="43"/>
        <v>0</v>
      </c>
    </row>
    <row r="15" spans="2:94" ht="75.75" customHeight="1">
      <c r="B15" s="325" t="s">
        <v>212</v>
      </c>
      <c r="C15" s="325" t="s">
        <v>141</v>
      </c>
      <c r="D15" s="336" t="s">
        <v>262</v>
      </c>
      <c r="E15" s="398">
        <v>1</v>
      </c>
      <c r="F15" s="328">
        <v>0</v>
      </c>
      <c r="G15" s="329">
        <f t="shared" si="16"/>
        <v>0</v>
      </c>
      <c r="H15" s="335">
        <v>0.5</v>
      </c>
      <c r="I15" s="331">
        <v>2</v>
      </c>
      <c r="J15" s="332">
        <v>8</v>
      </c>
      <c r="K15" s="333">
        <f t="shared" si="17"/>
        <v>0</v>
      </c>
      <c r="M15" s="412" t="s">
        <v>212</v>
      </c>
      <c r="N15" s="325" t="s">
        <v>141</v>
      </c>
      <c r="O15" s="336" t="s">
        <v>262</v>
      </c>
      <c r="P15" s="398">
        <v>1</v>
      </c>
      <c r="Q15" s="328">
        <v>3000000</v>
      </c>
      <c r="R15" s="329">
        <f t="shared" si="18"/>
        <v>3104999.9999999995</v>
      </c>
      <c r="S15" s="335">
        <v>0.5</v>
      </c>
      <c r="T15" s="331">
        <v>2</v>
      </c>
      <c r="U15" s="332">
        <v>8</v>
      </c>
      <c r="V15" s="413">
        <f t="shared" si="19"/>
        <v>15420000</v>
      </c>
      <c r="W15" s="107">
        <f t="shared" si="0"/>
        <v>1</v>
      </c>
      <c r="X15" s="107">
        <f t="shared" si="1"/>
        <v>1</v>
      </c>
      <c r="Y15" s="107">
        <f t="shared" si="2"/>
        <v>1</v>
      </c>
      <c r="Z15" s="107">
        <f t="shared" si="3"/>
        <v>1</v>
      </c>
      <c r="AA15" s="107">
        <f t="shared" si="20"/>
        <v>1</v>
      </c>
      <c r="AB15" s="107">
        <f t="shared" si="21"/>
        <v>1</v>
      </c>
      <c r="AC15" s="107">
        <f t="shared" si="22"/>
        <v>1</v>
      </c>
      <c r="AD15" s="108">
        <f t="shared" si="23"/>
        <v>15420000</v>
      </c>
      <c r="AE15" s="109">
        <f t="shared" si="24"/>
        <v>0</v>
      </c>
      <c r="AH15" s="412"/>
      <c r="AI15" s="325"/>
      <c r="AJ15" s="336"/>
      <c r="AK15" s="398"/>
      <c r="AL15" s="328"/>
      <c r="AM15" s="329"/>
      <c r="AN15" s="335"/>
      <c r="AO15" s="331"/>
      <c r="AP15" s="332"/>
      <c r="AQ15" s="413"/>
      <c r="AR15" s="107">
        <f t="shared" si="4"/>
        <v>0</v>
      </c>
      <c r="AS15" s="107">
        <f t="shared" si="5"/>
        <v>0</v>
      </c>
      <c r="AT15" s="107">
        <f t="shared" si="6"/>
        <v>0</v>
      </c>
      <c r="AU15" s="107">
        <f t="shared" si="7"/>
        <v>0</v>
      </c>
      <c r="AV15" s="107">
        <f t="shared" si="25"/>
        <v>0</v>
      </c>
      <c r="AW15" s="107">
        <f t="shared" si="26"/>
        <v>0</v>
      </c>
      <c r="AX15" s="107">
        <f t="shared" si="27"/>
        <v>0</v>
      </c>
      <c r="AY15" s="108">
        <f t="shared" si="28"/>
        <v>0</v>
      </c>
      <c r="AZ15" s="109">
        <f t="shared" si="29"/>
        <v>0</v>
      </c>
      <c r="BC15" s="325" t="s">
        <v>212</v>
      </c>
      <c r="BD15" s="325" t="s">
        <v>141</v>
      </c>
      <c r="BE15" s="336" t="s">
        <v>262</v>
      </c>
      <c r="BF15" s="398">
        <v>1</v>
      </c>
      <c r="BG15" s="328">
        <f>3500000*2</f>
        <v>7000000</v>
      </c>
      <c r="BH15" s="329">
        <f t="shared" si="30"/>
        <v>7244999.9999999991</v>
      </c>
      <c r="BI15" s="335">
        <v>0.5</v>
      </c>
      <c r="BJ15" s="331">
        <v>2</v>
      </c>
      <c r="BK15" s="332">
        <v>8</v>
      </c>
      <c r="BL15" s="333">
        <f t="shared" si="31"/>
        <v>35980000</v>
      </c>
      <c r="BM15" s="107">
        <f t="shared" si="8"/>
        <v>1</v>
      </c>
      <c r="BN15" s="107">
        <f t="shared" si="9"/>
        <v>1</v>
      </c>
      <c r="BO15" s="107">
        <f t="shared" si="10"/>
        <v>1</v>
      </c>
      <c r="BP15" s="107">
        <f t="shared" si="11"/>
        <v>1</v>
      </c>
      <c r="BQ15" s="107">
        <f t="shared" si="32"/>
        <v>1</v>
      </c>
      <c r="BR15" s="107">
        <f t="shared" si="33"/>
        <v>1</v>
      </c>
      <c r="BS15" s="107">
        <f t="shared" si="34"/>
        <v>1</v>
      </c>
      <c r="BT15" s="108">
        <f t="shared" si="35"/>
        <v>35980000</v>
      </c>
      <c r="BU15" s="109">
        <f t="shared" si="36"/>
        <v>0</v>
      </c>
      <c r="BX15" s="325" t="s">
        <v>212</v>
      </c>
      <c r="BY15" s="325" t="s">
        <v>141</v>
      </c>
      <c r="BZ15" s="336" t="s">
        <v>254</v>
      </c>
      <c r="CA15" s="398">
        <v>1</v>
      </c>
      <c r="CB15" s="328">
        <v>4500000</v>
      </c>
      <c r="CC15" s="329">
        <f t="shared" si="37"/>
        <v>4657500</v>
      </c>
      <c r="CD15" s="335">
        <v>0.5</v>
      </c>
      <c r="CE15" s="331">
        <v>2</v>
      </c>
      <c r="CF15" s="332">
        <v>8</v>
      </c>
      <c r="CG15" s="333">
        <f t="shared" si="38"/>
        <v>23130000</v>
      </c>
      <c r="CH15" s="107">
        <f t="shared" si="12"/>
        <v>1</v>
      </c>
      <c r="CI15" s="107">
        <f t="shared" si="13"/>
        <v>1</v>
      </c>
      <c r="CJ15" s="107">
        <f t="shared" si="14"/>
        <v>1</v>
      </c>
      <c r="CK15" s="107">
        <f t="shared" si="15"/>
        <v>1</v>
      </c>
      <c r="CL15" s="107">
        <f t="shared" si="39"/>
        <v>1</v>
      </c>
      <c r="CM15" s="107">
        <f t="shared" si="40"/>
        <v>1</v>
      </c>
      <c r="CN15" s="107">
        <f t="shared" si="41"/>
        <v>1</v>
      </c>
      <c r="CO15" s="108">
        <f t="shared" si="42"/>
        <v>23130000</v>
      </c>
      <c r="CP15" s="109">
        <f t="shared" si="43"/>
        <v>0</v>
      </c>
    </row>
    <row r="16" spans="2:94" ht="52.5" customHeight="1">
      <c r="B16" s="325">
        <v>1.6</v>
      </c>
      <c r="C16" s="325" t="s">
        <v>141</v>
      </c>
      <c r="D16" s="326" t="s">
        <v>263</v>
      </c>
      <c r="E16" s="327">
        <v>1</v>
      </c>
      <c r="F16" s="328">
        <v>0</v>
      </c>
      <c r="G16" s="329">
        <f t="shared" si="16"/>
        <v>0</v>
      </c>
      <c r="H16" s="330">
        <v>1</v>
      </c>
      <c r="I16" s="331">
        <v>2</v>
      </c>
      <c r="J16" s="332">
        <v>8</v>
      </c>
      <c r="K16" s="333">
        <f t="shared" si="17"/>
        <v>0</v>
      </c>
      <c r="M16" s="412">
        <v>1.6</v>
      </c>
      <c r="N16" s="325" t="s">
        <v>141</v>
      </c>
      <c r="O16" s="326" t="s">
        <v>263</v>
      </c>
      <c r="P16" s="327">
        <v>1</v>
      </c>
      <c r="Q16" s="328">
        <v>2500000</v>
      </c>
      <c r="R16" s="329">
        <f t="shared" si="18"/>
        <v>2587500</v>
      </c>
      <c r="S16" s="330">
        <v>1</v>
      </c>
      <c r="T16" s="331">
        <v>2</v>
      </c>
      <c r="U16" s="332">
        <v>8</v>
      </c>
      <c r="V16" s="413">
        <f t="shared" si="19"/>
        <v>25700000</v>
      </c>
      <c r="W16" s="107">
        <f t="shared" si="0"/>
        <v>1</v>
      </c>
      <c r="X16" s="107">
        <f t="shared" si="1"/>
        <v>1</v>
      </c>
      <c r="Y16" s="107">
        <f t="shared" si="2"/>
        <v>1</v>
      </c>
      <c r="Z16" s="107">
        <f t="shared" si="3"/>
        <v>1</v>
      </c>
      <c r="AA16" s="107">
        <f t="shared" si="20"/>
        <v>1</v>
      </c>
      <c r="AB16" s="107">
        <f t="shared" si="21"/>
        <v>1</v>
      </c>
      <c r="AC16" s="107">
        <f t="shared" si="22"/>
        <v>1</v>
      </c>
      <c r="AD16" s="108">
        <f t="shared" si="23"/>
        <v>25700000</v>
      </c>
      <c r="AE16" s="109">
        <f t="shared" si="24"/>
        <v>0</v>
      </c>
      <c r="AH16" s="412"/>
      <c r="AI16" s="325"/>
      <c r="AJ16" s="326"/>
      <c r="AK16" s="327"/>
      <c r="AL16" s="328"/>
      <c r="AM16" s="329"/>
      <c r="AN16" s="330"/>
      <c r="AO16" s="331"/>
      <c r="AP16" s="332"/>
      <c r="AQ16" s="413"/>
      <c r="AR16" s="107">
        <f t="shared" si="4"/>
        <v>0</v>
      </c>
      <c r="AS16" s="107">
        <f t="shared" si="5"/>
        <v>0</v>
      </c>
      <c r="AT16" s="107">
        <f t="shared" si="6"/>
        <v>0</v>
      </c>
      <c r="AU16" s="107">
        <f t="shared" si="7"/>
        <v>0</v>
      </c>
      <c r="AV16" s="107">
        <f t="shared" si="25"/>
        <v>0</v>
      </c>
      <c r="AW16" s="107">
        <f t="shared" si="26"/>
        <v>0</v>
      </c>
      <c r="AX16" s="107">
        <f t="shared" si="27"/>
        <v>0</v>
      </c>
      <c r="AY16" s="108">
        <f t="shared" si="28"/>
        <v>0</v>
      </c>
      <c r="AZ16" s="109">
        <f t="shared" si="29"/>
        <v>0</v>
      </c>
      <c r="BC16" s="325">
        <v>1.6</v>
      </c>
      <c r="BD16" s="325" t="s">
        <v>141</v>
      </c>
      <c r="BE16" s="326" t="s">
        <v>263</v>
      </c>
      <c r="BF16" s="327">
        <v>1</v>
      </c>
      <c r="BG16" s="328">
        <v>2529250</v>
      </c>
      <c r="BH16" s="329">
        <f t="shared" si="30"/>
        <v>2617773.75</v>
      </c>
      <c r="BI16" s="330">
        <v>1</v>
      </c>
      <c r="BJ16" s="331">
        <v>2</v>
      </c>
      <c r="BK16" s="332">
        <v>8</v>
      </c>
      <c r="BL16" s="333">
        <f t="shared" si="31"/>
        <v>26000690</v>
      </c>
      <c r="BM16" s="107">
        <f t="shared" si="8"/>
        <v>1</v>
      </c>
      <c r="BN16" s="107">
        <f t="shared" si="9"/>
        <v>1</v>
      </c>
      <c r="BO16" s="107">
        <f t="shared" si="10"/>
        <v>1</v>
      </c>
      <c r="BP16" s="107">
        <f t="shared" si="11"/>
        <v>1</v>
      </c>
      <c r="BQ16" s="107">
        <f t="shared" si="32"/>
        <v>1</v>
      </c>
      <c r="BR16" s="107">
        <f t="shared" si="33"/>
        <v>1</v>
      </c>
      <c r="BS16" s="107">
        <f t="shared" si="34"/>
        <v>1</v>
      </c>
      <c r="BT16" s="108">
        <f t="shared" si="35"/>
        <v>26000690</v>
      </c>
      <c r="BU16" s="109">
        <f t="shared" si="36"/>
        <v>0</v>
      </c>
      <c r="BX16" s="325">
        <v>1.6</v>
      </c>
      <c r="BY16" s="325" t="s">
        <v>141</v>
      </c>
      <c r="BZ16" s="399" t="s">
        <v>255</v>
      </c>
      <c r="CA16" s="327">
        <v>1</v>
      </c>
      <c r="CB16" s="328">
        <v>2750000</v>
      </c>
      <c r="CC16" s="329">
        <f t="shared" si="37"/>
        <v>2846250</v>
      </c>
      <c r="CD16" s="330">
        <v>1</v>
      </c>
      <c r="CE16" s="331">
        <v>2</v>
      </c>
      <c r="CF16" s="332">
        <v>8</v>
      </c>
      <c r="CG16" s="333">
        <f t="shared" si="38"/>
        <v>28270000</v>
      </c>
      <c r="CH16" s="107">
        <f t="shared" si="12"/>
        <v>1</v>
      </c>
      <c r="CI16" s="107">
        <f t="shared" si="13"/>
        <v>1</v>
      </c>
      <c r="CJ16" s="107">
        <f t="shared" si="14"/>
        <v>1</v>
      </c>
      <c r="CK16" s="107">
        <f t="shared" si="15"/>
        <v>1</v>
      </c>
      <c r="CL16" s="107">
        <f t="shared" si="39"/>
        <v>1</v>
      </c>
      <c r="CM16" s="107">
        <f t="shared" si="40"/>
        <v>1</v>
      </c>
      <c r="CN16" s="107">
        <f t="shared" si="41"/>
        <v>1</v>
      </c>
      <c r="CO16" s="108">
        <f t="shared" si="42"/>
        <v>28270000</v>
      </c>
      <c r="CP16" s="109">
        <f t="shared" si="43"/>
        <v>0</v>
      </c>
    </row>
    <row r="17" spans="1:94" ht="63.75" customHeight="1" thickBot="1">
      <c r="B17" s="325">
        <v>1.7</v>
      </c>
      <c r="C17" s="325" t="s">
        <v>141</v>
      </c>
      <c r="D17" s="326" t="s">
        <v>264</v>
      </c>
      <c r="E17" s="327">
        <v>1</v>
      </c>
      <c r="F17" s="328">
        <v>0</v>
      </c>
      <c r="G17" s="329">
        <f t="shared" si="16"/>
        <v>0</v>
      </c>
      <c r="H17" s="330">
        <v>1</v>
      </c>
      <c r="I17" s="331">
        <v>2</v>
      </c>
      <c r="J17" s="332">
        <v>8</v>
      </c>
      <c r="K17" s="333">
        <f t="shared" si="17"/>
        <v>0</v>
      </c>
      <c r="M17" s="414">
        <v>1.7</v>
      </c>
      <c r="N17" s="415" t="s">
        <v>141</v>
      </c>
      <c r="O17" s="416" t="s">
        <v>264</v>
      </c>
      <c r="P17" s="417">
        <v>1</v>
      </c>
      <c r="Q17" s="418">
        <v>2500000</v>
      </c>
      <c r="R17" s="419">
        <f t="shared" si="18"/>
        <v>2587500</v>
      </c>
      <c r="S17" s="420">
        <v>1</v>
      </c>
      <c r="T17" s="421">
        <v>2</v>
      </c>
      <c r="U17" s="422">
        <v>8</v>
      </c>
      <c r="V17" s="423">
        <f t="shared" si="19"/>
        <v>25700000</v>
      </c>
      <c r="W17" s="107">
        <f t="shared" si="0"/>
        <v>1</v>
      </c>
      <c r="X17" s="107">
        <f t="shared" si="1"/>
        <v>1</v>
      </c>
      <c r="Y17" s="107">
        <f t="shared" si="2"/>
        <v>1</v>
      </c>
      <c r="Z17" s="107">
        <f t="shared" si="3"/>
        <v>1</v>
      </c>
      <c r="AA17" s="107">
        <f t="shared" si="20"/>
        <v>1</v>
      </c>
      <c r="AB17" s="107">
        <f t="shared" si="21"/>
        <v>1</v>
      </c>
      <c r="AC17" s="107">
        <f t="shared" si="22"/>
        <v>1</v>
      </c>
      <c r="AD17" s="108">
        <f t="shared" si="23"/>
        <v>25700000</v>
      </c>
      <c r="AE17" s="109">
        <f t="shared" si="24"/>
        <v>0</v>
      </c>
      <c r="AH17" s="414"/>
      <c r="AI17" s="415"/>
      <c r="AJ17" s="416"/>
      <c r="AK17" s="417"/>
      <c r="AL17" s="418"/>
      <c r="AM17" s="419"/>
      <c r="AN17" s="420"/>
      <c r="AO17" s="421"/>
      <c r="AP17" s="422"/>
      <c r="AQ17" s="423"/>
      <c r="AR17" s="107">
        <f t="shared" si="4"/>
        <v>0</v>
      </c>
      <c r="AS17" s="107">
        <f t="shared" si="5"/>
        <v>0</v>
      </c>
      <c r="AT17" s="107">
        <f t="shared" si="6"/>
        <v>0</v>
      </c>
      <c r="AU17" s="107">
        <f t="shared" si="7"/>
        <v>0</v>
      </c>
      <c r="AV17" s="107">
        <f t="shared" si="25"/>
        <v>0</v>
      </c>
      <c r="AW17" s="107">
        <f t="shared" si="26"/>
        <v>0</v>
      </c>
      <c r="AX17" s="107">
        <f t="shared" si="27"/>
        <v>0</v>
      </c>
      <c r="AY17" s="108">
        <f t="shared" si="28"/>
        <v>0</v>
      </c>
      <c r="AZ17" s="109">
        <f t="shared" si="29"/>
        <v>0</v>
      </c>
      <c r="BC17" s="325">
        <v>1.7</v>
      </c>
      <c r="BD17" s="325" t="s">
        <v>141</v>
      </c>
      <c r="BE17" s="326" t="s">
        <v>264</v>
      </c>
      <c r="BF17" s="327">
        <v>1</v>
      </c>
      <c r="BG17" s="328">
        <v>3500000</v>
      </c>
      <c r="BH17" s="329">
        <f t="shared" si="30"/>
        <v>3622499.9999999995</v>
      </c>
      <c r="BI17" s="330">
        <v>1</v>
      </c>
      <c r="BJ17" s="331">
        <v>2</v>
      </c>
      <c r="BK17" s="332">
        <v>8</v>
      </c>
      <c r="BL17" s="333">
        <f t="shared" si="31"/>
        <v>35980000</v>
      </c>
      <c r="BM17" s="107">
        <f t="shared" si="8"/>
        <v>1</v>
      </c>
      <c r="BN17" s="107">
        <f t="shared" si="9"/>
        <v>1</v>
      </c>
      <c r="BO17" s="107">
        <f t="shared" si="10"/>
        <v>1</v>
      </c>
      <c r="BP17" s="107">
        <f t="shared" si="11"/>
        <v>1</v>
      </c>
      <c r="BQ17" s="107">
        <f t="shared" si="32"/>
        <v>1</v>
      </c>
      <c r="BR17" s="107">
        <f t="shared" si="33"/>
        <v>1</v>
      </c>
      <c r="BS17" s="107">
        <f t="shared" si="34"/>
        <v>1</v>
      </c>
      <c r="BT17" s="108">
        <f t="shared" si="35"/>
        <v>35980000</v>
      </c>
      <c r="BU17" s="109">
        <f t="shared" si="36"/>
        <v>0</v>
      </c>
      <c r="BX17" s="325">
        <v>1.7</v>
      </c>
      <c r="BY17" s="325" t="s">
        <v>141</v>
      </c>
      <c r="BZ17" s="326" t="s">
        <v>256</v>
      </c>
      <c r="CA17" s="327">
        <v>1</v>
      </c>
      <c r="CB17" s="328">
        <v>4000000</v>
      </c>
      <c r="CC17" s="329">
        <f t="shared" si="37"/>
        <v>4139999.9999999995</v>
      </c>
      <c r="CD17" s="330">
        <v>1</v>
      </c>
      <c r="CE17" s="331">
        <v>2</v>
      </c>
      <c r="CF17" s="332">
        <v>8</v>
      </c>
      <c r="CG17" s="333">
        <f t="shared" si="38"/>
        <v>41120000</v>
      </c>
      <c r="CH17" s="107">
        <f t="shared" si="12"/>
        <v>1</v>
      </c>
      <c r="CI17" s="107">
        <f t="shared" si="13"/>
        <v>1</v>
      </c>
      <c r="CJ17" s="107">
        <f t="shared" si="14"/>
        <v>1</v>
      </c>
      <c r="CK17" s="107">
        <f t="shared" si="15"/>
        <v>1</v>
      </c>
      <c r="CL17" s="107">
        <f t="shared" si="39"/>
        <v>1</v>
      </c>
      <c r="CM17" s="107">
        <f t="shared" si="40"/>
        <v>1</v>
      </c>
      <c r="CN17" s="107">
        <f t="shared" si="41"/>
        <v>1</v>
      </c>
      <c r="CO17" s="108">
        <f t="shared" si="42"/>
        <v>41120000</v>
      </c>
      <c r="CP17" s="109">
        <f t="shared" si="43"/>
        <v>0</v>
      </c>
    </row>
    <row r="18" spans="1:94" ht="33" customHeight="1">
      <c r="B18" s="400"/>
      <c r="C18" s="401"/>
      <c r="D18" s="803" t="s">
        <v>257</v>
      </c>
      <c r="E18" s="804"/>
      <c r="F18" s="804"/>
      <c r="G18" s="804"/>
      <c r="H18" s="804"/>
      <c r="I18" s="804"/>
      <c r="J18" s="804"/>
      <c r="K18" s="805"/>
      <c r="M18" s="424"/>
      <c r="N18" s="425"/>
      <c r="O18" s="809" t="s">
        <v>257</v>
      </c>
      <c r="P18" s="810"/>
      <c r="Q18" s="810"/>
      <c r="R18" s="810"/>
      <c r="S18" s="810"/>
      <c r="T18" s="810"/>
      <c r="U18" s="810"/>
      <c r="V18" s="811"/>
      <c r="W18" s="783"/>
      <c r="X18" s="784"/>
      <c r="Y18" s="784"/>
      <c r="Z18" s="784"/>
      <c r="AA18" s="784"/>
      <c r="AB18" s="784"/>
      <c r="AC18" s="784"/>
      <c r="AD18" s="784"/>
      <c r="AE18" s="785"/>
      <c r="AH18" s="424"/>
      <c r="AI18" s="425"/>
      <c r="AJ18" s="809"/>
      <c r="AK18" s="810"/>
      <c r="AL18" s="810"/>
      <c r="AM18" s="810"/>
      <c r="AN18" s="810"/>
      <c r="AO18" s="810"/>
      <c r="AP18" s="810"/>
      <c r="AQ18" s="811"/>
      <c r="AR18" s="783"/>
      <c r="AS18" s="784"/>
      <c r="AT18" s="784"/>
      <c r="AU18" s="784"/>
      <c r="AV18" s="784"/>
      <c r="AW18" s="784"/>
      <c r="AX18" s="784"/>
      <c r="AY18" s="784"/>
      <c r="AZ18" s="785"/>
      <c r="BC18" s="400"/>
      <c r="BD18" s="401"/>
      <c r="BE18" s="803" t="s">
        <v>257</v>
      </c>
      <c r="BF18" s="804"/>
      <c r="BG18" s="804"/>
      <c r="BH18" s="804"/>
      <c r="BI18" s="804"/>
      <c r="BJ18" s="804"/>
      <c r="BK18" s="804"/>
      <c r="BL18" s="805"/>
      <c r="BM18" s="783"/>
      <c r="BN18" s="784"/>
      <c r="BO18" s="784"/>
      <c r="BP18" s="784"/>
      <c r="BQ18" s="784"/>
      <c r="BR18" s="784"/>
      <c r="BS18" s="784"/>
      <c r="BT18" s="784"/>
      <c r="BU18" s="785"/>
      <c r="BX18" s="400"/>
      <c r="BY18" s="401"/>
      <c r="BZ18" s="803" t="s">
        <v>257</v>
      </c>
      <c r="CA18" s="804"/>
      <c r="CB18" s="804"/>
      <c r="CC18" s="804"/>
      <c r="CD18" s="804"/>
      <c r="CE18" s="804"/>
      <c r="CF18" s="804"/>
      <c r="CG18" s="805"/>
      <c r="CH18" s="783"/>
      <c r="CI18" s="784"/>
      <c r="CJ18" s="784"/>
      <c r="CK18" s="784"/>
      <c r="CL18" s="784"/>
      <c r="CM18" s="784"/>
      <c r="CN18" s="784"/>
      <c r="CO18" s="784"/>
      <c r="CP18" s="785"/>
    </row>
    <row r="19" spans="1:94" ht="79.5" customHeight="1">
      <c r="B19" s="325">
        <v>1.8</v>
      </c>
      <c r="C19" s="325" t="s">
        <v>142</v>
      </c>
      <c r="D19" s="334" t="s">
        <v>224</v>
      </c>
      <c r="E19" s="327">
        <v>1</v>
      </c>
      <c r="F19" s="328">
        <v>0</v>
      </c>
      <c r="G19" s="329">
        <f>F19*1.035</f>
        <v>0</v>
      </c>
      <c r="H19" s="335">
        <v>0.1</v>
      </c>
      <c r="I19" s="331">
        <v>2</v>
      </c>
      <c r="J19" s="332">
        <v>8</v>
      </c>
      <c r="K19" s="333">
        <f t="shared" si="17"/>
        <v>0</v>
      </c>
      <c r="M19" s="412">
        <v>1.8</v>
      </c>
      <c r="N19" s="325" t="s">
        <v>142</v>
      </c>
      <c r="O19" s="334" t="s">
        <v>224</v>
      </c>
      <c r="P19" s="327">
        <v>1</v>
      </c>
      <c r="Q19" s="328">
        <v>8000000</v>
      </c>
      <c r="R19" s="329">
        <f>Q19*1.035</f>
        <v>8279999.9999999991</v>
      </c>
      <c r="S19" s="335">
        <v>0.1</v>
      </c>
      <c r="T19" s="331">
        <v>2</v>
      </c>
      <c r="U19" s="332">
        <v>8</v>
      </c>
      <c r="V19" s="413">
        <f t="shared" si="19"/>
        <v>8224000</v>
      </c>
      <c r="W19" s="107">
        <f>IFERROR(IF(EXACT(VLOOKUP(M19,OFERTA_0,1,FALSE),M19),1,0),0)</f>
        <v>1</v>
      </c>
      <c r="X19" s="107">
        <f>IFERROR(IF(EXACT(VLOOKUP(M19,OFERTA_0,3,FALSE),O19),1,0),0)</f>
        <v>1</v>
      </c>
      <c r="Y19" s="107">
        <f>IFERROR(IF(EXACT(VLOOKUP(M19,OFERTA_0,4,FALSE),P19),1,0),0)</f>
        <v>1</v>
      </c>
      <c r="Z19" s="107">
        <f>IFERROR(IF(EXACT(VLOOKUP(M19,OFERTA_0,7,FALSE),S19),1,0),0)</f>
        <v>1</v>
      </c>
      <c r="AA19" s="107">
        <f t="shared" ref="AA19:AA21" si="44">IFERROR(IF(R19&lt;=0,0,1),0)</f>
        <v>1</v>
      </c>
      <c r="AB19" s="107">
        <f t="shared" ref="AB19:AB22" si="45">IFERROR(IF(V19&lt;=0,0,1),0)</f>
        <v>1</v>
      </c>
      <c r="AC19" s="107">
        <f t="shared" ref="AC19:AC22" si="46">PRODUCT(W19:AB19)</f>
        <v>1</v>
      </c>
      <c r="AD19" s="108">
        <f t="shared" ref="AD19:AD22" si="47">ROUND(V19,0)</f>
        <v>8224000</v>
      </c>
      <c r="AE19" s="109">
        <f t="shared" ref="AE19:AE22" si="48">V19-AD19</f>
        <v>0</v>
      </c>
      <c r="AH19" s="412"/>
      <c r="AI19" s="325"/>
      <c r="AJ19" s="334"/>
      <c r="AK19" s="327"/>
      <c r="AL19" s="328"/>
      <c r="AM19" s="329"/>
      <c r="AN19" s="335"/>
      <c r="AO19" s="331"/>
      <c r="AP19" s="332"/>
      <c r="AQ19" s="413">
        <f t="shared" ref="AQ19:AQ21" si="49">ROUND(AK19*AL19*AN19*AO19,0)+ROUND(AK19*AM19*AN19*AP19,0)</f>
        <v>0</v>
      </c>
      <c r="AR19" s="107">
        <f>IFERROR(IF(EXACT(VLOOKUP(AH19,OFERTA_0,1,FALSE),AH19),1,0),0)</f>
        <v>0</v>
      </c>
      <c r="AS19" s="107">
        <f>IFERROR(IF(EXACT(VLOOKUP(AH19,OFERTA_0,3,FALSE),AJ19),1,0),0)</f>
        <v>0</v>
      </c>
      <c r="AT19" s="107">
        <f>IFERROR(IF(EXACT(VLOOKUP(AH19,OFERTA_0,4,FALSE),AK19),1,0),0)</f>
        <v>0</v>
      </c>
      <c r="AU19" s="107">
        <f>IFERROR(IF(EXACT(VLOOKUP(AH19,OFERTA_0,7,FALSE),AN19),1,0),0)</f>
        <v>0</v>
      </c>
      <c r="AV19" s="107">
        <f t="shared" ref="AV19:AV21" si="50">IFERROR(IF(AM19&lt;=0,0,1),0)</f>
        <v>0</v>
      </c>
      <c r="AW19" s="107">
        <f t="shared" ref="AW19:AW22" si="51">IFERROR(IF(AQ19&lt;=0,0,1),0)</f>
        <v>0</v>
      </c>
      <c r="AX19" s="107">
        <f t="shared" ref="AX19:AX22" si="52">PRODUCT(AR19:AW19)</f>
        <v>0</v>
      </c>
      <c r="AY19" s="108">
        <f t="shared" ref="AY19:AY22" si="53">ROUND(AQ19,0)</f>
        <v>0</v>
      </c>
      <c r="AZ19" s="109">
        <f t="shared" ref="AZ19:AZ22" si="54">AQ19-AY19</f>
        <v>0</v>
      </c>
      <c r="BC19" s="325">
        <v>1.8</v>
      </c>
      <c r="BD19" s="325" t="s">
        <v>142</v>
      </c>
      <c r="BE19" s="334" t="s">
        <v>224</v>
      </c>
      <c r="BF19" s="327">
        <v>1</v>
      </c>
      <c r="BG19" s="328">
        <v>12235000</v>
      </c>
      <c r="BH19" s="329">
        <f>BG19*1.035</f>
        <v>12663224.999999998</v>
      </c>
      <c r="BI19" s="335">
        <v>0.1</v>
      </c>
      <c r="BJ19" s="331">
        <v>2</v>
      </c>
      <c r="BK19" s="332">
        <v>8</v>
      </c>
      <c r="BL19" s="333">
        <f t="shared" ref="BL19:BL21" si="55">ROUND(BF19*BG19*BI19*BJ19,0)+ROUND(BF19*BH19*BI19*BK19,0)</f>
        <v>12577580</v>
      </c>
      <c r="BM19" s="107">
        <f>IFERROR(IF(EXACT(VLOOKUP(BC19,OFERTA_0,1,FALSE),BC19),1,0),0)</f>
        <v>1</v>
      </c>
      <c r="BN19" s="107">
        <f>IFERROR(IF(EXACT(VLOOKUP(BC19,OFERTA_0,3,FALSE),BE19),1,0),0)</f>
        <v>1</v>
      </c>
      <c r="BO19" s="107">
        <f>IFERROR(IF(EXACT(VLOOKUP(BC19,OFERTA_0,4,FALSE),BF19),1,0),0)</f>
        <v>1</v>
      </c>
      <c r="BP19" s="107">
        <f>IFERROR(IF(EXACT(VLOOKUP(BC19,OFERTA_0,7,FALSE),BI19),1,0),0)</f>
        <v>1</v>
      </c>
      <c r="BQ19" s="107">
        <f t="shared" ref="BQ19:BQ21" si="56">IFERROR(IF(BH19&lt;=0,0,1),0)</f>
        <v>1</v>
      </c>
      <c r="BR19" s="107">
        <f t="shared" ref="BR19:BR22" si="57">IFERROR(IF(BL19&lt;=0,0,1),0)</f>
        <v>1</v>
      </c>
      <c r="BS19" s="107">
        <f t="shared" ref="BS19:BS22" si="58">PRODUCT(BM19:BR19)</f>
        <v>1</v>
      </c>
      <c r="BT19" s="108">
        <f t="shared" ref="BT19:BT22" si="59">ROUND(BL19,0)</f>
        <v>12577580</v>
      </c>
      <c r="BU19" s="109">
        <f t="shared" ref="BU19:BU22" si="60">BL19-BT19</f>
        <v>0</v>
      </c>
      <c r="BX19" s="325">
        <v>1.8</v>
      </c>
      <c r="BY19" s="325" t="s">
        <v>142</v>
      </c>
      <c r="BZ19" s="334" t="s">
        <v>224</v>
      </c>
      <c r="CA19" s="327">
        <v>1</v>
      </c>
      <c r="CB19" s="328">
        <v>6000000</v>
      </c>
      <c r="CC19" s="329">
        <f>CB19*1.035</f>
        <v>6209999.9999999991</v>
      </c>
      <c r="CD19" s="335">
        <v>0.1</v>
      </c>
      <c r="CE19" s="331">
        <v>2</v>
      </c>
      <c r="CF19" s="332">
        <v>8</v>
      </c>
      <c r="CG19" s="333">
        <f t="shared" ref="CG19:CG21" si="61">ROUND(CA19*CB19*CD19*CE19,0)+ROUND(CA19*CC19*CD19*CF19,0)</f>
        <v>6168000</v>
      </c>
      <c r="CH19" s="107">
        <f>IFERROR(IF(EXACT(VLOOKUP(BX19,OFERTA_0,1,FALSE),BX19),1,0),0)</f>
        <v>1</v>
      </c>
      <c r="CI19" s="107">
        <f>IFERROR(IF(EXACT(VLOOKUP(BX19,OFERTA_0,3,FALSE),BZ19),1,0),0)</f>
        <v>1</v>
      </c>
      <c r="CJ19" s="107">
        <f>IFERROR(IF(EXACT(VLOOKUP(BX19,OFERTA_0,4,FALSE),CA19),1,0),0)</f>
        <v>1</v>
      </c>
      <c r="CK19" s="107">
        <f>IFERROR(IF(EXACT(VLOOKUP(BX19,OFERTA_0,7,FALSE),CD19),1,0),0)</f>
        <v>1</v>
      </c>
      <c r="CL19" s="107">
        <f t="shared" ref="CL19:CL21" si="62">IFERROR(IF(CC19&lt;=0,0,1),0)</f>
        <v>1</v>
      </c>
      <c r="CM19" s="107">
        <f t="shared" ref="CM19:CM22" si="63">IFERROR(IF(CG19&lt;=0,0,1),0)</f>
        <v>1</v>
      </c>
      <c r="CN19" s="107">
        <f t="shared" ref="CN19:CN22" si="64">PRODUCT(CH19:CM19)</f>
        <v>1</v>
      </c>
      <c r="CO19" s="108">
        <f t="shared" ref="CO19:CO22" si="65">ROUND(CG19,0)</f>
        <v>6168000</v>
      </c>
      <c r="CP19" s="109">
        <f t="shared" ref="CP19:CP22" si="66">CG19-CO19</f>
        <v>0</v>
      </c>
    </row>
    <row r="20" spans="1:94" s="188" customFormat="1" ht="86.25" customHeight="1">
      <c r="A20" s="186"/>
      <c r="B20" s="325">
        <v>1.9</v>
      </c>
      <c r="C20" s="325" t="s">
        <v>142</v>
      </c>
      <c r="D20" s="336" t="s">
        <v>225</v>
      </c>
      <c r="E20" s="327">
        <v>1</v>
      </c>
      <c r="F20" s="328">
        <v>0</v>
      </c>
      <c r="G20" s="329">
        <f t="shared" ref="G20:G21" si="67">F20*1.035</f>
        <v>0</v>
      </c>
      <c r="H20" s="335">
        <v>0.1</v>
      </c>
      <c r="I20" s="331">
        <v>2</v>
      </c>
      <c r="J20" s="332"/>
      <c r="K20" s="333">
        <f t="shared" si="17"/>
        <v>0</v>
      </c>
      <c r="M20" s="412">
        <v>1.9</v>
      </c>
      <c r="N20" s="325" t="s">
        <v>142</v>
      </c>
      <c r="O20" s="336" t="s">
        <v>225</v>
      </c>
      <c r="P20" s="327">
        <v>1</v>
      </c>
      <c r="Q20" s="328">
        <v>8000000</v>
      </c>
      <c r="R20" s="329">
        <f t="shared" ref="R20:R21" si="68">Q20*1.035</f>
        <v>8279999.9999999991</v>
      </c>
      <c r="S20" s="335">
        <v>0.1</v>
      </c>
      <c r="T20" s="331">
        <v>2</v>
      </c>
      <c r="U20" s="332"/>
      <c r="V20" s="413">
        <f t="shared" si="19"/>
        <v>1600000</v>
      </c>
      <c r="W20" s="107">
        <f>IFERROR(IF(EXACT(VLOOKUP(M20,OFERTA_0,1,FALSE),M20),1,0),0)</f>
        <v>1</v>
      </c>
      <c r="X20" s="107">
        <f>IFERROR(IF(EXACT(VLOOKUP(M20,OFERTA_0,3,FALSE),O20),1,0),0)</f>
        <v>1</v>
      </c>
      <c r="Y20" s="107">
        <f>IFERROR(IF(EXACT(VLOOKUP(M20,OFERTA_0,4,FALSE),P20),1,0),0)</f>
        <v>1</v>
      </c>
      <c r="Z20" s="107">
        <f>IFERROR(IF(EXACT(VLOOKUP(M20,OFERTA_0,7,FALSE),S20),1,0),0)</f>
        <v>1</v>
      </c>
      <c r="AA20" s="107">
        <f t="shared" si="44"/>
        <v>1</v>
      </c>
      <c r="AB20" s="107">
        <f t="shared" si="45"/>
        <v>1</v>
      </c>
      <c r="AC20" s="107">
        <f t="shared" si="46"/>
        <v>1</v>
      </c>
      <c r="AD20" s="108">
        <f t="shared" si="47"/>
        <v>1600000</v>
      </c>
      <c r="AE20" s="109">
        <f t="shared" si="48"/>
        <v>0</v>
      </c>
      <c r="AH20" s="412"/>
      <c r="AI20" s="325"/>
      <c r="AJ20" s="336"/>
      <c r="AK20" s="327"/>
      <c r="AL20" s="328"/>
      <c r="AM20" s="329"/>
      <c r="AN20" s="335"/>
      <c r="AO20" s="331"/>
      <c r="AP20" s="332"/>
      <c r="AQ20" s="413">
        <f t="shared" si="49"/>
        <v>0</v>
      </c>
      <c r="AR20" s="107">
        <f>IFERROR(IF(EXACT(VLOOKUP(AH20,OFERTA_0,1,FALSE),AH20),1,0),0)</f>
        <v>0</v>
      </c>
      <c r="AS20" s="107">
        <f>IFERROR(IF(EXACT(VLOOKUP(AH20,OFERTA_0,3,FALSE),AJ20),1,0),0)</f>
        <v>0</v>
      </c>
      <c r="AT20" s="107">
        <f>IFERROR(IF(EXACT(VLOOKUP(AH20,OFERTA_0,4,FALSE),AK20),1,0),0)</f>
        <v>0</v>
      </c>
      <c r="AU20" s="107">
        <f>IFERROR(IF(EXACT(VLOOKUP(AH20,OFERTA_0,7,FALSE),AN20),1,0),0)</f>
        <v>0</v>
      </c>
      <c r="AV20" s="107">
        <f t="shared" si="50"/>
        <v>0</v>
      </c>
      <c r="AW20" s="107">
        <f t="shared" si="51"/>
        <v>0</v>
      </c>
      <c r="AX20" s="107">
        <f t="shared" si="52"/>
        <v>0</v>
      </c>
      <c r="AY20" s="108">
        <f t="shared" si="53"/>
        <v>0</v>
      </c>
      <c r="AZ20" s="109">
        <f t="shared" si="54"/>
        <v>0</v>
      </c>
      <c r="BC20" s="325">
        <v>1.9</v>
      </c>
      <c r="BD20" s="325" t="s">
        <v>142</v>
      </c>
      <c r="BE20" s="336" t="s">
        <v>225</v>
      </c>
      <c r="BF20" s="327">
        <v>1</v>
      </c>
      <c r="BG20" s="328">
        <v>6000000</v>
      </c>
      <c r="BH20" s="329">
        <f t="shared" ref="BH20:BH21" si="69">BG20*1.035</f>
        <v>6209999.9999999991</v>
      </c>
      <c r="BI20" s="335">
        <v>0.1</v>
      </c>
      <c r="BJ20" s="331">
        <v>2</v>
      </c>
      <c r="BK20" s="332"/>
      <c r="BL20" s="333">
        <f t="shared" si="55"/>
        <v>1200000</v>
      </c>
      <c r="BM20" s="107">
        <f>IFERROR(IF(EXACT(VLOOKUP(BC20,OFERTA_0,1,FALSE),BC20),1,0),0)</f>
        <v>1</v>
      </c>
      <c r="BN20" s="107">
        <f>IFERROR(IF(EXACT(VLOOKUP(BC20,OFERTA_0,3,FALSE),BE20),1,0),0)</f>
        <v>1</v>
      </c>
      <c r="BO20" s="107">
        <f>IFERROR(IF(EXACT(VLOOKUP(BC20,OFERTA_0,4,FALSE),BF20),1,0),0)</f>
        <v>1</v>
      </c>
      <c r="BP20" s="107">
        <f>IFERROR(IF(EXACT(VLOOKUP(BC20,OFERTA_0,7,FALSE),BI20),1,0),0)</f>
        <v>1</v>
      </c>
      <c r="BQ20" s="107">
        <f t="shared" si="56"/>
        <v>1</v>
      </c>
      <c r="BR20" s="107">
        <f t="shared" si="57"/>
        <v>1</v>
      </c>
      <c r="BS20" s="107">
        <f t="shared" si="58"/>
        <v>1</v>
      </c>
      <c r="BT20" s="108">
        <f t="shared" si="59"/>
        <v>1200000</v>
      </c>
      <c r="BU20" s="109">
        <f t="shared" si="60"/>
        <v>0</v>
      </c>
      <c r="BX20" s="325">
        <v>1.9</v>
      </c>
      <c r="BY20" s="325" t="s">
        <v>142</v>
      </c>
      <c r="BZ20" s="336" t="s">
        <v>225</v>
      </c>
      <c r="CA20" s="327">
        <v>1</v>
      </c>
      <c r="CB20" s="328">
        <v>8000000</v>
      </c>
      <c r="CC20" s="329">
        <f t="shared" ref="CC20:CC21" si="70">CB20*1.035</f>
        <v>8279999.9999999991</v>
      </c>
      <c r="CD20" s="335">
        <v>0.1</v>
      </c>
      <c r="CE20" s="331">
        <v>2</v>
      </c>
      <c r="CF20" s="332"/>
      <c r="CG20" s="333">
        <f t="shared" si="61"/>
        <v>1600000</v>
      </c>
      <c r="CH20" s="107">
        <f>IFERROR(IF(EXACT(VLOOKUP(BX20,OFERTA_0,1,FALSE),BX20),1,0),0)</f>
        <v>1</v>
      </c>
      <c r="CI20" s="107">
        <f>IFERROR(IF(EXACT(VLOOKUP(BX20,OFERTA_0,3,FALSE),BZ20),1,0),0)</f>
        <v>1</v>
      </c>
      <c r="CJ20" s="107">
        <f>IFERROR(IF(EXACT(VLOOKUP(BX20,OFERTA_0,4,FALSE),CA20),1,0),0)</f>
        <v>1</v>
      </c>
      <c r="CK20" s="107">
        <f>IFERROR(IF(EXACT(VLOOKUP(BX20,OFERTA_0,7,FALSE),CD20),1,0),0)</f>
        <v>1</v>
      </c>
      <c r="CL20" s="107">
        <f t="shared" si="62"/>
        <v>1</v>
      </c>
      <c r="CM20" s="107">
        <f t="shared" si="63"/>
        <v>1</v>
      </c>
      <c r="CN20" s="107">
        <f t="shared" si="64"/>
        <v>1</v>
      </c>
      <c r="CO20" s="108">
        <f t="shared" si="65"/>
        <v>1600000</v>
      </c>
      <c r="CP20" s="109">
        <f t="shared" si="66"/>
        <v>0</v>
      </c>
    </row>
    <row r="21" spans="1:94" s="188" customFormat="1" ht="76.5" customHeight="1">
      <c r="A21" s="186"/>
      <c r="B21" s="325" t="s">
        <v>213</v>
      </c>
      <c r="C21" s="325" t="s">
        <v>141</v>
      </c>
      <c r="D21" s="336" t="s">
        <v>258</v>
      </c>
      <c r="E21" s="327">
        <v>1</v>
      </c>
      <c r="F21" s="328">
        <v>0</v>
      </c>
      <c r="G21" s="329">
        <f t="shared" si="67"/>
        <v>0</v>
      </c>
      <c r="H21" s="335">
        <v>1</v>
      </c>
      <c r="I21" s="331">
        <v>2</v>
      </c>
      <c r="J21" s="332">
        <v>8</v>
      </c>
      <c r="K21" s="333">
        <f t="shared" si="17"/>
        <v>0</v>
      </c>
      <c r="M21" s="412" t="s">
        <v>213</v>
      </c>
      <c r="N21" s="325" t="s">
        <v>141</v>
      </c>
      <c r="O21" s="336" t="s">
        <v>258</v>
      </c>
      <c r="P21" s="327">
        <v>1</v>
      </c>
      <c r="Q21" s="328">
        <v>3000000</v>
      </c>
      <c r="R21" s="329">
        <f t="shared" si="68"/>
        <v>3104999.9999999995</v>
      </c>
      <c r="S21" s="335">
        <v>1</v>
      </c>
      <c r="T21" s="331">
        <v>2</v>
      </c>
      <c r="U21" s="332">
        <v>8</v>
      </c>
      <c r="V21" s="413">
        <f t="shared" si="19"/>
        <v>30840000</v>
      </c>
      <c r="W21" s="107">
        <f>IFERROR(IF(EXACT(VLOOKUP(M21,OFERTA_0,1,FALSE),M21),1,0),0)</f>
        <v>1</v>
      </c>
      <c r="X21" s="107">
        <f>IFERROR(IF(EXACT(VLOOKUP(M21,OFERTA_0,3,FALSE),O21),1,0),0)</f>
        <v>1</v>
      </c>
      <c r="Y21" s="107">
        <f>IFERROR(IF(EXACT(VLOOKUP(M21,OFERTA_0,4,FALSE),P21),1,0),0)</f>
        <v>1</v>
      </c>
      <c r="Z21" s="107">
        <f>IFERROR(IF(EXACT(VLOOKUP(M21,OFERTA_0,7,FALSE),S21),1,0),0)</f>
        <v>1</v>
      </c>
      <c r="AA21" s="107">
        <f t="shared" si="44"/>
        <v>1</v>
      </c>
      <c r="AB21" s="107">
        <f t="shared" si="45"/>
        <v>1</v>
      </c>
      <c r="AC21" s="107">
        <f t="shared" si="46"/>
        <v>1</v>
      </c>
      <c r="AD21" s="108">
        <f t="shared" si="47"/>
        <v>30840000</v>
      </c>
      <c r="AE21" s="109">
        <f t="shared" si="48"/>
        <v>0</v>
      </c>
      <c r="AH21" s="412"/>
      <c r="AI21" s="325"/>
      <c r="AJ21" s="336"/>
      <c r="AK21" s="327"/>
      <c r="AL21" s="328"/>
      <c r="AM21" s="329"/>
      <c r="AN21" s="335"/>
      <c r="AO21" s="331"/>
      <c r="AP21" s="332"/>
      <c r="AQ21" s="413">
        <f t="shared" si="49"/>
        <v>0</v>
      </c>
      <c r="AR21" s="107">
        <f>IFERROR(IF(EXACT(VLOOKUP(AH21,OFERTA_0,1,FALSE),AH21),1,0),0)</f>
        <v>0</v>
      </c>
      <c r="AS21" s="107">
        <f>IFERROR(IF(EXACT(VLOOKUP(AH21,OFERTA_0,3,FALSE),AJ21),1,0),0)</f>
        <v>0</v>
      </c>
      <c r="AT21" s="107">
        <f>IFERROR(IF(EXACT(VLOOKUP(AH21,OFERTA_0,4,FALSE),AK21),1,0),0)</f>
        <v>0</v>
      </c>
      <c r="AU21" s="107">
        <f>IFERROR(IF(EXACT(VLOOKUP(AH21,OFERTA_0,7,FALSE),AN21),1,0),0)</f>
        <v>0</v>
      </c>
      <c r="AV21" s="107">
        <f t="shared" si="50"/>
        <v>0</v>
      </c>
      <c r="AW21" s="107">
        <f t="shared" si="51"/>
        <v>0</v>
      </c>
      <c r="AX21" s="107">
        <f t="shared" si="52"/>
        <v>0</v>
      </c>
      <c r="AY21" s="108">
        <f t="shared" si="53"/>
        <v>0</v>
      </c>
      <c r="AZ21" s="109">
        <f t="shared" si="54"/>
        <v>0</v>
      </c>
      <c r="BC21" s="325" t="s">
        <v>213</v>
      </c>
      <c r="BD21" s="325" t="s">
        <v>141</v>
      </c>
      <c r="BE21" s="336" t="s">
        <v>258</v>
      </c>
      <c r="BF21" s="327">
        <v>1</v>
      </c>
      <c r="BG21" s="328">
        <v>3000000</v>
      </c>
      <c r="BH21" s="329">
        <f t="shared" si="69"/>
        <v>3104999.9999999995</v>
      </c>
      <c r="BI21" s="335">
        <v>1</v>
      </c>
      <c r="BJ21" s="331">
        <v>2</v>
      </c>
      <c r="BK21" s="332">
        <v>8</v>
      </c>
      <c r="BL21" s="333">
        <f t="shared" si="55"/>
        <v>30840000</v>
      </c>
      <c r="BM21" s="107">
        <f>IFERROR(IF(EXACT(VLOOKUP(BC21,OFERTA_0,1,FALSE),BC21),1,0),0)</f>
        <v>1</v>
      </c>
      <c r="BN21" s="107">
        <f>IFERROR(IF(EXACT(VLOOKUP(BC21,OFERTA_0,3,FALSE),BE21),1,0),0)</f>
        <v>1</v>
      </c>
      <c r="BO21" s="107">
        <f>IFERROR(IF(EXACT(VLOOKUP(BC21,OFERTA_0,4,FALSE),BF21),1,0),0)</f>
        <v>1</v>
      </c>
      <c r="BP21" s="107">
        <f>IFERROR(IF(EXACT(VLOOKUP(BC21,OFERTA_0,7,FALSE),BI21),1,0),0)</f>
        <v>1</v>
      </c>
      <c r="BQ21" s="107">
        <f t="shared" si="56"/>
        <v>1</v>
      </c>
      <c r="BR21" s="107">
        <f t="shared" si="57"/>
        <v>1</v>
      </c>
      <c r="BS21" s="107">
        <f t="shared" si="58"/>
        <v>1</v>
      </c>
      <c r="BT21" s="108">
        <f t="shared" si="59"/>
        <v>30840000</v>
      </c>
      <c r="BU21" s="109">
        <f t="shared" si="60"/>
        <v>0</v>
      </c>
      <c r="BX21" s="325" t="s">
        <v>213</v>
      </c>
      <c r="BY21" s="325" t="s">
        <v>141</v>
      </c>
      <c r="BZ21" s="336" t="s">
        <v>258</v>
      </c>
      <c r="CA21" s="327">
        <v>1</v>
      </c>
      <c r="CB21" s="328">
        <v>4500000</v>
      </c>
      <c r="CC21" s="329">
        <f t="shared" si="70"/>
        <v>4657500</v>
      </c>
      <c r="CD21" s="335">
        <v>1</v>
      </c>
      <c r="CE21" s="331">
        <v>2</v>
      </c>
      <c r="CF21" s="332">
        <v>8</v>
      </c>
      <c r="CG21" s="333">
        <f t="shared" si="61"/>
        <v>46260000</v>
      </c>
      <c r="CH21" s="107">
        <f>IFERROR(IF(EXACT(VLOOKUP(BX21,OFERTA_0,1,FALSE),BX21),1,0),0)</f>
        <v>1</v>
      </c>
      <c r="CI21" s="107">
        <f>IFERROR(IF(EXACT(VLOOKUP(BX21,OFERTA_0,3,FALSE),BZ21),1,0),0)</f>
        <v>1</v>
      </c>
      <c r="CJ21" s="107">
        <f>IFERROR(IF(EXACT(VLOOKUP(BX21,OFERTA_0,4,FALSE),CA21),1,0),0)</f>
        <v>1</v>
      </c>
      <c r="CK21" s="107">
        <f>IFERROR(IF(EXACT(VLOOKUP(BX21,OFERTA_0,7,FALSE),CD21),1,0),0)</f>
        <v>1</v>
      </c>
      <c r="CL21" s="107">
        <f t="shared" si="62"/>
        <v>1</v>
      </c>
      <c r="CM21" s="107">
        <f t="shared" si="63"/>
        <v>1</v>
      </c>
      <c r="CN21" s="107">
        <f t="shared" si="64"/>
        <v>1</v>
      </c>
      <c r="CO21" s="108">
        <f t="shared" si="65"/>
        <v>46260000</v>
      </c>
      <c r="CP21" s="109">
        <f t="shared" si="66"/>
        <v>0</v>
      </c>
    </row>
    <row r="22" spans="1:94" s="188" customFormat="1" ht="25.5" customHeight="1">
      <c r="A22" s="186"/>
      <c r="B22" s="779" t="s">
        <v>259</v>
      </c>
      <c r="C22" s="780"/>
      <c r="D22" s="781"/>
      <c r="E22" s="781"/>
      <c r="F22" s="781"/>
      <c r="G22" s="781"/>
      <c r="H22" s="781"/>
      <c r="I22" s="782"/>
      <c r="J22" s="402"/>
      <c r="K22" s="403">
        <f>SUM(K11:K21)</f>
        <v>0</v>
      </c>
      <c r="M22" s="808" t="s">
        <v>259</v>
      </c>
      <c r="N22" s="780"/>
      <c r="O22" s="781"/>
      <c r="P22" s="781"/>
      <c r="Q22" s="781"/>
      <c r="R22" s="781"/>
      <c r="S22" s="781"/>
      <c r="T22" s="782"/>
      <c r="U22" s="402"/>
      <c r="V22" s="426">
        <f>SUM(V11:V21)</f>
        <v>164838000</v>
      </c>
      <c r="W22" s="107">
        <f>IFERROR(IF(EXACT(VLOOKUP(M22,OFERTA_0,1,FALSE),M22),1,0),0)</f>
        <v>1</v>
      </c>
      <c r="X22" s="107">
        <f>IFERROR(IF(EXACT(VLOOKUP(M22,OFERTA_0,3,FALSE),O22),1,0),0)</f>
        <v>1</v>
      </c>
      <c r="Y22" s="107">
        <f>IFERROR(IF(EXACT(VLOOKUP(M22,OFERTA_0,4,FALSE),P22),1,0),0)</f>
        <v>1</v>
      </c>
      <c r="Z22" s="107">
        <f>IFERROR(IF(EXACT(VLOOKUP(M22,OFERTA_0,7,FALSE),S22),1,0),0)</f>
        <v>1</v>
      </c>
      <c r="AA22" s="107">
        <v>1</v>
      </c>
      <c r="AB22" s="107">
        <f t="shared" si="45"/>
        <v>1</v>
      </c>
      <c r="AC22" s="107">
        <f t="shared" si="46"/>
        <v>1</v>
      </c>
      <c r="AD22" s="108">
        <f t="shared" si="47"/>
        <v>164838000</v>
      </c>
      <c r="AE22" s="109">
        <f t="shared" si="48"/>
        <v>0</v>
      </c>
      <c r="AH22" s="808"/>
      <c r="AI22" s="780"/>
      <c r="AJ22" s="781"/>
      <c r="AK22" s="781"/>
      <c r="AL22" s="781"/>
      <c r="AM22" s="781"/>
      <c r="AN22" s="781"/>
      <c r="AO22" s="782"/>
      <c r="AP22" s="402"/>
      <c r="AQ22" s="426">
        <f>SUM(AQ11:AQ21)</f>
        <v>0</v>
      </c>
      <c r="AR22" s="107">
        <f>IFERROR(IF(EXACT(VLOOKUP(AH22,OFERTA_0,1,FALSE),AH22),1,0),0)</f>
        <v>0</v>
      </c>
      <c r="AS22" s="107">
        <f>IFERROR(IF(EXACT(VLOOKUP(AH22,OFERTA_0,3,FALSE),AJ22),1,0),0)</f>
        <v>0</v>
      </c>
      <c r="AT22" s="107">
        <f>IFERROR(IF(EXACT(VLOOKUP(AH22,OFERTA_0,4,FALSE),AK22),1,0),0)</f>
        <v>0</v>
      </c>
      <c r="AU22" s="107">
        <f>IFERROR(IF(EXACT(VLOOKUP(AH22,OFERTA_0,7,FALSE),AN22),1,0),0)</f>
        <v>0</v>
      </c>
      <c r="AV22" s="107">
        <v>1</v>
      </c>
      <c r="AW22" s="107">
        <f t="shared" si="51"/>
        <v>0</v>
      </c>
      <c r="AX22" s="107">
        <f t="shared" si="52"/>
        <v>0</v>
      </c>
      <c r="AY22" s="108">
        <f t="shared" si="53"/>
        <v>0</v>
      </c>
      <c r="AZ22" s="109">
        <f t="shared" si="54"/>
        <v>0</v>
      </c>
      <c r="BC22" s="779" t="s">
        <v>259</v>
      </c>
      <c r="BD22" s="780"/>
      <c r="BE22" s="781"/>
      <c r="BF22" s="781"/>
      <c r="BG22" s="781"/>
      <c r="BH22" s="781"/>
      <c r="BI22" s="781"/>
      <c r="BJ22" s="782"/>
      <c r="BK22" s="402"/>
      <c r="BL22" s="403">
        <f>SUM(BL11:BL21)</f>
        <v>216526278</v>
      </c>
      <c r="BM22" s="107">
        <f>IFERROR(IF(EXACT(VLOOKUP(BC22,OFERTA_0,1,FALSE),BC22),1,0),0)</f>
        <v>1</v>
      </c>
      <c r="BN22" s="107">
        <f>IFERROR(IF(EXACT(VLOOKUP(BC22,OFERTA_0,3,FALSE),BE22),1,0),0)</f>
        <v>1</v>
      </c>
      <c r="BO22" s="107">
        <f>IFERROR(IF(EXACT(VLOOKUP(BC22,OFERTA_0,4,FALSE),BF22),1,0),0)</f>
        <v>1</v>
      </c>
      <c r="BP22" s="107">
        <f>IFERROR(IF(EXACT(VLOOKUP(BC22,OFERTA_0,7,FALSE),BI22),1,0),0)</f>
        <v>1</v>
      </c>
      <c r="BQ22" s="107">
        <v>1</v>
      </c>
      <c r="BR22" s="107">
        <f t="shared" si="57"/>
        <v>1</v>
      </c>
      <c r="BS22" s="107">
        <f t="shared" si="58"/>
        <v>1</v>
      </c>
      <c r="BT22" s="108">
        <f t="shared" si="59"/>
        <v>216526278</v>
      </c>
      <c r="BU22" s="109">
        <f t="shared" si="60"/>
        <v>0</v>
      </c>
      <c r="BX22" s="779" t="s">
        <v>259</v>
      </c>
      <c r="BY22" s="780"/>
      <c r="BZ22" s="781"/>
      <c r="CA22" s="781"/>
      <c r="CB22" s="781"/>
      <c r="CC22" s="781"/>
      <c r="CD22" s="781"/>
      <c r="CE22" s="782"/>
      <c r="CF22" s="402"/>
      <c r="CG22" s="403">
        <f>SUM(CG11:CG21)</f>
        <v>228608250</v>
      </c>
      <c r="CH22" s="107">
        <f>IFERROR(IF(EXACT(VLOOKUP(BX22,OFERTA_0,1,FALSE),BX22),1,0),0)</f>
        <v>1</v>
      </c>
      <c r="CI22" s="107">
        <f>IFERROR(IF(EXACT(VLOOKUP(BX22,OFERTA_0,3,FALSE),BZ22),1,0),0)</f>
        <v>1</v>
      </c>
      <c r="CJ22" s="107">
        <f>IFERROR(IF(EXACT(VLOOKUP(BX22,OFERTA_0,4,FALSE),CA22),1,0),0)</f>
        <v>1</v>
      </c>
      <c r="CK22" s="107">
        <f>IFERROR(IF(EXACT(VLOOKUP(BX22,OFERTA_0,7,FALSE),CD22),1,0),0)</f>
        <v>1</v>
      </c>
      <c r="CL22" s="107">
        <v>1</v>
      </c>
      <c r="CM22" s="107">
        <f t="shared" si="63"/>
        <v>1</v>
      </c>
      <c r="CN22" s="107">
        <f t="shared" si="64"/>
        <v>1</v>
      </c>
      <c r="CO22" s="108">
        <f t="shared" si="65"/>
        <v>228608250</v>
      </c>
      <c r="CP22" s="109">
        <f t="shared" si="66"/>
        <v>0</v>
      </c>
    </row>
    <row r="23" spans="1:94" s="188" customFormat="1">
      <c r="A23" s="186"/>
      <c r="B23" s="337"/>
      <c r="C23" s="338"/>
      <c r="D23" s="339"/>
      <c r="E23" s="339"/>
      <c r="F23" s="339"/>
      <c r="G23" s="339"/>
      <c r="H23" s="339"/>
      <c r="I23" s="340"/>
      <c r="J23" s="339"/>
      <c r="K23" s="341"/>
      <c r="M23" s="427"/>
      <c r="N23" s="338"/>
      <c r="O23" s="339"/>
      <c r="P23" s="339"/>
      <c r="Q23" s="339"/>
      <c r="R23" s="339"/>
      <c r="S23" s="339"/>
      <c r="T23" s="340"/>
      <c r="U23" s="339"/>
      <c r="V23" s="428"/>
      <c r="W23" s="783"/>
      <c r="X23" s="784"/>
      <c r="Y23" s="784"/>
      <c r="Z23" s="784"/>
      <c r="AA23" s="784"/>
      <c r="AB23" s="784"/>
      <c r="AC23" s="784"/>
      <c r="AD23" s="784"/>
      <c r="AE23" s="785"/>
      <c r="AH23" s="427"/>
      <c r="AI23" s="338"/>
      <c r="AJ23" s="339"/>
      <c r="AK23" s="339"/>
      <c r="AL23" s="339"/>
      <c r="AM23" s="339"/>
      <c r="AN23" s="339"/>
      <c r="AO23" s="340"/>
      <c r="AP23" s="339"/>
      <c r="AQ23" s="428"/>
      <c r="AR23" s="783"/>
      <c r="AS23" s="784"/>
      <c r="AT23" s="784"/>
      <c r="AU23" s="784"/>
      <c r="AV23" s="784"/>
      <c r="AW23" s="784"/>
      <c r="AX23" s="784"/>
      <c r="AY23" s="784"/>
      <c r="AZ23" s="785"/>
      <c r="BC23" s="427"/>
      <c r="BD23" s="338"/>
      <c r="BE23" s="339"/>
      <c r="BF23" s="339"/>
      <c r="BG23" s="339"/>
      <c r="BH23" s="339"/>
      <c r="BI23" s="339"/>
      <c r="BJ23" s="340"/>
      <c r="BK23" s="339"/>
      <c r="BL23" s="428"/>
      <c r="BM23" s="783"/>
      <c r="BN23" s="784"/>
      <c r="BO23" s="784"/>
      <c r="BP23" s="784"/>
      <c r="BQ23" s="784"/>
      <c r="BR23" s="784"/>
      <c r="BS23" s="784"/>
      <c r="BT23" s="784"/>
      <c r="BU23" s="785"/>
      <c r="BX23" s="427"/>
      <c r="BY23" s="338"/>
      <c r="BZ23" s="339"/>
      <c r="CA23" s="339"/>
      <c r="CB23" s="339"/>
      <c r="CC23" s="339"/>
      <c r="CD23" s="339"/>
      <c r="CE23" s="340"/>
      <c r="CF23" s="339"/>
      <c r="CG23" s="428"/>
      <c r="CH23" s="783"/>
      <c r="CI23" s="784"/>
      <c r="CJ23" s="784"/>
      <c r="CK23" s="784"/>
      <c r="CL23" s="784"/>
      <c r="CM23" s="784"/>
      <c r="CN23" s="784"/>
      <c r="CO23" s="784"/>
      <c r="CP23" s="785"/>
    </row>
    <row r="24" spans="1:94" s="188" customFormat="1">
      <c r="A24" s="186"/>
      <c r="B24" s="342"/>
      <c r="C24" s="343"/>
      <c r="D24" s="786" t="s">
        <v>226</v>
      </c>
      <c r="E24" s="763"/>
      <c r="F24" s="763"/>
      <c r="G24" s="763"/>
      <c r="H24" s="763"/>
      <c r="I24" s="764"/>
      <c r="J24" s="344"/>
      <c r="K24" s="345">
        <f>+K22</f>
        <v>0</v>
      </c>
      <c r="M24" s="429"/>
      <c r="N24" s="343"/>
      <c r="O24" s="786" t="s">
        <v>226</v>
      </c>
      <c r="P24" s="763"/>
      <c r="Q24" s="763"/>
      <c r="R24" s="763"/>
      <c r="S24" s="763"/>
      <c r="T24" s="764"/>
      <c r="U24" s="344"/>
      <c r="V24" s="430">
        <f>+V22</f>
        <v>164838000</v>
      </c>
      <c r="W24" s="783"/>
      <c r="X24" s="784"/>
      <c r="Y24" s="784"/>
      <c r="Z24" s="784"/>
      <c r="AA24" s="784"/>
      <c r="AB24" s="784"/>
      <c r="AC24" s="784"/>
      <c r="AD24" s="784"/>
      <c r="AE24" s="785"/>
      <c r="AH24" s="429"/>
      <c r="AI24" s="343"/>
      <c r="AJ24" s="786"/>
      <c r="AK24" s="763"/>
      <c r="AL24" s="763"/>
      <c r="AM24" s="763"/>
      <c r="AN24" s="763"/>
      <c r="AO24" s="764"/>
      <c r="AP24" s="344"/>
      <c r="AQ24" s="430">
        <f>+AQ22</f>
        <v>0</v>
      </c>
      <c r="AR24" s="783"/>
      <c r="AS24" s="784"/>
      <c r="AT24" s="784"/>
      <c r="AU24" s="784"/>
      <c r="AV24" s="784"/>
      <c r="AW24" s="784"/>
      <c r="AX24" s="784"/>
      <c r="AY24" s="784"/>
      <c r="AZ24" s="785"/>
      <c r="BC24" s="342"/>
      <c r="BD24" s="343"/>
      <c r="BE24" s="786" t="s">
        <v>226</v>
      </c>
      <c r="BF24" s="763"/>
      <c r="BG24" s="763"/>
      <c r="BH24" s="763"/>
      <c r="BI24" s="763"/>
      <c r="BJ24" s="764"/>
      <c r="BK24" s="344"/>
      <c r="BL24" s="345">
        <f>+BL22</f>
        <v>216526278</v>
      </c>
      <c r="BM24" s="783"/>
      <c r="BN24" s="784"/>
      <c r="BO24" s="784"/>
      <c r="BP24" s="784"/>
      <c r="BQ24" s="784"/>
      <c r="BR24" s="784"/>
      <c r="BS24" s="784"/>
      <c r="BT24" s="784"/>
      <c r="BU24" s="785"/>
      <c r="BX24" s="342"/>
      <c r="BY24" s="343"/>
      <c r="BZ24" s="786" t="s">
        <v>226</v>
      </c>
      <c r="CA24" s="763"/>
      <c r="CB24" s="763"/>
      <c r="CC24" s="763"/>
      <c r="CD24" s="763"/>
      <c r="CE24" s="764"/>
      <c r="CF24" s="344"/>
      <c r="CG24" s="345">
        <f>+CG22</f>
        <v>228608250</v>
      </c>
      <c r="CH24" s="783"/>
      <c r="CI24" s="784"/>
      <c r="CJ24" s="784"/>
      <c r="CK24" s="784"/>
      <c r="CL24" s="784"/>
      <c r="CM24" s="784"/>
      <c r="CN24" s="784"/>
      <c r="CO24" s="784"/>
      <c r="CP24" s="785"/>
    </row>
    <row r="25" spans="1:94" s="188" customFormat="1" ht="15.75" customHeight="1">
      <c r="A25" s="186"/>
      <c r="B25" s="346"/>
      <c r="C25" s="347"/>
      <c r="D25" s="348"/>
      <c r="E25" s="347"/>
      <c r="F25" s="349"/>
      <c r="G25" s="350"/>
      <c r="H25" s="787" t="s">
        <v>227</v>
      </c>
      <c r="I25" s="764"/>
      <c r="J25" s="344"/>
      <c r="K25" s="351">
        <v>0</v>
      </c>
      <c r="M25" s="431"/>
      <c r="N25" s="347"/>
      <c r="O25" s="348"/>
      <c r="P25" s="347"/>
      <c r="Q25" s="349"/>
      <c r="R25" s="350"/>
      <c r="S25" s="787" t="s">
        <v>227</v>
      </c>
      <c r="T25" s="764"/>
      <c r="U25" s="344"/>
      <c r="V25" s="432">
        <v>2.4</v>
      </c>
      <c r="W25" s="783"/>
      <c r="X25" s="784"/>
      <c r="Y25" s="784"/>
      <c r="Z25" s="784"/>
      <c r="AA25" s="784"/>
      <c r="AB25" s="784"/>
      <c r="AC25" s="784"/>
      <c r="AD25" s="784"/>
      <c r="AE25" s="785"/>
      <c r="AH25" s="431"/>
      <c r="AI25" s="347"/>
      <c r="AJ25" s="348"/>
      <c r="AK25" s="347"/>
      <c r="AL25" s="349"/>
      <c r="AM25" s="350"/>
      <c r="AN25" s="787"/>
      <c r="AO25" s="764"/>
      <c r="AP25" s="344"/>
      <c r="AQ25" s="432"/>
      <c r="AR25" s="783"/>
      <c r="AS25" s="784"/>
      <c r="AT25" s="784"/>
      <c r="AU25" s="784"/>
      <c r="AV25" s="784"/>
      <c r="AW25" s="784"/>
      <c r="AX25" s="784"/>
      <c r="AY25" s="784"/>
      <c r="AZ25" s="785"/>
      <c r="BC25" s="346"/>
      <c r="BD25" s="347"/>
      <c r="BE25" s="348"/>
      <c r="BF25" s="347"/>
      <c r="BG25" s="349"/>
      <c r="BH25" s="350"/>
      <c r="BI25" s="787" t="s">
        <v>227</v>
      </c>
      <c r="BJ25" s="764"/>
      <c r="BK25" s="344"/>
      <c r="BL25" s="351">
        <v>2.56</v>
      </c>
      <c r="BM25" s="783"/>
      <c r="BN25" s="784"/>
      <c r="BO25" s="784"/>
      <c r="BP25" s="784"/>
      <c r="BQ25" s="784"/>
      <c r="BR25" s="784"/>
      <c r="BS25" s="784"/>
      <c r="BT25" s="784"/>
      <c r="BU25" s="785"/>
      <c r="BX25" s="346"/>
      <c r="BY25" s="347"/>
      <c r="BZ25" s="348"/>
      <c r="CA25" s="347"/>
      <c r="CB25" s="349"/>
      <c r="CC25" s="350"/>
      <c r="CD25" s="787" t="s">
        <v>227</v>
      </c>
      <c r="CE25" s="764"/>
      <c r="CF25" s="344"/>
      <c r="CG25" s="351">
        <v>2.4</v>
      </c>
      <c r="CH25" s="783"/>
      <c r="CI25" s="784"/>
      <c r="CJ25" s="784"/>
      <c r="CK25" s="784"/>
      <c r="CL25" s="784"/>
      <c r="CM25" s="784"/>
      <c r="CN25" s="784"/>
      <c r="CO25" s="784"/>
      <c r="CP25" s="785"/>
    </row>
    <row r="26" spans="1:94" s="188" customFormat="1">
      <c r="A26" s="186"/>
      <c r="B26" s="352"/>
      <c r="C26" s="353"/>
      <c r="D26" s="762" t="s">
        <v>228</v>
      </c>
      <c r="E26" s="763"/>
      <c r="F26" s="763"/>
      <c r="G26" s="763"/>
      <c r="H26" s="763"/>
      <c r="I26" s="764"/>
      <c r="J26" s="344"/>
      <c r="K26" s="345">
        <f>ROUND(K24*K25,0)</f>
        <v>0</v>
      </c>
      <c r="M26" s="433"/>
      <c r="N26" s="353"/>
      <c r="O26" s="762" t="s">
        <v>228</v>
      </c>
      <c r="P26" s="763"/>
      <c r="Q26" s="763"/>
      <c r="R26" s="763"/>
      <c r="S26" s="763"/>
      <c r="T26" s="764"/>
      <c r="U26" s="344"/>
      <c r="V26" s="430">
        <f>ROUND(V24*V25,0)</f>
        <v>395611200</v>
      </c>
      <c r="W26" s="783"/>
      <c r="X26" s="784"/>
      <c r="Y26" s="784"/>
      <c r="Z26" s="784"/>
      <c r="AA26" s="784"/>
      <c r="AB26" s="784"/>
      <c r="AC26" s="784"/>
      <c r="AD26" s="784"/>
      <c r="AE26" s="785"/>
      <c r="AH26" s="433"/>
      <c r="AI26" s="353"/>
      <c r="AJ26" s="762"/>
      <c r="AK26" s="763"/>
      <c r="AL26" s="763"/>
      <c r="AM26" s="763"/>
      <c r="AN26" s="763"/>
      <c r="AO26" s="764"/>
      <c r="AP26" s="344"/>
      <c r="AQ26" s="430">
        <f>ROUND(AQ24*AQ25,0)</f>
        <v>0</v>
      </c>
      <c r="AR26" s="783"/>
      <c r="AS26" s="784"/>
      <c r="AT26" s="784"/>
      <c r="AU26" s="784"/>
      <c r="AV26" s="784"/>
      <c r="AW26" s="784"/>
      <c r="AX26" s="784"/>
      <c r="AY26" s="784"/>
      <c r="AZ26" s="785"/>
      <c r="BC26" s="352"/>
      <c r="BD26" s="353"/>
      <c r="BE26" s="762" t="s">
        <v>228</v>
      </c>
      <c r="BF26" s="763"/>
      <c r="BG26" s="763"/>
      <c r="BH26" s="763"/>
      <c r="BI26" s="763"/>
      <c r="BJ26" s="764"/>
      <c r="BK26" s="344"/>
      <c r="BL26" s="345">
        <f>ROUND(BL24*BL25,0)</f>
        <v>554307272</v>
      </c>
      <c r="BM26" s="783"/>
      <c r="BN26" s="784"/>
      <c r="BO26" s="784"/>
      <c r="BP26" s="784"/>
      <c r="BQ26" s="784"/>
      <c r="BR26" s="784"/>
      <c r="BS26" s="784"/>
      <c r="BT26" s="784"/>
      <c r="BU26" s="785"/>
      <c r="BX26" s="352"/>
      <c r="BY26" s="353"/>
      <c r="BZ26" s="762" t="s">
        <v>228</v>
      </c>
      <c r="CA26" s="763"/>
      <c r="CB26" s="763"/>
      <c r="CC26" s="763"/>
      <c r="CD26" s="763"/>
      <c r="CE26" s="764"/>
      <c r="CF26" s="344"/>
      <c r="CG26" s="345">
        <f>ROUND(CG24*CG25,0)</f>
        <v>548659800</v>
      </c>
      <c r="CH26" s="783"/>
      <c r="CI26" s="784"/>
      <c r="CJ26" s="784"/>
      <c r="CK26" s="784"/>
      <c r="CL26" s="784"/>
      <c r="CM26" s="784"/>
      <c r="CN26" s="784"/>
      <c r="CO26" s="784"/>
      <c r="CP26" s="785"/>
    </row>
    <row r="27" spans="1:94" s="188" customFormat="1">
      <c r="A27" s="186"/>
      <c r="B27" s="352"/>
      <c r="C27" s="353"/>
      <c r="D27" s="391"/>
      <c r="E27" s="344"/>
      <c r="F27" s="344"/>
      <c r="G27" s="344"/>
      <c r="H27" s="344"/>
      <c r="I27" s="388"/>
      <c r="J27" s="344"/>
      <c r="K27" s="345"/>
      <c r="M27" s="433"/>
      <c r="N27" s="353"/>
      <c r="O27" s="391"/>
      <c r="P27" s="344"/>
      <c r="Q27" s="344"/>
      <c r="R27" s="344"/>
      <c r="S27" s="344"/>
      <c r="T27" s="388"/>
      <c r="U27" s="344"/>
      <c r="V27" s="806"/>
      <c r="W27" s="806"/>
      <c r="X27" s="806"/>
      <c r="Y27" s="806"/>
      <c r="Z27" s="806"/>
      <c r="AA27" s="806"/>
      <c r="AB27" s="806"/>
      <c r="AC27" s="806"/>
      <c r="AD27" s="806"/>
      <c r="AE27" s="807"/>
      <c r="AH27" s="433"/>
      <c r="AI27" s="353"/>
      <c r="AJ27" s="391"/>
      <c r="AK27" s="344"/>
      <c r="AL27" s="344"/>
      <c r="AM27" s="344"/>
      <c r="AN27" s="344"/>
      <c r="AO27" s="388"/>
      <c r="AP27" s="344"/>
      <c r="AQ27" s="806"/>
      <c r="AR27" s="806"/>
      <c r="AS27" s="806"/>
      <c r="AT27" s="806"/>
      <c r="AU27" s="806"/>
      <c r="AV27" s="806"/>
      <c r="AW27" s="806"/>
      <c r="AX27" s="806"/>
      <c r="AY27" s="806"/>
      <c r="AZ27" s="807"/>
      <c r="BC27" s="454"/>
      <c r="BD27" s="455"/>
      <c r="BE27" s="456"/>
      <c r="BF27" s="457"/>
      <c r="BG27" s="457"/>
      <c r="BH27" s="344"/>
      <c r="BI27" s="344"/>
      <c r="BJ27" s="388"/>
      <c r="BK27" s="344"/>
      <c r="BL27" s="806"/>
      <c r="BM27" s="806"/>
      <c r="BN27" s="806"/>
      <c r="BO27" s="806"/>
      <c r="BP27" s="806"/>
      <c r="BQ27" s="806"/>
      <c r="BR27" s="806"/>
      <c r="BS27" s="806"/>
      <c r="BT27" s="806"/>
      <c r="BU27" s="807"/>
      <c r="BX27" s="454"/>
      <c r="BY27" s="455"/>
      <c r="BZ27" s="456"/>
      <c r="CA27" s="457"/>
      <c r="CB27" s="457"/>
      <c r="CC27" s="344"/>
      <c r="CD27" s="344"/>
      <c r="CE27" s="388"/>
      <c r="CF27" s="344"/>
      <c r="CG27" s="806"/>
      <c r="CH27" s="806"/>
      <c r="CI27" s="806"/>
      <c r="CJ27" s="806"/>
      <c r="CK27" s="806"/>
      <c r="CL27" s="806"/>
      <c r="CM27" s="806"/>
      <c r="CN27" s="806"/>
      <c r="CO27" s="806"/>
      <c r="CP27" s="807"/>
    </row>
    <row r="28" spans="1:94" s="188" customFormat="1" ht="34">
      <c r="A28" s="186"/>
      <c r="B28" s="356" t="s">
        <v>93</v>
      </c>
      <c r="C28" s="357"/>
      <c r="D28" s="358" t="s">
        <v>229</v>
      </c>
      <c r="E28" s="359" t="s">
        <v>230</v>
      </c>
      <c r="F28" s="360" t="s">
        <v>215</v>
      </c>
      <c r="G28" s="360"/>
      <c r="H28" s="360" t="s">
        <v>231</v>
      </c>
      <c r="I28" s="360" t="s">
        <v>232</v>
      </c>
      <c r="J28" s="361"/>
      <c r="K28" s="362" t="s">
        <v>233</v>
      </c>
      <c r="M28" s="436" t="s">
        <v>93</v>
      </c>
      <c r="N28" s="357"/>
      <c r="O28" s="358" t="s">
        <v>229</v>
      </c>
      <c r="P28" s="359" t="s">
        <v>230</v>
      </c>
      <c r="Q28" s="360" t="s">
        <v>215</v>
      </c>
      <c r="R28" s="360"/>
      <c r="S28" s="360" t="s">
        <v>231</v>
      </c>
      <c r="T28" s="360" t="s">
        <v>232</v>
      </c>
      <c r="U28" s="361"/>
      <c r="V28" s="437" t="s">
        <v>233</v>
      </c>
      <c r="W28" s="783"/>
      <c r="X28" s="784"/>
      <c r="Y28" s="784"/>
      <c r="Z28" s="784"/>
      <c r="AA28" s="784"/>
      <c r="AB28" s="784"/>
      <c r="AC28" s="784"/>
      <c r="AD28" s="784"/>
      <c r="AE28" s="785"/>
      <c r="AH28" s="436"/>
      <c r="AI28" s="357"/>
      <c r="AJ28" s="358"/>
      <c r="AK28" s="359"/>
      <c r="AL28" s="360"/>
      <c r="AM28" s="360"/>
      <c r="AN28" s="360"/>
      <c r="AO28" s="360"/>
      <c r="AP28" s="361"/>
      <c r="AQ28" s="437"/>
      <c r="AR28" s="783"/>
      <c r="AS28" s="784"/>
      <c r="AT28" s="784"/>
      <c r="AU28" s="784"/>
      <c r="AV28" s="784"/>
      <c r="AW28" s="784"/>
      <c r="AX28" s="784"/>
      <c r="AY28" s="784"/>
      <c r="AZ28" s="785"/>
      <c r="BC28" s="356" t="s">
        <v>93</v>
      </c>
      <c r="BD28" s="357"/>
      <c r="BE28" s="358" t="s">
        <v>229</v>
      </c>
      <c r="BF28" s="359" t="s">
        <v>230</v>
      </c>
      <c r="BG28" s="360" t="s">
        <v>215</v>
      </c>
      <c r="BH28" s="360"/>
      <c r="BI28" s="360" t="s">
        <v>231</v>
      </c>
      <c r="BJ28" s="360" t="s">
        <v>232</v>
      </c>
      <c r="BK28" s="361"/>
      <c r="BL28" s="362" t="s">
        <v>233</v>
      </c>
      <c r="BM28" s="783"/>
      <c r="BN28" s="784"/>
      <c r="BO28" s="784"/>
      <c r="BP28" s="784"/>
      <c r="BQ28" s="784"/>
      <c r="BR28" s="784"/>
      <c r="BS28" s="784"/>
      <c r="BT28" s="784"/>
      <c r="BU28" s="785"/>
      <c r="BX28" s="356" t="s">
        <v>93</v>
      </c>
      <c r="BY28" s="357"/>
      <c r="BZ28" s="358" t="s">
        <v>229</v>
      </c>
      <c r="CA28" s="359" t="s">
        <v>230</v>
      </c>
      <c r="CB28" s="360" t="s">
        <v>215</v>
      </c>
      <c r="CC28" s="360"/>
      <c r="CD28" s="360" t="s">
        <v>231</v>
      </c>
      <c r="CE28" s="360" t="s">
        <v>232</v>
      </c>
      <c r="CF28" s="361"/>
      <c r="CG28" s="362" t="s">
        <v>233</v>
      </c>
      <c r="CH28" s="783"/>
      <c r="CI28" s="784"/>
      <c r="CJ28" s="784"/>
      <c r="CK28" s="784"/>
      <c r="CL28" s="784"/>
      <c r="CM28" s="784"/>
      <c r="CN28" s="784"/>
      <c r="CO28" s="784"/>
      <c r="CP28" s="785"/>
    </row>
    <row r="29" spans="1:94" s="188" customFormat="1">
      <c r="A29" s="186"/>
      <c r="B29" s="363" t="s">
        <v>234</v>
      </c>
      <c r="C29" s="364"/>
      <c r="D29" s="365" t="s">
        <v>235</v>
      </c>
      <c r="E29" s="366"/>
      <c r="F29" s="366"/>
      <c r="G29" s="366"/>
      <c r="H29" s="366"/>
      <c r="I29" s="366"/>
      <c r="J29" s="366"/>
      <c r="K29" s="367"/>
      <c r="M29" s="438" t="s">
        <v>234</v>
      </c>
      <c r="N29" s="364"/>
      <c r="O29" s="365" t="s">
        <v>235</v>
      </c>
      <c r="P29" s="366"/>
      <c r="Q29" s="366"/>
      <c r="R29" s="366"/>
      <c r="S29" s="366"/>
      <c r="T29" s="366"/>
      <c r="U29" s="366"/>
      <c r="V29" s="439"/>
      <c r="W29" s="783"/>
      <c r="X29" s="784"/>
      <c r="Y29" s="784"/>
      <c r="Z29" s="784"/>
      <c r="AA29" s="784"/>
      <c r="AB29" s="784"/>
      <c r="AC29" s="784"/>
      <c r="AD29" s="784"/>
      <c r="AE29" s="785"/>
      <c r="AH29" s="438"/>
      <c r="AI29" s="364"/>
      <c r="AJ29" s="365"/>
      <c r="AK29" s="366"/>
      <c r="AL29" s="366"/>
      <c r="AM29" s="366"/>
      <c r="AN29" s="366"/>
      <c r="AO29" s="366"/>
      <c r="AP29" s="366"/>
      <c r="AQ29" s="439"/>
      <c r="AR29" s="783"/>
      <c r="AS29" s="784"/>
      <c r="AT29" s="784"/>
      <c r="AU29" s="784"/>
      <c r="AV29" s="784"/>
      <c r="AW29" s="784"/>
      <c r="AX29" s="784"/>
      <c r="AY29" s="784"/>
      <c r="AZ29" s="785"/>
      <c r="BC29" s="363" t="s">
        <v>234</v>
      </c>
      <c r="BD29" s="364"/>
      <c r="BE29" s="365" t="s">
        <v>235</v>
      </c>
      <c r="BF29" s="366"/>
      <c r="BG29" s="366"/>
      <c r="BH29" s="366"/>
      <c r="BI29" s="366"/>
      <c r="BJ29" s="366"/>
      <c r="BK29" s="366"/>
      <c r="BL29" s="367"/>
      <c r="BM29" s="783"/>
      <c r="BN29" s="784"/>
      <c r="BO29" s="784"/>
      <c r="BP29" s="784"/>
      <c r="BQ29" s="784"/>
      <c r="BR29" s="784"/>
      <c r="BS29" s="784"/>
      <c r="BT29" s="784"/>
      <c r="BU29" s="785"/>
      <c r="BX29" s="363" t="s">
        <v>234</v>
      </c>
      <c r="BY29" s="364"/>
      <c r="BZ29" s="365" t="s">
        <v>235</v>
      </c>
      <c r="CA29" s="366"/>
      <c r="CB29" s="366"/>
      <c r="CC29" s="366"/>
      <c r="CD29" s="366"/>
      <c r="CE29" s="366"/>
      <c r="CF29" s="366"/>
      <c r="CG29" s="367"/>
      <c r="CH29" s="783"/>
      <c r="CI29" s="784"/>
      <c r="CJ29" s="784"/>
      <c r="CK29" s="784"/>
      <c r="CL29" s="784"/>
      <c r="CM29" s="784"/>
      <c r="CN29" s="784"/>
      <c r="CO29" s="784"/>
      <c r="CP29" s="785"/>
    </row>
    <row r="30" spans="1:94" s="188" customFormat="1" ht="17">
      <c r="A30" s="186"/>
      <c r="B30" s="368" t="s">
        <v>236</v>
      </c>
      <c r="C30" s="369"/>
      <c r="D30" s="370" t="s">
        <v>237</v>
      </c>
      <c r="E30" s="371" t="s">
        <v>238</v>
      </c>
      <c r="F30" s="371">
        <v>1</v>
      </c>
      <c r="G30" s="371"/>
      <c r="H30" s="372">
        <v>3600000</v>
      </c>
      <c r="I30" s="373"/>
      <c r="J30" s="374"/>
      <c r="K30" s="375">
        <f>ROUND(F30*H30,0)</f>
        <v>3600000</v>
      </c>
      <c r="M30" s="440" t="s">
        <v>236</v>
      </c>
      <c r="N30" s="369"/>
      <c r="O30" s="370" t="s">
        <v>237</v>
      </c>
      <c r="P30" s="371" t="s">
        <v>238</v>
      </c>
      <c r="Q30" s="371">
        <v>1</v>
      </c>
      <c r="R30" s="371"/>
      <c r="S30" s="372">
        <v>3600000</v>
      </c>
      <c r="T30" s="373">
        <v>8</v>
      </c>
      <c r="U30" s="374"/>
      <c r="V30" s="441">
        <f>S30*T30*Q30</f>
        <v>28800000</v>
      </c>
      <c r="W30" s="107">
        <f>IFERROR(IF(EXACT(VLOOKUP(M30,OFERTA_0,1,FALSE),M30),1,0),0)</f>
        <v>1</v>
      </c>
      <c r="X30" s="107">
        <f>IFERROR(IF(EXACT(VLOOKUP(M30,OFERTA_0,3,FALSE),O30),1,0),0)</f>
        <v>1</v>
      </c>
      <c r="Y30" s="107">
        <f>IFERROR(IF(EXACT(VLOOKUP(M30,OFERTA_0,4,FALSE),P30),1,0),0)</f>
        <v>1</v>
      </c>
      <c r="Z30" s="107">
        <f>IFERROR(IF(EXACT(VLOOKUP(M30,OFERTA_0,7,FALSE),S30),1,0),0)</f>
        <v>1</v>
      </c>
      <c r="AA30" s="107">
        <f t="shared" ref="AA30" si="71">IFERROR(IF(R30&lt;=0,0,1),0)</f>
        <v>0</v>
      </c>
      <c r="AB30" s="107">
        <f t="shared" ref="AB30" si="72">IFERROR(IF(V30&lt;=0,0,1),0)</f>
        <v>1</v>
      </c>
      <c r="AC30" s="107">
        <f t="shared" ref="AC30" si="73">PRODUCT(W30:AB30)</f>
        <v>0</v>
      </c>
      <c r="AD30" s="458">
        <f t="shared" ref="AD30:AD31" si="74">ROUND(V30,0)</f>
        <v>28800000</v>
      </c>
      <c r="AE30" s="109">
        <f t="shared" ref="AE30:AE31" si="75">V30-AD30</f>
        <v>0</v>
      </c>
      <c r="AH30" s="440"/>
      <c r="AI30" s="369"/>
      <c r="AJ30" s="370"/>
      <c r="AK30" s="371"/>
      <c r="AL30" s="371"/>
      <c r="AM30" s="371"/>
      <c r="AN30" s="372"/>
      <c r="AO30" s="373"/>
      <c r="AP30" s="374"/>
      <c r="AQ30" s="441"/>
      <c r="AR30" s="107">
        <f>IFERROR(IF(EXACT(VLOOKUP(AH30,OFERTA_0,1,FALSE),AH30),1,0),0)</f>
        <v>0</v>
      </c>
      <c r="AS30" s="107">
        <f>IFERROR(IF(EXACT(VLOOKUP(AH30,OFERTA_0,3,FALSE),AJ30),1,0),0)</f>
        <v>0</v>
      </c>
      <c r="AT30" s="107">
        <f>IFERROR(IF(EXACT(VLOOKUP(AH30,OFERTA_0,4,FALSE),AK30),1,0),0)</f>
        <v>0</v>
      </c>
      <c r="AU30" s="107">
        <f>IFERROR(IF(EXACT(VLOOKUP(AH30,OFERTA_0,7,FALSE),AN30),1,0),0)</f>
        <v>0</v>
      </c>
      <c r="AV30" s="107">
        <f t="shared" ref="AV30" si="76">IFERROR(IF(AM30&lt;=0,0,1),0)</f>
        <v>0</v>
      </c>
      <c r="AW30" s="107">
        <f t="shared" ref="AW30:AW33" si="77">IFERROR(IF(AQ30&lt;=0,0,1),0)</f>
        <v>0</v>
      </c>
      <c r="AX30" s="107">
        <f t="shared" ref="AX30:AX33" si="78">PRODUCT(AR30:AW30)</f>
        <v>0</v>
      </c>
      <c r="AY30" s="108">
        <f t="shared" ref="AY30:AY33" si="79">ROUND(AQ30,0)</f>
        <v>0</v>
      </c>
      <c r="AZ30" s="109">
        <f t="shared" ref="AZ30:AZ33" si="80">AQ30-AY30</f>
        <v>0</v>
      </c>
      <c r="BC30" s="368" t="s">
        <v>236</v>
      </c>
      <c r="BD30" s="369"/>
      <c r="BE30" s="370" t="s">
        <v>237</v>
      </c>
      <c r="BF30" s="371" t="s">
        <v>238</v>
      </c>
      <c r="BG30" s="371">
        <v>1</v>
      </c>
      <c r="BH30" s="371"/>
      <c r="BI30" s="372">
        <v>3600000</v>
      </c>
      <c r="BJ30" s="373"/>
      <c r="BK30" s="374"/>
      <c r="BL30" s="375">
        <f>ROUND(BG30*BI30,0)</f>
        <v>3600000</v>
      </c>
      <c r="BM30" s="107">
        <f>IFERROR(IF(EXACT(VLOOKUP(BC30,OFERTA_0,1,FALSE),BC30),1,0),0)</f>
        <v>1</v>
      </c>
      <c r="BN30" s="107">
        <f>IFERROR(IF(EXACT(VLOOKUP(BC30,OFERTA_0,3,FALSE),BE30),1,0),0)</f>
        <v>1</v>
      </c>
      <c r="BO30" s="107">
        <f>IFERROR(IF(EXACT(VLOOKUP(BC30,OFERTA_0,4,FALSE),BF30),1,0),0)</f>
        <v>1</v>
      </c>
      <c r="BP30" s="107">
        <f>IFERROR(IF(EXACT(VLOOKUP(BC30,OFERTA_0,7,FALSE),BI30),1,0),0)</f>
        <v>1</v>
      </c>
      <c r="BQ30" s="107">
        <f>IFERROR(IF(BI30&lt;=0,0,1),0)</f>
        <v>1</v>
      </c>
      <c r="BR30" s="107">
        <f t="shared" ref="BR30:BR33" si="81">IFERROR(IF(BL30&lt;=0,0,1),0)</f>
        <v>1</v>
      </c>
      <c r="BS30" s="107">
        <f t="shared" ref="BS30:BS33" si="82">PRODUCT(BM30:BR30)</f>
        <v>1</v>
      </c>
      <c r="BT30" s="108">
        <f t="shared" ref="BT30:BT33" si="83">ROUND(BL30,0)</f>
        <v>3600000</v>
      </c>
      <c r="BU30" s="109">
        <f t="shared" ref="BU30:BU33" si="84">BL30-BT30</f>
        <v>0</v>
      </c>
      <c r="BX30" s="368" t="s">
        <v>236</v>
      </c>
      <c r="BY30" s="369"/>
      <c r="BZ30" s="370" t="s">
        <v>237</v>
      </c>
      <c r="CA30" s="371" t="s">
        <v>238</v>
      </c>
      <c r="CB30" s="371">
        <v>1</v>
      </c>
      <c r="CC30" s="371"/>
      <c r="CD30" s="372">
        <v>3600000</v>
      </c>
      <c r="CE30" s="373"/>
      <c r="CF30" s="374"/>
      <c r="CG30" s="375">
        <f>ROUND(CB30*CD30,0)</f>
        <v>3600000</v>
      </c>
      <c r="CH30" s="107">
        <f>IFERROR(IF(EXACT(VLOOKUP(BX30,OFERTA_0,1,FALSE),BX30),1,0),0)</f>
        <v>1</v>
      </c>
      <c r="CI30" s="107">
        <f>IFERROR(IF(EXACT(VLOOKUP(BX30,OFERTA_0,3,FALSE),BZ30),1,0),0)</f>
        <v>1</v>
      </c>
      <c r="CJ30" s="107">
        <f>IFERROR(IF(EXACT(VLOOKUP(BX30,OFERTA_0,4,FALSE),CA30),1,0),0)</f>
        <v>1</v>
      </c>
      <c r="CK30" s="107">
        <f>IFERROR(IF(EXACT(VLOOKUP(BX30,OFERTA_0,7,FALSE),CD30),1,0),0)</f>
        <v>1</v>
      </c>
      <c r="CL30" s="107">
        <f>IFERROR(IF(CD30&lt;=0,0,1),0)</f>
        <v>1</v>
      </c>
      <c r="CM30" s="107">
        <f t="shared" ref="CM30:CM33" si="85">IFERROR(IF(CG30&lt;=0,0,1),0)</f>
        <v>1</v>
      </c>
      <c r="CN30" s="107">
        <f t="shared" ref="CN30:CN33" si="86">PRODUCT(CH30:CM30)</f>
        <v>1</v>
      </c>
      <c r="CO30" s="108">
        <f t="shared" ref="CO30:CO33" si="87">ROUND(CG30,0)</f>
        <v>3600000</v>
      </c>
      <c r="CP30" s="109">
        <f t="shared" ref="CP30:CP33" si="88">CG30-CO30</f>
        <v>0</v>
      </c>
    </row>
    <row r="31" spans="1:94" s="188" customFormat="1" ht="17">
      <c r="A31" s="186"/>
      <c r="B31" s="368">
        <v>2.2000000000000002</v>
      </c>
      <c r="C31" s="369"/>
      <c r="D31" s="370" t="s">
        <v>239</v>
      </c>
      <c r="E31" s="371" t="s">
        <v>240</v>
      </c>
      <c r="F31" s="371">
        <f>20</f>
        <v>20</v>
      </c>
      <c r="G31" s="371"/>
      <c r="H31" s="372">
        <v>100000</v>
      </c>
      <c r="I31" s="373"/>
      <c r="J31" s="374"/>
      <c r="K31" s="375">
        <f>H31*F31</f>
        <v>2000000</v>
      </c>
      <c r="M31" s="440">
        <v>2.2000000000000002</v>
      </c>
      <c r="N31" s="369"/>
      <c r="O31" s="370" t="s">
        <v>239</v>
      </c>
      <c r="P31" s="371" t="s">
        <v>240</v>
      </c>
      <c r="Q31" s="371">
        <f>20</f>
        <v>20</v>
      </c>
      <c r="R31" s="371"/>
      <c r="S31" s="372">
        <v>100000</v>
      </c>
      <c r="T31" s="373">
        <v>8</v>
      </c>
      <c r="U31" s="374"/>
      <c r="V31" s="441">
        <f t="shared" ref="V31:V32" si="89">S31*T31*Q31</f>
        <v>16000000</v>
      </c>
      <c r="W31" s="107">
        <f>IFERROR(IF(EXACT(VLOOKUP(M31,OFERTA_0,1,FALSE),M31),1,0),0)</f>
        <v>1</v>
      </c>
      <c r="X31" s="107">
        <f>IFERROR(IF(EXACT(VLOOKUP(M31,OFERTA_0,3,FALSE),O31),1,0),0)</f>
        <v>1</v>
      </c>
      <c r="Y31" s="107">
        <f>IFERROR(IF(EXACT(VLOOKUP(M31,OFERTA_0,4,FALSE),P31),1,0),0)</f>
        <v>1</v>
      </c>
      <c r="Z31" s="107">
        <f>IFERROR(IF(EXACT(VLOOKUP(M31,OFERTA_0,5,FALSE),Q31),1,0),0)</f>
        <v>1</v>
      </c>
      <c r="AA31" s="107">
        <f>IFERROR(IF(R31&lt;=0,0,1),0)</f>
        <v>0</v>
      </c>
      <c r="AB31" s="107">
        <f t="shared" ref="AB31" si="90">IFERROR(IF(V31&lt;=0,0,1),0)</f>
        <v>1</v>
      </c>
      <c r="AC31" s="107">
        <f t="shared" ref="AC31" si="91">PRODUCT(W31:AB31)</f>
        <v>0</v>
      </c>
      <c r="AD31" s="458">
        <f t="shared" si="74"/>
        <v>16000000</v>
      </c>
      <c r="AE31" s="109">
        <f t="shared" si="75"/>
        <v>0</v>
      </c>
      <c r="AH31" s="440"/>
      <c r="AI31" s="369"/>
      <c r="AJ31" s="370"/>
      <c r="AK31" s="371"/>
      <c r="AL31" s="371"/>
      <c r="AM31" s="371"/>
      <c r="AN31" s="372"/>
      <c r="AO31" s="373"/>
      <c r="AP31" s="374"/>
      <c r="AQ31" s="441"/>
      <c r="AR31" s="107">
        <f>IFERROR(IF(EXACT(VLOOKUP(AH31,OFERTA_0,1,FALSE),AH31),1,0),0)</f>
        <v>0</v>
      </c>
      <c r="AS31" s="107">
        <f>IFERROR(IF(EXACT(VLOOKUP(AH31,OFERTA_0,3,FALSE),AJ31),1,0),0)</f>
        <v>0</v>
      </c>
      <c r="AT31" s="107">
        <f>IFERROR(IF(EXACT(VLOOKUP(AH31,OFERTA_0,4,FALSE),AK31),1,0),0)</f>
        <v>0</v>
      </c>
      <c r="AU31" s="107">
        <f>IFERROR(IF(EXACT(VLOOKUP(AH31,OFERTA_0,5,FALSE),AL31),1,0),0)</f>
        <v>0</v>
      </c>
      <c r="AV31" s="107">
        <f>IFERROR(IF(AM31&lt;=0,0,1),0)</f>
        <v>0</v>
      </c>
      <c r="AW31" s="107">
        <f t="shared" si="77"/>
        <v>0</v>
      </c>
      <c r="AX31" s="107">
        <f t="shared" si="78"/>
        <v>0</v>
      </c>
      <c r="AY31" s="108">
        <f t="shared" si="79"/>
        <v>0</v>
      </c>
      <c r="AZ31" s="109">
        <f t="shared" si="80"/>
        <v>0</v>
      </c>
      <c r="BC31" s="368">
        <v>2.2000000000000002</v>
      </c>
      <c r="BD31" s="369"/>
      <c r="BE31" s="370" t="s">
        <v>239</v>
      </c>
      <c r="BF31" s="371" t="s">
        <v>240</v>
      </c>
      <c r="BG31" s="371">
        <f>20</f>
        <v>20</v>
      </c>
      <c r="BH31" s="371"/>
      <c r="BI31" s="372">
        <v>100000</v>
      </c>
      <c r="BJ31" s="373"/>
      <c r="BK31" s="374"/>
      <c r="BL31" s="375">
        <f>BI31*BG31</f>
        <v>2000000</v>
      </c>
      <c r="BM31" s="107">
        <f>IFERROR(IF(EXACT(VLOOKUP(BC31,OFERTA_0,1,FALSE),BC31),1,0),0)</f>
        <v>1</v>
      </c>
      <c r="BN31" s="107">
        <f>IFERROR(IF(EXACT(VLOOKUP(BC31,OFERTA_0,3,FALSE),BE31),1,0),0)</f>
        <v>1</v>
      </c>
      <c r="BO31" s="107">
        <f>IFERROR(IF(EXACT(VLOOKUP(BC31,OFERTA_0,4,FALSE),BF31),1,0),0)</f>
        <v>1</v>
      </c>
      <c r="BP31" s="107">
        <f>IFERROR(IF(EXACT(VLOOKUP(BC31,OFERTA_0,5,FALSE),BG31),1,0),0)</f>
        <v>1</v>
      </c>
      <c r="BQ31" s="107">
        <f t="shared" ref="BQ31" si="92">IFERROR(IF(BI31&lt;=0,0,1),0)</f>
        <v>1</v>
      </c>
      <c r="BR31" s="107">
        <f t="shared" si="81"/>
        <v>1</v>
      </c>
      <c r="BS31" s="107">
        <f t="shared" si="82"/>
        <v>1</v>
      </c>
      <c r="BT31" s="108">
        <f t="shared" si="83"/>
        <v>2000000</v>
      </c>
      <c r="BU31" s="109">
        <f t="shared" si="84"/>
        <v>0</v>
      </c>
      <c r="BX31" s="368">
        <v>2.2000000000000002</v>
      </c>
      <c r="BY31" s="369"/>
      <c r="BZ31" s="370" t="s">
        <v>239</v>
      </c>
      <c r="CA31" s="371" t="s">
        <v>240</v>
      </c>
      <c r="CB31" s="371">
        <f>20</f>
        <v>20</v>
      </c>
      <c r="CC31" s="371"/>
      <c r="CD31" s="372">
        <v>100000</v>
      </c>
      <c r="CE31" s="373"/>
      <c r="CF31" s="374"/>
      <c r="CG31" s="375">
        <f>CD31*CB31</f>
        <v>2000000</v>
      </c>
      <c r="CH31" s="107">
        <f>IFERROR(IF(EXACT(VLOOKUP(BX31,OFERTA_0,1,FALSE),BX31),1,0),0)</f>
        <v>1</v>
      </c>
      <c r="CI31" s="107">
        <f>IFERROR(IF(EXACT(VLOOKUP(BX31,OFERTA_0,3,FALSE),BZ31),1,0),0)</f>
        <v>1</v>
      </c>
      <c r="CJ31" s="107">
        <f>IFERROR(IF(EXACT(VLOOKUP(BX31,OFERTA_0,4,FALSE),CA31),1,0),0)</f>
        <v>1</v>
      </c>
      <c r="CK31" s="107">
        <f>IFERROR(IF(EXACT(VLOOKUP(BX31,OFERTA_0,5,FALSE),CB31),1,0),0)</f>
        <v>1</v>
      </c>
      <c r="CL31" s="107">
        <f t="shared" ref="CL31" si="93">IFERROR(IF(CD31&lt;=0,0,1),0)</f>
        <v>1</v>
      </c>
      <c r="CM31" s="107">
        <f t="shared" si="85"/>
        <v>1</v>
      </c>
      <c r="CN31" s="107">
        <f t="shared" si="86"/>
        <v>1</v>
      </c>
      <c r="CO31" s="108">
        <f t="shared" si="87"/>
        <v>2000000</v>
      </c>
      <c r="CP31" s="109">
        <f t="shared" si="88"/>
        <v>0</v>
      </c>
    </row>
    <row r="32" spans="1:94" ht="15.75" customHeight="1">
      <c r="B32" s="368">
        <v>2.2999999999999998</v>
      </c>
      <c r="C32" s="369"/>
      <c r="D32" s="370" t="s">
        <v>241</v>
      </c>
      <c r="E32" s="371" t="s">
        <v>242</v>
      </c>
      <c r="F32" s="376">
        <v>10</v>
      </c>
      <c r="G32" s="371"/>
      <c r="H32" s="372">
        <v>120000</v>
      </c>
      <c r="I32" s="373"/>
      <c r="J32" s="374"/>
      <c r="K32" s="375">
        <f>+F32*H32</f>
        <v>1200000</v>
      </c>
      <c r="M32" s="440">
        <v>2.2999999999999998</v>
      </c>
      <c r="N32" s="369"/>
      <c r="O32" s="370" t="s">
        <v>241</v>
      </c>
      <c r="P32" s="371" t="s">
        <v>242</v>
      </c>
      <c r="Q32" s="376">
        <v>50</v>
      </c>
      <c r="R32" s="371"/>
      <c r="S32" s="372">
        <v>120000</v>
      </c>
      <c r="T32" s="373">
        <v>1</v>
      </c>
      <c r="U32" s="374"/>
      <c r="V32" s="441">
        <f t="shared" si="89"/>
        <v>6000000</v>
      </c>
      <c r="W32" s="107">
        <f>IFERROR(IF(EXACT(VLOOKUP(M32,OFERTA_0,1,FALSE),M32),1,0),0)</f>
        <v>1</v>
      </c>
      <c r="X32" s="107">
        <f>IFERROR(IF(EXACT(VLOOKUP(M32,OFERTA_0,3,FALSE),O32),1,0),0)</f>
        <v>1</v>
      </c>
      <c r="Y32" s="107">
        <f>IFERROR(IF(EXACT(VLOOKUP(M32,OFERTA_0,4,FALSE),P32),1,0),0)</f>
        <v>1</v>
      </c>
      <c r="Z32" s="107">
        <f>IFERROR(IF(EXACT(VLOOKUP(M32,OFERTA_0,5,FALSE),Q32),1,0),0)</f>
        <v>0</v>
      </c>
      <c r="AA32" s="107">
        <f>IFERROR(IF(S32&lt;=0,0,1),0)</f>
        <v>1</v>
      </c>
      <c r="AB32" s="107">
        <f t="shared" ref="AB32:AB33" si="94">IFERROR(IF(V32&lt;=0,0,1),0)</f>
        <v>1</v>
      </c>
      <c r="AC32" s="107">
        <f t="shared" ref="AC32:AC33" si="95">PRODUCT(W32:AB32)</f>
        <v>0</v>
      </c>
      <c r="AD32" s="458">
        <f t="shared" ref="AD32:AD33" si="96">ROUND(V32,0)</f>
        <v>6000000</v>
      </c>
      <c r="AE32" s="109">
        <f t="shared" ref="AE32:AE33" si="97">V32-AD32</f>
        <v>0</v>
      </c>
      <c r="AH32" s="440"/>
      <c r="AI32" s="369"/>
      <c r="AJ32" s="370"/>
      <c r="AK32" s="371"/>
      <c r="AL32" s="376"/>
      <c r="AM32" s="371"/>
      <c r="AN32" s="372"/>
      <c r="AO32" s="373"/>
      <c r="AP32" s="374"/>
      <c r="AQ32" s="441"/>
      <c r="AR32" s="107">
        <f>IFERROR(IF(EXACT(VLOOKUP(AH32,OFERTA_0,1,FALSE),AH32),1,0),0)</f>
        <v>0</v>
      </c>
      <c r="AS32" s="107">
        <f>IFERROR(IF(EXACT(VLOOKUP(AH32,OFERTA_0,3,FALSE),AJ32),1,0),0)</f>
        <v>0</v>
      </c>
      <c r="AT32" s="107">
        <f>IFERROR(IF(EXACT(VLOOKUP(AH32,OFERTA_0,4,FALSE),AK32),1,0),0)</f>
        <v>0</v>
      </c>
      <c r="AU32" s="107">
        <f>IFERROR(IF(EXACT(VLOOKUP(AH32,OFERTA_0,5,FALSE),AL32),1,0),0)</f>
        <v>0</v>
      </c>
      <c r="AV32" s="107">
        <f>IFERROR(IF(AM32&lt;=0,0,1),0)</f>
        <v>0</v>
      </c>
      <c r="AW32" s="107">
        <f t="shared" si="77"/>
        <v>0</v>
      </c>
      <c r="AX32" s="107">
        <f t="shared" si="78"/>
        <v>0</v>
      </c>
      <c r="AY32" s="108">
        <f t="shared" si="79"/>
        <v>0</v>
      </c>
      <c r="AZ32" s="109">
        <f t="shared" si="80"/>
        <v>0</v>
      </c>
      <c r="BC32" s="368">
        <v>2.2999999999999998</v>
      </c>
      <c r="BD32" s="369"/>
      <c r="BE32" s="370" t="s">
        <v>241</v>
      </c>
      <c r="BF32" s="371" t="s">
        <v>242</v>
      </c>
      <c r="BG32" s="376">
        <v>10</v>
      </c>
      <c r="BH32" s="371"/>
      <c r="BI32" s="372">
        <v>120000</v>
      </c>
      <c r="BJ32" s="373"/>
      <c r="BK32" s="374"/>
      <c r="BL32" s="375">
        <f>+BG32*BI32</f>
        <v>1200000</v>
      </c>
      <c r="BM32" s="107">
        <f>IFERROR(IF(EXACT(VLOOKUP(BC32,OFERTA_0,1,FALSE),BC32),1,0),0)</f>
        <v>1</v>
      </c>
      <c r="BN32" s="107">
        <f>IFERROR(IF(EXACT(VLOOKUP(BC32,OFERTA_0,3,FALSE),BE32),1,0),0)</f>
        <v>1</v>
      </c>
      <c r="BO32" s="107">
        <f>IFERROR(IF(EXACT(VLOOKUP(BC32,OFERTA_0,4,FALSE),BF32),1,0),0)</f>
        <v>1</v>
      </c>
      <c r="BP32" s="107">
        <f>IFERROR(IF(EXACT(VLOOKUP(BC32,OFERTA_0,5,FALSE),BG32),1,0),0)</f>
        <v>1</v>
      </c>
      <c r="BQ32" s="107">
        <f>IFERROR(IF(BI32&lt;=0,0,1),0)</f>
        <v>1</v>
      </c>
      <c r="BR32" s="107">
        <f t="shared" si="81"/>
        <v>1</v>
      </c>
      <c r="BS32" s="107">
        <f t="shared" si="82"/>
        <v>1</v>
      </c>
      <c r="BT32" s="108">
        <f t="shared" si="83"/>
        <v>1200000</v>
      </c>
      <c r="BU32" s="109">
        <f t="shared" si="84"/>
        <v>0</v>
      </c>
      <c r="BX32" s="368">
        <v>2.2999999999999998</v>
      </c>
      <c r="BY32" s="369"/>
      <c r="BZ32" s="370" t="s">
        <v>241</v>
      </c>
      <c r="CA32" s="371" t="s">
        <v>242</v>
      </c>
      <c r="CB32" s="376">
        <v>10</v>
      </c>
      <c r="CC32" s="371"/>
      <c r="CD32" s="372">
        <v>120000</v>
      </c>
      <c r="CE32" s="373"/>
      <c r="CF32" s="374"/>
      <c r="CG32" s="375">
        <f>+CB32*CD32</f>
        <v>1200000</v>
      </c>
      <c r="CH32" s="107">
        <f>IFERROR(IF(EXACT(VLOOKUP(BX32,OFERTA_0,1,FALSE),BX32),1,0),0)</f>
        <v>1</v>
      </c>
      <c r="CI32" s="107">
        <f>IFERROR(IF(EXACT(VLOOKUP(BX32,OFERTA_0,3,FALSE),BZ32),1,0),0)</f>
        <v>1</v>
      </c>
      <c r="CJ32" s="107">
        <f>IFERROR(IF(EXACT(VLOOKUP(BX32,OFERTA_0,4,FALSE),CA32),1,0),0)</f>
        <v>1</v>
      </c>
      <c r="CK32" s="107">
        <f>IFERROR(IF(EXACT(VLOOKUP(BX32,OFERTA_0,5,FALSE),CB32),1,0),0)</f>
        <v>1</v>
      </c>
      <c r="CL32" s="107">
        <f>IFERROR(IF(CD32&lt;=0,0,1),0)</f>
        <v>1</v>
      </c>
      <c r="CM32" s="107">
        <f t="shared" si="85"/>
        <v>1</v>
      </c>
      <c r="CN32" s="107">
        <f t="shared" si="86"/>
        <v>1</v>
      </c>
      <c r="CO32" s="108">
        <f t="shared" si="87"/>
        <v>1200000</v>
      </c>
      <c r="CP32" s="109">
        <f t="shared" si="88"/>
        <v>0</v>
      </c>
    </row>
    <row r="33" spans="1:15825" ht="15.75" customHeight="1">
      <c r="B33" s="352"/>
      <c r="C33" s="353"/>
      <c r="D33" s="762" t="s">
        <v>243</v>
      </c>
      <c r="E33" s="763"/>
      <c r="F33" s="763"/>
      <c r="G33" s="763"/>
      <c r="H33" s="763"/>
      <c r="I33" s="764"/>
      <c r="J33" s="344"/>
      <c r="K33" s="377">
        <f>SUM(K30:K32)</f>
        <v>6800000</v>
      </c>
      <c r="M33" s="433"/>
      <c r="N33" s="353"/>
      <c r="O33" s="762" t="s">
        <v>243</v>
      </c>
      <c r="P33" s="763"/>
      <c r="Q33" s="763"/>
      <c r="R33" s="763"/>
      <c r="S33" s="763"/>
      <c r="T33" s="764"/>
      <c r="U33" s="344"/>
      <c r="V33" s="442">
        <f>SUM(V30:V32)</f>
        <v>50800000</v>
      </c>
      <c r="W33" s="107"/>
      <c r="X33" s="107"/>
      <c r="Y33" s="107"/>
      <c r="Z33" s="107"/>
      <c r="AA33" s="107"/>
      <c r="AB33" s="107">
        <f t="shared" si="94"/>
        <v>1</v>
      </c>
      <c r="AC33" s="107">
        <f t="shared" si="95"/>
        <v>1</v>
      </c>
      <c r="AD33" s="458">
        <f t="shared" si="96"/>
        <v>50800000</v>
      </c>
      <c r="AE33" s="109">
        <f t="shared" si="97"/>
        <v>0</v>
      </c>
      <c r="AH33" s="433"/>
      <c r="AI33" s="353"/>
      <c r="AJ33" s="762"/>
      <c r="AK33" s="763"/>
      <c r="AL33" s="763"/>
      <c r="AM33" s="763"/>
      <c r="AN33" s="763"/>
      <c r="AO33" s="764"/>
      <c r="AP33" s="344"/>
      <c r="AQ33" s="442"/>
      <c r="AR33" s="107">
        <f>IFERROR(IF(EXACT(VLOOKUP(AH33,OFERTA_0,1,FALSE),AH33),1,0),0)</f>
        <v>0</v>
      </c>
      <c r="AS33" s="107">
        <f>IFERROR(IF(EXACT(VLOOKUP(AH33,OFERTA_0,3,FALSE),AJ33),1,0),0)</f>
        <v>0</v>
      </c>
      <c r="AT33" s="107">
        <f>IFERROR(IF(EXACT(VLOOKUP(AH33,OFERTA_0,4,FALSE),AK33),1,0),0)</f>
        <v>0</v>
      </c>
      <c r="AU33" s="107">
        <f>IFERROR(IF(EXACT(VLOOKUP(AH33,OFERTA_0,5,FALSE),AL33),1,0),0)</f>
        <v>0</v>
      </c>
      <c r="AV33" s="107">
        <f>IFERROR(IF(AM33&lt;=0,0,1),0)</f>
        <v>0</v>
      </c>
      <c r="AW33" s="107">
        <f t="shared" si="77"/>
        <v>0</v>
      </c>
      <c r="AX33" s="107">
        <f t="shared" si="78"/>
        <v>0</v>
      </c>
      <c r="AY33" s="108">
        <f t="shared" si="79"/>
        <v>0</v>
      </c>
      <c r="AZ33" s="109">
        <f t="shared" si="80"/>
        <v>0</v>
      </c>
      <c r="BC33" s="352"/>
      <c r="BD33" s="353"/>
      <c r="BE33" s="762" t="s">
        <v>243</v>
      </c>
      <c r="BF33" s="763"/>
      <c r="BG33" s="763"/>
      <c r="BH33" s="763"/>
      <c r="BI33" s="763"/>
      <c r="BJ33" s="764"/>
      <c r="BK33" s="344"/>
      <c r="BL33" s="377">
        <f>SUM(BL30:BL32)</f>
        <v>6800000</v>
      </c>
      <c r="BM33" s="107"/>
      <c r="BN33" s="107"/>
      <c r="BO33" s="107"/>
      <c r="BP33" s="107"/>
      <c r="BQ33" s="107"/>
      <c r="BR33" s="107">
        <f t="shared" si="81"/>
        <v>1</v>
      </c>
      <c r="BS33" s="107">
        <f t="shared" si="82"/>
        <v>1</v>
      </c>
      <c r="BT33" s="108">
        <f t="shared" si="83"/>
        <v>6800000</v>
      </c>
      <c r="BU33" s="109">
        <f t="shared" si="84"/>
        <v>0</v>
      </c>
      <c r="BX33" s="352"/>
      <c r="BY33" s="353"/>
      <c r="BZ33" s="762" t="s">
        <v>243</v>
      </c>
      <c r="CA33" s="763"/>
      <c r="CB33" s="763"/>
      <c r="CC33" s="763"/>
      <c r="CD33" s="763"/>
      <c r="CE33" s="764"/>
      <c r="CF33" s="344"/>
      <c r="CG33" s="377">
        <f>SUM(CG30:CG32)</f>
        <v>6800000</v>
      </c>
      <c r="CH33" s="107"/>
      <c r="CI33" s="107"/>
      <c r="CJ33" s="107"/>
      <c r="CK33" s="107"/>
      <c r="CL33" s="107"/>
      <c r="CM33" s="107">
        <f t="shared" si="85"/>
        <v>1</v>
      </c>
      <c r="CN33" s="107">
        <f t="shared" si="86"/>
        <v>1</v>
      </c>
      <c r="CO33" s="108">
        <f t="shared" si="87"/>
        <v>6800000</v>
      </c>
      <c r="CP33" s="109">
        <f t="shared" si="88"/>
        <v>0</v>
      </c>
    </row>
    <row r="34" spans="1:15825" ht="15.75" customHeight="1">
      <c r="B34" s="378"/>
      <c r="C34" s="379"/>
      <c r="D34" s="354"/>
      <c r="E34" s="354"/>
      <c r="F34" s="354"/>
      <c r="G34" s="354"/>
      <c r="H34" s="354"/>
      <c r="I34" s="354"/>
      <c r="J34" s="354"/>
      <c r="K34" s="355"/>
      <c r="M34" s="443"/>
      <c r="N34" s="444"/>
      <c r="O34" s="434"/>
      <c r="P34" s="434"/>
      <c r="Q34" s="434"/>
      <c r="R34" s="434"/>
      <c r="S34" s="434"/>
      <c r="T34" s="434"/>
      <c r="U34" s="434"/>
      <c r="V34" s="435"/>
      <c r="W34" s="78"/>
      <c r="X34" s="78"/>
      <c r="Y34" s="78"/>
      <c r="Z34" s="78"/>
      <c r="AA34" s="78"/>
      <c r="AB34" s="78"/>
      <c r="AC34" s="78"/>
      <c r="AD34" s="78"/>
      <c r="AE34" s="78"/>
      <c r="AH34" s="443"/>
      <c r="AI34" s="444"/>
      <c r="AJ34" s="434"/>
      <c r="AK34" s="434"/>
      <c r="AL34" s="434"/>
      <c r="AM34" s="434"/>
      <c r="AN34" s="434"/>
      <c r="AO34" s="434"/>
      <c r="AP34" s="434"/>
      <c r="AQ34" s="435"/>
      <c r="AR34" s="78"/>
      <c r="AS34" s="78"/>
      <c r="AT34" s="78"/>
      <c r="AU34" s="78"/>
      <c r="AV34" s="78"/>
      <c r="AW34" s="78"/>
      <c r="AX34" s="78"/>
      <c r="AY34" s="78"/>
      <c r="AZ34" s="78"/>
      <c r="BC34" s="443"/>
      <c r="BD34" s="444"/>
      <c r="BE34" s="434"/>
      <c r="BF34" s="434"/>
      <c r="BG34" s="434"/>
      <c r="BH34" s="434"/>
      <c r="BI34" s="434"/>
      <c r="BJ34" s="434"/>
      <c r="BK34" s="434"/>
      <c r="BL34" s="435"/>
      <c r="BM34" s="78"/>
      <c r="BN34" s="78"/>
      <c r="BO34" s="78"/>
      <c r="BP34" s="78"/>
      <c r="BQ34" s="78"/>
      <c r="BR34" s="78"/>
      <c r="BS34" s="78"/>
      <c r="BT34" s="78"/>
      <c r="BU34" s="78"/>
      <c r="BX34" s="378"/>
      <c r="BY34" s="379"/>
      <c r="BZ34" s="354"/>
      <c r="CA34" s="354"/>
      <c r="CB34" s="354"/>
      <c r="CC34" s="354"/>
      <c r="CD34" s="354"/>
      <c r="CE34" s="354"/>
      <c r="CF34" s="354"/>
      <c r="CG34" s="355"/>
      <c r="CH34" s="78"/>
      <c r="CI34" s="78"/>
      <c r="CJ34" s="78"/>
      <c r="CK34" s="78"/>
      <c r="CL34" s="78"/>
      <c r="CM34" s="78"/>
      <c r="CN34" s="78"/>
      <c r="CO34" s="78"/>
      <c r="CP34" s="78"/>
    </row>
    <row r="35" spans="1:15825" ht="15.75" customHeight="1">
      <c r="B35" s="363" t="s">
        <v>150</v>
      </c>
      <c r="C35" s="364"/>
      <c r="D35" s="762" t="s">
        <v>244</v>
      </c>
      <c r="E35" s="763"/>
      <c r="F35" s="763"/>
      <c r="G35" s="763"/>
      <c r="H35" s="763"/>
      <c r="I35" s="764"/>
      <c r="J35" s="344"/>
      <c r="K35" s="380">
        <f>+ROUND(K26+K33,0)</f>
        <v>6800000</v>
      </c>
      <c r="M35" s="438" t="s">
        <v>150</v>
      </c>
      <c r="N35" s="364"/>
      <c r="O35" s="762" t="s">
        <v>244</v>
      </c>
      <c r="P35" s="763"/>
      <c r="Q35" s="763"/>
      <c r="R35" s="763"/>
      <c r="S35" s="763"/>
      <c r="T35" s="764"/>
      <c r="U35" s="344"/>
      <c r="V35" s="445">
        <f>+ROUND(V26+V33,0)</f>
        <v>446411200</v>
      </c>
      <c r="W35" s="78"/>
      <c r="X35" s="78"/>
      <c r="Y35" s="78"/>
      <c r="Z35" s="78"/>
      <c r="AA35" s="78"/>
      <c r="AB35" s="78"/>
      <c r="AC35" s="78"/>
      <c r="AD35" s="452" t="s">
        <v>67</v>
      </c>
      <c r="AE35" s="453">
        <f>SUM(AE30:AE33,AE11:AE17,AE19:AE22)/V40</f>
        <v>0</v>
      </c>
      <c r="AH35" s="438"/>
      <c r="AI35" s="364"/>
      <c r="AJ35" s="762"/>
      <c r="AK35" s="763"/>
      <c r="AL35" s="763"/>
      <c r="AM35" s="763"/>
      <c r="AN35" s="763"/>
      <c r="AO35" s="764"/>
      <c r="AP35" s="344"/>
      <c r="AQ35" s="445"/>
      <c r="AR35" s="78"/>
      <c r="AS35" s="78"/>
      <c r="AT35" s="78"/>
      <c r="AU35" s="78"/>
      <c r="AV35" s="78"/>
      <c r="AW35" s="78"/>
      <c r="AX35" s="78"/>
      <c r="AY35" s="452" t="s">
        <v>67</v>
      </c>
      <c r="AZ35" s="453" t="e">
        <f>SUM(AZ30:AZ33,AZ11:AZ17,AZ19:AZ22)/AQ40</f>
        <v>#DIV/0!</v>
      </c>
      <c r="BC35" s="363" t="s">
        <v>150</v>
      </c>
      <c r="BD35" s="364"/>
      <c r="BE35" s="762" t="s">
        <v>244</v>
      </c>
      <c r="BF35" s="763"/>
      <c r="BG35" s="763"/>
      <c r="BH35" s="763"/>
      <c r="BI35" s="763"/>
      <c r="BJ35" s="764"/>
      <c r="BK35" s="344"/>
      <c r="BL35" s="380">
        <f>+ROUND(BL26+BL33,0)</f>
        <v>561107272</v>
      </c>
      <c r="BM35" s="78"/>
      <c r="BN35" s="78"/>
      <c r="BO35" s="78"/>
      <c r="BP35" s="78"/>
      <c r="BQ35" s="78"/>
      <c r="BR35" s="78"/>
      <c r="BS35" s="78"/>
      <c r="BT35" s="452" t="s">
        <v>67</v>
      </c>
      <c r="BU35" s="453">
        <f>SUM(BU30:BU33,BU11:BU17,BU19:BU22)/BL40</f>
        <v>0</v>
      </c>
      <c r="BX35" s="363" t="s">
        <v>150</v>
      </c>
      <c r="BY35" s="364"/>
      <c r="BZ35" s="762" t="s">
        <v>244</v>
      </c>
      <c r="CA35" s="763"/>
      <c r="CB35" s="763"/>
      <c r="CC35" s="763"/>
      <c r="CD35" s="763"/>
      <c r="CE35" s="764"/>
      <c r="CF35" s="344"/>
      <c r="CG35" s="380">
        <f>+ROUND(CG26+CG33,0)</f>
        <v>555459800</v>
      </c>
      <c r="CH35" s="78"/>
      <c r="CI35" s="78"/>
      <c r="CJ35" s="78"/>
      <c r="CK35" s="78"/>
      <c r="CL35" s="78"/>
      <c r="CM35" s="78"/>
      <c r="CN35" s="78"/>
      <c r="CO35" s="452" t="s">
        <v>67</v>
      </c>
      <c r="CP35" s="453">
        <f>SUM(CP30:CP33,CP11:CP17,CP19:CP22)/CG40</f>
        <v>0</v>
      </c>
    </row>
    <row r="36" spans="1:15825" ht="15.75" customHeight="1">
      <c r="B36" s="363"/>
      <c r="C36" s="364"/>
      <c r="D36" s="762" t="s">
        <v>245</v>
      </c>
      <c r="E36" s="763"/>
      <c r="F36" s="763"/>
      <c r="G36" s="763"/>
      <c r="H36" s="763"/>
      <c r="I36" s="764"/>
      <c r="J36" s="344"/>
      <c r="K36" s="380">
        <f>+ROUND(K35*0.19,4)</f>
        <v>1292000</v>
      </c>
      <c r="M36" s="438"/>
      <c r="N36" s="364"/>
      <c r="O36" s="762" t="s">
        <v>245</v>
      </c>
      <c r="P36" s="763"/>
      <c r="Q36" s="763"/>
      <c r="R36" s="763"/>
      <c r="S36" s="763"/>
      <c r="T36" s="764"/>
      <c r="U36" s="344"/>
      <c r="V36" s="445">
        <f>+ROUND(V35*0.19,4)</f>
        <v>84818128</v>
      </c>
      <c r="W36" s="78"/>
      <c r="X36" s="78"/>
      <c r="Y36" s="78"/>
      <c r="Z36" s="78"/>
      <c r="AA36" s="78"/>
      <c r="AB36" s="78"/>
      <c r="AC36" s="78"/>
      <c r="AD36" s="78"/>
      <c r="AE36" s="78"/>
      <c r="AH36" s="438"/>
      <c r="AI36" s="364"/>
      <c r="AJ36" s="762"/>
      <c r="AK36" s="763"/>
      <c r="AL36" s="763"/>
      <c r="AM36" s="763"/>
      <c r="AN36" s="763"/>
      <c r="AO36" s="764"/>
      <c r="AP36" s="344"/>
      <c r="AQ36" s="445"/>
      <c r="AR36" s="78"/>
      <c r="AS36" s="78"/>
      <c r="AT36" s="78"/>
      <c r="AU36" s="78"/>
      <c r="AV36" s="78"/>
      <c r="AW36" s="78"/>
      <c r="AX36" s="78"/>
      <c r="AY36" s="78"/>
      <c r="AZ36" s="78"/>
      <c r="BC36" s="363"/>
      <c r="BD36" s="364"/>
      <c r="BE36" s="762" t="s">
        <v>245</v>
      </c>
      <c r="BF36" s="763"/>
      <c r="BG36" s="763"/>
      <c r="BH36" s="763"/>
      <c r="BI36" s="763"/>
      <c r="BJ36" s="764"/>
      <c r="BK36" s="344"/>
      <c r="BL36" s="380">
        <f>+ROUND(BL35*0.19,4)</f>
        <v>106610381.68000001</v>
      </c>
      <c r="BM36" s="78"/>
      <c r="BN36" s="78"/>
      <c r="BO36" s="78"/>
      <c r="BP36" s="78"/>
      <c r="BQ36" s="78"/>
      <c r="BR36" s="78"/>
      <c r="BS36" s="78"/>
      <c r="BT36" s="78"/>
      <c r="BU36" s="78"/>
      <c r="BX36" s="363"/>
      <c r="BY36" s="364"/>
      <c r="BZ36" s="762" t="s">
        <v>245</v>
      </c>
      <c r="CA36" s="763"/>
      <c r="CB36" s="763"/>
      <c r="CC36" s="763"/>
      <c r="CD36" s="763"/>
      <c r="CE36" s="764"/>
      <c r="CF36" s="344"/>
      <c r="CG36" s="380">
        <f>+ROUND(CG35*0.19,4)</f>
        <v>105537362</v>
      </c>
      <c r="CH36" s="78"/>
      <c r="CI36" s="78"/>
      <c r="CJ36" s="78"/>
      <c r="CK36" s="78"/>
      <c r="CL36" s="78"/>
      <c r="CM36" s="78"/>
      <c r="CN36" s="78"/>
      <c r="CO36" s="78"/>
      <c r="CP36" s="78"/>
    </row>
    <row r="37" spans="1:15825" ht="15.75" customHeight="1" thickBot="1">
      <c r="B37" s="381"/>
      <c r="C37" s="382"/>
      <c r="D37" s="791" t="s">
        <v>246</v>
      </c>
      <c r="E37" s="792"/>
      <c r="F37" s="792"/>
      <c r="G37" s="792"/>
      <c r="H37" s="792"/>
      <c r="I37" s="793"/>
      <c r="J37" s="383"/>
      <c r="K37" s="384">
        <f>+K36+K35</f>
        <v>8092000</v>
      </c>
      <c r="M37" s="446"/>
      <c r="N37" s="382"/>
      <c r="O37" s="791" t="s">
        <v>246</v>
      </c>
      <c r="P37" s="792"/>
      <c r="Q37" s="792"/>
      <c r="R37" s="792"/>
      <c r="S37" s="792"/>
      <c r="T37" s="793"/>
      <c r="U37" s="383"/>
      <c r="V37" s="447">
        <f>+V36+V35</f>
        <v>531229328</v>
      </c>
      <c r="W37" s="78"/>
      <c r="X37" s="78"/>
      <c r="Y37" s="78"/>
      <c r="Z37" s="78"/>
      <c r="AA37" s="78"/>
      <c r="AB37" s="78"/>
      <c r="AC37" s="78"/>
      <c r="AD37" s="208"/>
      <c r="AE37" s="78"/>
      <c r="AH37" s="446"/>
      <c r="AI37" s="382"/>
      <c r="AJ37" s="791"/>
      <c r="AK37" s="792"/>
      <c r="AL37" s="792"/>
      <c r="AM37" s="792"/>
      <c r="AN37" s="792"/>
      <c r="AO37" s="793"/>
      <c r="AP37" s="383"/>
      <c r="AQ37" s="447"/>
      <c r="AR37" s="78"/>
      <c r="AS37" s="78"/>
      <c r="AT37" s="78"/>
      <c r="AU37" s="78"/>
      <c r="AV37" s="78"/>
      <c r="AW37" s="78"/>
      <c r="AX37" s="78"/>
      <c r="AY37" s="208"/>
      <c r="AZ37" s="78"/>
      <c r="BC37" s="381"/>
      <c r="BD37" s="382"/>
      <c r="BE37" s="791" t="s">
        <v>246</v>
      </c>
      <c r="BF37" s="792"/>
      <c r="BG37" s="792"/>
      <c r="BH37" s="792"/>
      <c r="BI37" s="792"/>
      <c r="BJ37" s="793"/>
      <c r="BK37" s="383"/>
      <c r="BL37" s="384">
        <f>+BL36+BL35</f>
        <v>667717653.68000007</v>
      </c>
      <c r="BM37" s="78"/>
      <c r="BN37" s="78"/>
      <c r="BO37" s="78"/>
      <c r="BP37" s="78"/>
      <c r="BQ37" s="78"/>
      <c r="BR37" s="78"/>
      <c r="BS37" s="78"/>
      <c r="BT37" s="208"/>
      <c r="BU37" s="78"/>
      <c r="BX37" s="381"/>
      <c r="BY37" s="382"/>
      <c r="BZ37" s="791" t="s">
        <v>246</v>
      </c>
      <c r="CA37" s="792"/>
      <c r="CB37" s="792"/>
      <c r="CC37" s="792"/>
      <c r="CD37" s="792"/>
      <c r="CE37" s="793"/>
      <c r="CF37" s="383"/>
      <c r="CG37" s="384">
        <f>+CG36+CG35</f>
        <v>660997162</v>
      </c>
      <c r="CH37" s="78"/>
      <c r="CI37" s="78"/>
      <c r="CJ37" s="78"/>
      <c r="CK37" s="78"/>
      <c r="CL37" s="78"/>
      <c r="CM37" s="78"/>
      <c r="CN37" s="78"/>
      <c r="CO37" s="208"/>
      <c r="CP37" s="78"/>
    </row>
    <row r="38" spans="1:15825" ht="30.75" customHeight="1">
      <c r="B38" s="385"/>
      <c r="C38" s="385"/>
      <c r="D38" s="385"/>
      <c r="E38" s="385"/>
      <c r="F38" s="385"/>
      <c r="G38" s="385"/>
      <c r="H38" s="385"/>
      <c r="I38" s="385"/>
      <c r="J38" s="385"/>
      <c r="K38" s="385"/>
      <c r="M38" s="448"/>
      <c r="N38" s="449"/>
      <c r="O38" s="449"/>
      <c r="P38" s="449"/>
      <c r="Q38" s="449"/>
      <c r="R38" s="449"/>
      <c r="S38" s="449"/>
      <c r="T38" s="449"/>
      <c r="U38" s="449"/>
      <c r="V38" s="450"/>
      <c r="W38" s="78"/>
      <c r="X38" s="78"/>
      <c r="Y38" s="78"/>
      <c r="Z38" s="78"/>
      <c r="AA38" s="78"/>
      <c r="AB38" s="78"/>
      <c r="AC38" s="78"/>
      <c r="AD38" s="78"/>
      <c r="AE38" s="78"/>
      <c r="AH38" s="448"/>
      <c r="AI38" s="449"/>
      <c r="AJ38" s="449"/>
      <c r="AK38" s="449"/>
      <c r="AL38" s="449"/>
      <c r="AM38" s="449"/>
      <c r="AN38" s="449"/>
      <c r="AO38" s="449"/>
      <c r="AP38" s="449"/>
      <c r="AQ38" s="450"/>
      <c r="AR38" s="78"/>
      <c r="AS38" s="78"/>
      <c r="AT38" s="78"/>
      <c r="AU38" s="78"/>
      <c r="AV38" s="78"/>
      <c r="AW38" s="78"/>
      <c r="AX38" s="78"/>
      <c r="AY38" s="78"/>
      <c r="AZ38" s="78"/>
      <c r="BC38" s="448"/>
      <c r="BD38" s="449"/>
      <c r="BE38" s="449"/>
      <c r="BF38" s="449"/>
      <c r="BG38" s="449"/>
      <c r="BH38" s="449"/>
      <c r="BI38" s="449"/>
      <c r="BJ38" s="449"/>
      <c r="BK38" s="449"/>
      <c r="BL38" s="450"/>
      <c r="BM38" s="78"/>
      <c r="BN38" s="78"/>
      <c r="BO38" s="78"/>
      <c r="BP38" s="78"/>
      <c r="BQ38" s="78"/>
      <c r="BR38" s="78"/>
      <c r="BS38" s="78"/>
      <c r="BT38" s="78"/>
      <c r="BU38" s="78"/>
      <c r="BX38" s="385"/>
      <c r="BY38" s="385"/>
      <c r="BZ38" s="385"/>
      <c r="CA38" s="385"/>
      <c r="CB38" s="385"/>
      <c r="CC38" s="385"/>
      <c r="CD38" s="385"/>
      <c r="CE38" s="385"/>
      <c r="CF38" s="385"/>
      <c r="CG38" s="385"/>
      <c r="CH38" s="78"/>
      <c r="CI38" s="78"/>
      <c r="CJ38" s="78"/>
      <c r="CK38" s="78"/>
      <c r="CL38" s="78"/>
      <c r="CM38" s="78"/>
      <c r="CN38" s="78"/>
      <c r="CO38" s="78"/>
      <c r="CP38" s="78"/>
    </row>
    <row r="39" spans="1:15825">
      <c r="B39" s="386"/>
      <c r="C39" s="387"/>
      <c r="D39" s="762" t="s">
        <v>246</v>
      </c>
      <c r="E39" s="763"/>
      <c r="F39" s="763"/>
      <c r="G39" s="763"/>
      <c r="H39" s="763"/>
      <c r="I39" s="764"/>
      <c r="J39" s="388"/>
      <c r="K39" s="389">
        <f>+K38+K37</f>
        <v>8092000</v>
      </c>
      <c r="M39" s="438"/>
      <c r="N39" s="387"/>
      <c r="O39" s="762" t="s">
        <v>246</v>
      </c>
      <c r="P39" s="763"/>
      <c r="Q39" s="763"/>
      <c r="R39" s="763"/>
      <c r="S39" s="763"/>
      <c r="T39" s="764"/>
      <c r="U39" s="388"/>
      <c r="V39" s="445">
        <f>+V38+V37</f>
        <v>531229328</v>
      </c>
      <c r="W39" s="209"/>
      <c r="X39" s="209"/>
      <c r="Y39" s="209"/>
      <c r="Z39" s="209"/>
      <c r="AA39" s="209"/>
      <c r="AB39" s="209"/>
      <c r="AC39" s="209"/>
      <c r="AD39" s="209"/>
      <c r="AE39" s="209"/>
      <c r="AF39" s="209"/>
      <c r="AH39" s="438"/>
      <c r="AI39" s="387"/>
      <c r="AJ39" s="762"/>
      <c r="AK39" s="763"/>
      <c r="AL39" s="763"/>
      <c r="AM39" s="763"/>
      <c r="AN39" s="763"/>
      <c r="AO39" s="764"/>
      <c r="AP39" s="388"/>
      <c r="AQ39" s="445"/>
      <c r="AR39" s="209"/>
      <c r="AS39" s="209"/>
      <c r="AT39" s="209"/>
      <c r="AU39" s="209"/>
      <c r="AV39" s="209"/>
      <c r="AW39" s="209"/>
      <c r="AX39" s="209"/>
      <c r="AY39" s="209"/>
      <c r="AZ39" s="209"/>
      <c r="BC39" s="386"/>
      <c r="BD39" s="387"/>
      <c r="BE39" s="762" t="s">
        <v>246</v>
      </c>
      <c r="BF39" s="763"/>
      <c r="BG39" s="763"/>
      <c r="BH39" s="763"/>
      <c r="BI39" s="763"/>
      <c r="BJ39" s="764"/>
      <c r="BK39" s="388"/>
      <c r="BL39" s="389">
        <f>+BL38+BL37</f>
        <v>667717653.68000007</v>
      </c>
      <c r="BM39" s="209"/>
      <c r="BN39" s="209"/>
      <c r="BO39" s="209"/>
      <c r="BP39" s="209"/>
      <c r="BQ39" s="209"/>
      <c r="BR39" s="209"/>
      <c r="BS39" s="209"/>
      <c r="BT39" s="209"/>
      <c r="BU39" s="209"/>
      <c r="BX39" s="386"/>
      <c r="BY39" s="387"/>
      <c r="BZ39" s="762" t="s">
        <v>246</v>
      </c>
      <c r="CA39" s="763"/>
      <c r="CB39" s="763"/>
      <c r="CC39" s="763"/>
      <c r="CD39" s="763"/>
      <c r="CE39" s="764"/>
      <c r="CF39" s="388"/>
      <c r="CG39" s="389">
        <f>+CG38+CG37</f>
        <v>660997162</v>
      </c>
      <c r="CH39" s="209"/>
      <c r="CI39" s="209"/>
      <c r="CJ39" s="209"/>
      <c r="CK39" s="209"/>
      <c r="CL39" s="209"/>
      <c r="CM39" s="209"/>
      <c r="CN39" s="209"/>
      <c r="CO39" s="209"/>
      <c r="CP39" s="209"/>
    </row>
    <row r="40" spans="1:15825">
      <c r="B40" s="386"/>
      <c r="C40" s="387"/>
      <c r="D40" s="762" t="s">
        <v>247</v>
      </c>
      <c r="E40" s="763"/>
      <c r="F40" s="763"/>
      <c r="G40" s="763"/>
      <c r="H40" s="763"/>
      <c r="I40" s="764"/>
      <c r="J40" s="388"/>
      <c r="K40" s="390">
        <f>SUM(K39:K39)</f>
        <v>8092000</v>
      </c>
      <c r="M40" s="438"/>
      <c r="N40" s="387"/>
      <c r="O40" s="762" t="s">
        <v>247</v>
      </c>
      <c r="P40" s="763"/>
      <c r="Q40" s="763"/>
      <c r="R40" s="763"/>
      <c r="S40" s="763"/>
      <c r="T40" s="764"/>
      <c r="U40" s="388"/>
      <c r="V40" s="451">
        <f>SUM(V39:V39)</f>
        <v>531229328</v>
      </c>
      <c r="W40" s="78"/>
      <c r="X40" s="78"/>
      <c r="Y40" s="78"/>
      <c r="Z40" s="78"/>
      <c r="AA40" s="78"/>
      <c r="AB40" s="78"/>
      <c r="AC40" s="78"/>
      <c r="AD40" s="78"/>
      <c r="AE40" s="78"/>
      <c r="AH40" s="438"/>
      <c r="AI40" s="387"/>
      <c r="AJ40" s="762"/>
      <c r="AK40" s="763"/>
      <c r="AL40" s="763"/>
      <c r="AM40" s="763"/>
      <c r="AN40" s="763"/>
      <c r="AO40" s="764"/>
      <c r="AP40" s="388"/>
      <c r="AQ40" s="451"/>
      <c r="AR40" s="78"/>
      <c r="AS40" s="78"/>
      <c r="AT40" s="78"/>
      <c r="AU40" s="78"/>
      <c r="AV40" s="78"/>
      <c r="AW40" s="78"/>
      <c r="AX40" s="78"/>
      <c r="AY40" s="78"/>
      <c r="AZ40" s="78"/>
      <c r="BC40" s="386"/>
      <c r="BD40" s="387"/>
      <c r="BE40" s="762" t="s">
        <v>247</v>
      </c>
      <c r="BF40" s="763"/>
      <c r="BG40" s="763"/>
      <c r="BH40" s="763"/>
      <c r="BI40" s="763"/>
      <c r="BJ40" s="764"/>
      <c r="BK40" s="388"/>
      <c r="BL40" s="390">
        <f>SUM(BL39:BL39)</f>
        <v>667717653.68000007</v>
      </c>
      <c r="BM40" s="78"/>
      <c r="BN40" s="78"/>
      <c r="BO40" s="78"/>
      <c r="BP40" s="78"/>
      <c r="BQ40" s="78"/>
      <c r="BR40" s="78"/>
      <c r="BS40" s="78"/>
      <c r="BT40" s="78"/>
      <c r="BU40" s="78"/>
      <c r="BX40" s="386"/>
      <c r="BY40" s="387"/>
      <c r="BZ40" s="762" t="s">
        <v>247</v>
      </c>
      <c r="CA40" s="763"/>
      <c r="CB40" s="763"/>
      <c r="CC40" s="763"/>
      <c r="CD40" s="763"/>
      <c r="CE40" s="764"/>
      <c r="CF40" s="388"/>
      <c r="CG40" s="390">
        <f>SUM(CG39:CG39)</f>
        <v>660997162</v>
      </c>
      <c r="CH40" s="78"/>
      <c r="CI40" s="78"/>
      <c r="CJ40" s="78"/>
      <c r="CK40" s="78"/>
      <c r="CL40" s="78"/>
      <c r="CM40" s="78"/>
      <c r="CN40" s="78"/>
      <c r="CO40" s="78"/>
      <c r="CP40" s="78"/>
    </row>
    <row r="41" spans="1:15825" s="188" customFormat="1" ht="12.75" customHeight="1">
      <c r="B41" s="404"/>
      <c r="C41" s="404"/>
      <c r="D41" s="405"/>
      <c r="E41" s="406"/>
      <c r="F41" s="406"/>
      <c r="G41" s="406"/>
      <c r="H41" s="406"/>
      <c r="I41" s="406"/>
      <c r="J41" s="406"/>
      <c r="K41" s="407"/>
      <c r="M41" s="404"/>
      <c r="N41" s="404"/>
      <c r="O41" s="405"/>
      <c r="P41" s="406"/>
      <c r="Q41" s="406"/>
      <c r="R41" s="406"/>
      <c r="S41" s="406"/>
      <c r="T41" s="406"/>
      <c r="U41" s="406"/>
      <c r="V41" s="407"/>
      <c r="W41" s="78"/>
      <c r="X41" s="78"/>
      <c r="Y41" s="78"/>
      <c r="Z41" s="78"/>
      <c r="AA41" s="78"/>
      <c r="AB41" s="78"/>
      <c r="AC41" s="78"/>
      <c r="AD41" s="78"/>
      <c r="AE41" s="78"/>
      <c r="AH41" s="404"/>
      <c r="AI41" s="404"/>
      <c r="AJ41" s="405"/>
      <c r="AK41" s="406"/>
      <c r="AL41" s="406"/>
      <c r="AM41" s="406"/>
      <c r="AN41" s="406"/>
      <c r="AO41" s="406"/>
      <c r="AP41" s="406"/>
      <c r="AQ41" s="407"/>
      <c r="AR41" s="78"/>
      <c r="AS41" s="78"/>
      <c r="AT41" s="78"/>
      <c r="AU41" s="78"/>
      <c r="AV41" s="78"/>
      <c r="AW41" s="78"/>
      <c r="AX41" s="78"/>
      <c r="AY41" s="78"/>
      <c r="AZ41" s="78"/>
      <c r="BC41" s="404"/>
      <c r="BD41" s="404"/>
      <c r="BE41" s="405"/>
      <c r="BF41" s="406"/>
      <c r="BG41" s="406"/>
      <c r="BH41" s="406"/>
      <c r="BI41" s="406"/>
      <c r="BJ41" s="406"/>
      <c r="BK41" s="406"/>
      <c r="BL41" s="407"/>
      <c r="BM41" s="78"/>
      <c r="BN41" s="78"/>
      <c r="BO41" s="78"/>
      <c r="BP41" s="78"/>
      <c r="BQ41" s="78"/>
      <c r="BR41" s="78"/>
      <c r="BS41" s="78"/>
      <c r="BT41" s="78"/>
      <c r="BU41" s="78"/>
      <c r="BX41" s="404"/>
      <c r="BY41" s="404"/>
      <c r="BZ41" s="405"/>
      <c r="CA41" s="406"/>
      <c r="CB41" s="406"/>
      <c r="CC41" s="406"/>
      <c r="CD41" s="406"/>
      <c r="CE41" s="406"/>
      <c r="CF41" s="406"/>
      <c r="CG41" s="407"/>
      <c r="CH41" s="78"/>
      <c r="CI41" s="78"/>
      <c r="CJ41" s="78"/>
      <c r="CK41" s="78"/>
      <c r="CL41" s="78"/>
      <c r="CM41" s="78"/>
      <c r="CN41" s="78"/>
      <c r="CO41" s="78"/>
      <c r="CP41" s="78"/>
    </row>
    <row r="42" spans="1:15825" s="188" customFormat="1" ht="13.5" customHeight="1" thickBot="1">
      <c r="B42" s="404"/>
      <c r="C42" s="404"/>
      <c r="D42" s="405"/>
      <c r="E42" s="406"/>
      <c r="F42" s="406"/>
      <c r="G42" s="406"/>
      <c r="H42" s="406"/>
      <c r="I42" s="406"/>
      <c r="J42" s="406"/>
      <c r="K42" s="407"/>
      <c r="M42" s="404"/>
      <c r="N42" s="404"/>
      <c r="O42" s="405"/>
      <c r="P42" s="406"/>
      <c r="Q42" s="406"/>
      <c r="R42" s="406"/>
      <c r="S42" s="406"/>
      <c r="T42" s="406"/>
      <c r="U42" s="406"/>
      <c r="V42" s="407"/>
      <c r="W42" s="78"/>
      <c r="X42" s="78"/>
      <c r="Y42" s="78"/>
      <c r="Z42" s="78"/>
      <c r="AA42" s="78"/>
      <c r="AB42" s="78"/>
      <c r="AC42" s="78"/>
      <c r="AD42" s="78"/>
      <c r="AE42" s="78"/>
      <c r="AH42" s="404"/>
      <c r="AI42" s="404"/>
      <c r="AJ42" s="405"/>
      <c r="AK42" s="406"/>
      <c r="AL42" s="406"/>
      <c r="AM42" s="406"/>
      <c r="AN42" s="406"/>
      <c r="AO42" s="406"/>
      <c r="AP42" s="406"/>
      <c r="AQ42" s="407"/>
      <c r="AR42" s="78"/>
      <c r="AS42" s="78"/>
      <c r="AT42" s="78"/>
      <c r="AU42" s="78"/>
      <c r="AV42" s="78"/>
      <c r="AW42" s="78"/>
      <c r="AX42" s="78"/>
      <c r="AY42" s="78"/>
      <c r="AZ42" s="78"/>
      <c r="BC42" s="404"/>
      <c r="BD42" s="404"/>
      <c r="BE42" s="405"/>
      <c r="BF42" s="406"/>
      <c r="BG42" s="406"/>
      <c r="BH42" s="406"/>
      <c r="BI42" s="406"/>
      <c r="BJ42" s="406"/>
      <c r="BK42" s="406"/>
      <c r="BL42" s="407"/>
      <c r="BM42" s="78"/>
      <c r="BN42" s="78"/>
      <c r="BO42" s="78"/>
      <c r="BP42" s="78"/>
      <c r="BQ42" s="78"/>
      <c r="BR42" s="78"/>
      <c r="BS42" s="78"/>
      <c r="BT42" s="78"/>
      <c r="BU42" s="78"/>
      <c r="BX42" s="404"/>
      <c r="BY42" s="404"/>
      <c r="BZ42" s="405"/>
      <c r="CA42" s="406"/>
      <c r="CB42" s="406"/>
      <c r="CC42" s="406"/>
      <c r="CD42" s="406"/>
      <c r="CE42" s="406"/>
      <c r="CF42" s="406"/>
      <c r="CG42" s="407"/>
      <c r="CH42" s="78"/>
      <c r="CI42" s="78"/>
      <c r="CJ42" s="78"/>
      <c r="CK42" s="78"/>
      <c r="CL42" s="78"/>
      <c r="CM42" s="78"/>
      <c r="CN42" s="78"/>
      <c r="CO42" s="78"/>
      <c r="CP42" s="78"/>
    </row>
    <row r="43" spans="1:15825" ht="90" thickTop="1" thickBot="1">
      <c r="M43" s="765" t="str">
        <f>+IF(Z43*AC43*AE43*X43=1,"OK","NO HABILITADO")</f>
        <v>NO HABILITADO</v>
      </c>
      <c r="N43" s="766"/>
      <c r="O43" s="766"/>
      <c r="P43" s="766"/>
      <c r="Q43" s="766"/>
      <c r="R43" s="766"/>
      <c r="S43" s="766"/>
      <c r="T43" s="766"/>
      <c r="U43" s="766"/>
      <c r="V43" s="767"/>
      <c r="W43" s="78"/>
      <c r="X43" s="72">
        <f>IF(V25&lt;='10. EVALUACIÓN'!$D$10,1,0)</f>
        <v>0</v>
      </c>
      <c r="Y43" s="78"/>
      <c r="Z43" s="72">
        <f>IF(V24&lt;='10. EVALUACIÓN'!$D$9,1,0)</f>
        <v>1</v>
      </c>
      <c r="AA43" s="110"/>
      <c r="AB43" s="70"/>
      <c r="AC43" s="72">
        <f>PRODUCT(AC11:AC33)</f>
        <v>0</v>
      </c>
      <c r="AD43" s="70"/>
      <c r="AE43" s="72">
        <f>IFERROR(IF(AE35&gt;=0.5,0,1),0)</f>
        <v>1</v>
      </c>
      <c r="AF43" s="189"/>
      <c r="AH43" s="765" t="str">
        <f>+IF(AU43*AX43*AZ43*AS43=1,"OK","NO HABILITADO")</f>
        <v>NO HABILITADO</v>
      </c>
      <c r="AI43" s="766"/>
      <c r="AJ43" s="766"/>
      <c r="AK43" s="766"/>
      <c r="AL43" s="766"/>
      <c r="AM43" s="766"/>
      <c r="AN43" s="766"/>
      <c r="AO43" s="766"/>
      <c r="AP43" s="766"/>
      <c r="AQ43" s="767"/>
      <c r="AR43" s="78"/>
      <c r="AS43" s="72">
        <f>IF(AQ25&lt;='10. EVALUACIÓN'!$D$10,1,0)</f>
        <v>1</v>
      </c>
      <c r="AT43" s="78"/>
      <c r="AU43" s="72">
        <f>IF(AQ24&lt;='10. EVALUACIÓN'!$D$9,1,0)</f>
        <v>1</v>
      </c>
      <c r="AV43" s="110"/>
      <c r="AW43" s="70"/>
      <c r="AX43" s="72">
        <f>PRODUCT(AX11:AX33)</f>
        <v>0</v>
      </c>
      <c r="AY43" s="70"/>
      <c r="AZ43" s="72">
        <f>IFERROR(IF(AZ35&gt;=0.5,0,1),0)</f>
        <v>0</v>
      </c>
      <c r="BC43" s="765" t="str">
        <f>+IF(BP43*BS43*BU43*BN43=1,"OK","NO HABILITADO")</f>
        <v>NO HABILITADO</v>
      </c>
      <c r="BD43" s="766"/>
      <c r="BE43" s="766"/>
      <c r="BF43" s="766"/>
      <c r="BG43" s="766"/>
      <c r="BH43" s="766"/>
      <c r="BI43" s="766"/>
      <c r="BJ43" s="766"/>
      <c r="BK43" s="766"/>
      <c r="BL43" s="767"/>
      <c r="BM43" s="78"/>
      <c r="BN43" s="72">
        <f>IF(BL25&lt;='10. EVALUACIÓN'!$D$10,1,0)</f>
        <v>0</v>
      </c>
      <c r="BO43" s="78"/>
      <c r="BP43" s="72">
        <f>IF(BL24&lt;='10. EVALUACIÓN'!$D$9,1,0)</f>
        <v>1</v>
      </c>
      <c r="BQ43" s="110"/>
      <c r="BR43" s="70"/>
      <c r="BS43" s="72">
        <f>PRODUCT(BS11:BS33)</f>
        <v>1</v>
      </c>
      <c r="BT43" s="70"/>
      <c r="BU43" s="72">
        <f>IFERROR(IF(BU35&gt;=0.5,0,1),0)</f>
        <v>1</v>
      </c>
      <c r="BX43" s="765" t="str">
        <f>+IF(CK43*CN43*CP43*CI43=1,"OK","NO HABILITADO")</f>
        <v>NO HABILITADO</v>
      </c>
      <c r="BY43" s="766"/>
      <c r="BZ43" s="766"/>
      <c r="CA43" s="766"/>
      <c r="CB43" s="766"/>
      <c r="CC43" s="766"/>
      <c r="CD43" s="766"/>
      <c r="CE43" s="766"/>
      <c r="CF43" s="766"/>
      <c r="CG43" s="767"/>
      <c r="CH43" s="78"/>
      <c r="CI43" s="72">
        <f>IF(CG25&lt;='10. EVALUACIÓN'!$D$10,1,0)</f>
        <v>0</v>
      </c>
      <c r="CJ43" s="78"/>
      <c r="CK43" s="72">
        <f>IF(CG24&lt;='10. EVALUACIÓN'!$D$9,1,0)</f>
        <v>1</v>
      </c>
      <c r="CL43" s="110"/>
      <c r="CM43" s="70"/>
      <c r="CN43" s="72">
        <f>PRODUCT(CN11:CN33)</f>
        <v>1</v>
      </c>
      <c r="CO43" s="70"/>
      <c r="CP43" s="72">
        <f>IFERROR(IF(CP35&gt;=0.5,0,1),0)</f>
        <v>1</v>
      </c>
    </row>
    <row r="44" spans="1:15825" ht="169.5" customHeight="1" thickTop="1">
      <c r="W44" s="78"/>
      <c r="X44" s="73" t="s">
        <v>265</v>
      </c>
      <c r="Y44" s="78"/>
      <c r="Z44" s="73" t="s">
        <v>266</v>
      </c>
      <c r="AA44" s="111"/>
      <c r="AB44" s="70"/>
      <c r="AC44" s="73" t="s">
        <v>100</v>
      </c>
      <c r="AD44" s="70"/>
      <c r="AE44" s="73" t="s">
        <v>67</v>
      </c>
      <c r="AF44" s="189"/>
      <c r="AR44" s="78"/>
      <c r="AS44" s="73" t="s">
        <v>265</v>
      </c>
      <c r="AT44" s="78"/>
      <c r="AU44" s="73" t="s">
        <v>266</v>
      </c>
      <c r="AV44" s="111"/>
      <c r="AW44" s="70"/>
      <c r="AX44" s="73" t="s">
        <v>100</v>
      </c>
      <c r="AY44" s="70"/>
      <c r="AZ44" s="73" t="s">
        <v>67</v>
      </c>
      <c r="BM44" s="78"/>
      <c r="BN44" s="73" t="s">
        <v>265</v>
      </c>
      <c r="BO44" s="78"/>
      <c r="BP44" s="73" t="s">
        <v>266</v>
      </c>
      <c r="BQ44" s="111"/>
      <c r="BR44" s="70"/>
      <c r="BS44" s="73" t="s">
        <v>100</v>
      </c>
      <c r="BT44" s="70"/>
      <c r="BU44" s="73" t="s">
        <v>67</v>
      </c>
      <c r="CH44" s="78"/>
      <c r="CI44" s="73" t="s">
        <v>265</v>
      </c>
      <c r="CJ44" s="78"/>
      <c r="CK44" s="73" t="s">
        <v>266</v>
      </c>
      <c r="CL44" s="111"/>
      <c r="CM44" s="70"/>
      <c r="CN44" s="73" t="s">
        <v>100</v>
      </c>
      <c r="CO44" s="70"/>
      <c r="CP44" s="73" t="s">
        <v>67</v>
      </c>
    </row>
    <row r="45" spans="1:15825" s="75" customFormat="1" ht="30" customHeight="1">
      <c r="A45" s="77"/>
      <c r="B45" s="79"/>
      <c r="C45" s="79"/>
      <c r="E45" s="74"/>
      <c r="G45" s="78"/>
      <c r="H45" s="78"/>
      <c r="I45" s="78"/>
      <c r="J45" s="78"/>
      <c r="K45" s="79"/>
      <c r="N45" s="74"/>
      <c r="O45" s="74"/>
      <c r="P45" s="74"/>
      <c r="Q45" s="74"/>
      <c r="R45" s="74"/>
      <c r="S45" s="74"/>
      <c r="T45" s="74"/>
      <c r="U45" s="74"/>
      <c r="V45" s="74"/>
      <c r="AB45" s="74"/>
      <c r="AC45" s="74"/>
      <c r="AD45" s="74"/>
      <c r="AE45" s="74"/>
      <c r="AF45" s="74"/>
    </row>
    <row r="46" spans="1:15825" s="75" customFormat="1" ht="30" hidden="1" customHeight="1">
      <c r="A46" s="77"/>
      <c r="B46" s="112"/>
      <c r="C46" s="79"/>
      <c r="E46" s="76"/>
      <c r="K46" s="79"/>
      <c r="N46" s="76"/>
      <c r="O46" s="76"/>
      <c r="P46" s="76"/>
      <c r="Q46" s="76"/>
      <c r="R46" s="76"/>
      <c r="S46" s="76"/>
      <c r="T46" s="76"/>
      <c r="U46" s="76"/>
      <c r="V46" s="76"/>
      <c r="Y46" s="77"/>
      <c r="Z46" s="77"/>
      <c r="AB46" s="76"/>
      <c r="AC46" s="76"/>
      <c r="AD46" s="76"/>
      <c r="AE46" s="76"/>
      <c r="AF46" s="76"/>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c r="IW46" s="78"/>
      <c r="IX46" s="78"/>
      <c r="IY46" s="78"/>
      <c r="IZ46" s="78"/>
      <c r="JA46" s="78"/>
      <c r="JB46" s="78"/>
      <c r="JC46" s="78"/>
      <c r="JD46" s="78"/>
      <c r="JE46" s="78"/>
      <c r="JF46" s="78"/>
      <c r="JG46" s="78"/>
      <c r="JH46" s="78"/>
      <c r="JI46" s="78"/>
      <c r="JJ46" s="78"/>
      <c r="JK46" s="78"/>
      <c r="JL46" s="78"/>
      <c r="JM46" s="78"/>
      <c r="JN46" s="78"/>
      <c r="JO46" s="78"/>
      <c r="JP46" s="78"/>
      <c r="JQ46" s="78"/>
      <c r="JR46" s="78"/>
      <c r="JS46" s="78"/>
      <c r="JT46" s="78"/>
      <c r="JU46" s="78"/>
      <c r="JV46" s="78"/>
      <c r="JW46" s="78"/>
      <c r="JX46" s="78"/>
      <c r="JY46" s="78"/>
      <c r="JZ46" s="78"/>
      <c r="KA46" s="78"/>
      <c r="KB46" s="78"/>
      <c r="KC46" s="78"/>
      <c r="KD46" s="78"/>
      <c r="KE46" s="78"/>
      <c r="KF46" s="78"/>
      <c r="KG46" s="78"/>
      <c r="KH46" s="78"/>
      <c r="KI46" s="78"/>
      <c r="KJ46" s="78"/>
      <c r="KK46" s="78"/>
      <c r="KL46" s="78"/>
      <c r="KM46" s="78"/>
      <c r="KN46" s="78"/>
      <c r="KO46" s="78"/>
      <c r="KP46" s="78"/>
      <c r="KQ46" s="78"/>
      <c r="KR46" s="78"/>
      <c r="KS46" s="78"/>
      <c r="KT46" s="78"/>
      <c r="KU46" s="78"/>
      <c r="KV46" s="78"/>
      <c r="KW46" s="78"/>
      <c r="KX46" s="78"/>
      <c r="KY46" s="78"/>
      <c r="KZ46" s="78"/>
      <c r="LA46" s="78"/>
      <c r="LB46" s="78"/>
      <c r="LC46" s="78"/>
      <c r="LD46" s="78"/>
      <c r="LE46" s="78"/>
      <c r="LF46" s="78"/>
      <c r="LG46" s="78"/>
      <c r="LH46" s="78"/>
      <c r="LI46" s="78"/>
      <c r="LJ46" s="78"/>
      <c r="LK46" s="78"/>
      <c r="LL46" s="78"/>
      <c r="LM46" s="78"/>
      <c r="LN46" s="78"/>
      <c r="LO46" s="78"/>
      <c r="LP46" s="78"/>
      <c r="LQ46" s="78"/>
      <c r="LR46" s="78"/>
      <c r="LS46" s="78"/>
      <c r="LT46" s="78"/>
      <c r="LU46" s="78"/>
      <c r="LV46" s="78"/>
      <c r="LW46" s="78"/>
      <c r="LX46" s="78"/>
      <c r="LY46" s="78"/>
      <c r="LZ46" s="78"/>
      <c r="MA46" s="78"/>
      <c r="MB46" s="78"/>
      <c r="MC46" s="78"/>
      <c r="MD46" s="78"/>
      <c r="ME46" s="78"/>
      <c r="MF46" s="78"/>
      <c r="MG46" s="78"/>
      <c r="MH46" s="78"/>
      <c r="MI46" s="78"/>
      <c r="MJ46" s="78"/>
      <c r="MK46" s="78"/>
      <c r="ML46" s="78"/>
      <c r="MM46" s="78"/>
      <c r="MN46" s="78"/>
      <c r="MO46" s="78"/>
      <c r="MP46" s="78"/>
      <c r="MQ46" s="78"/>
      <c r="MR46" s="78"/>
      <c r="MS46" s="78"/>
      <c r="MT46" s="78"/>
      <c r="MU46" s="78"/>
      <c r="MV46" s="78"/>
      <c r="MW46" s="78"/>
      <c r="MX46" s="78"/>
      <c r="MY46" s="78"/>
      <c r="MZ46" s="78"/>
      <c r="NA46" s="78"/>
      <c r="NB46" s="78"/>
      <c r="NC46" s="78"/>
      <c r="ND46" s="78"/>
      <c r="NE46" s="78"/>
      <c r="NF46" s="78"/>
      <c r="NG46" s="78"/>
      <c r="NH46" s="78"/>
      <c r="NI46" s="78"/>
      <c r="NJ46" s="78"/>
      <c r="NK46" s="78"/>
      <c r="NL46" s="78"/>
      <c r="NM46" s="78"/>
      <c r="NN46" s="78"/>
      <c r="NO46" s="78"/>
      <c r="NP46" s="78"/>
      <c r="NQ46" s="78"/>
      <c r="NR46" s="78"/>
      <c r="NS46" s="78"/>
      <c r="NT46" s="78"/>
      <c r="NU46" s="78"/>
      <c r="NV46" s="78"/>
      <c r="NW46" s="78"/>
      <c r="NX46" s="78"/>
      <c r="NY46" s="78"/>
      <c r="NZ46" s="78"/>
      <c r="OA46" s="78"/>
      <c r="OB46" s="78"/>
      <c r="OC46" s="78"/>
      <c r="OD46" s="78"/>
      <c r="OE46" s="78"/>
      <c r="OF46" s="78"/>
      <c r="OG46" s="78"/>
      <c r="OH46" s="78"/>
      <c r="OI46" s="78"/>
      <c r="OJ46" s="78"/>
      <c r="OK46" s="78"/>
      <c r="OL46" s="78"/>
      <c r="OM46" s="78"/>
      <c r="ON46" s="78"/>
      <c r="OO46" s="78"/>
      <c r="OP46" s="78"/>
      <c r="OQ46" s="78"/>
      <c r="OR46" s="78"/>
      <c r="OS46" s="78"/>
      <c r="OT46" s="78"/>
      <c r="OU46" s="78"/>
      <c r="OV46" s="78"/>
      <c r="OW46" s="78"/>
      <c r="OX46" s="78"/>
      <c r="OY46" s="78"/>
      <c r="OZ46" s="78"/>
      <c r="PA46" s="78"/>
      <c r="PB46" s="78"/>
      <c r="PC46" s="78"/>
      <c r="PD46" s="78"/>
      <c r="PE46" s="78"/>
      <c r="PF46" s="78"/>
      <c r="PG46" s="78"/>
      <c r="PH46" s="78"/>
      <c r="PI46" s="78"/>
      <c r="PJ46" s="78"/>
      <c r="PK46" s="78"/>
      <c r="PL46" s="78"/>
      <c r="PM46" s="78"/>
      <c r="PN46" s="78"/>
      <c r="PO46" s="78"/>
      <c r="PP46" s="78"/>
      <c r="PQ46" s="78"/>
      <c r="PR46" s="78"/>
      <c r="PS46" s="78"/>
      <c r="PT46" s="78"/>
      <c r="PU46" s="78"/>
      <c r="PV46" s="78"/>
      <c r="PW46" s="78"/>
      <c r="PX46" s="78"/>
      <c r="PY46" s="78"/>
      <c r="PZ46" s="78"/>
      <c r="QA46" s="78"/>
      <c r="QB46" s="78"/>
      <c r="QC46" s="78"/>
      <c r="QD46" s="78"/>
      <c r="QE46" s="78"/>
      <c r="QF46" s="78"/>
      <c r="QG46" s="78"/>
      <c r="QH46" s="78"/>
      <c r="QI46" s="78"/>
      <c r="QJ46" s="78"/>
      <c r="QK46" s="78"/>
      <c r="QL46" s="78"/>
      <c r="QM46" s="78"/>
      <c r="QN46" s="78"/>
      <c r="QO46" s="78"/>
      <c r="QP46" s="78"/>
      <c r="QQ46" s="78"/>
      <c r="QR46" s="78"/>
      <c r="QS46" s="78"/>
      <c r="QT46" s="78"/>
      <c r="QU46" s="78"/>
      <c r="QV46" s="78"/>
      <c r="QW46" s="78"/>
      <c r="QX46" s="78"/>
      <c r="QY46" s="78"/>
      <c r="QZ46" s="78"/>
      <c r="RA46" s="78"/>
      <c r="RB46" s="78"/>
      <c r="RC46" s="78"/>
      <c r="RD46" s="78"/>
      <c r="RE46" s="78"/>
      <c r="RF46" s="78"/>
      <c r="RG46" s="78"/>
      <c r="RH46" s="78"/>
      <c r="RI46" s="78"/>
      <c r="RJ46" s="78"/>
      <c r="RK46" s="78"/>
      <c r="RL46" s="78"/>
      <c r="RM46" s="78"/>
      <c r="RN46" s="78"/>
      <c r="RO46" s="78"/>
      <c r="RP46" s="78"/>
      <c r="RQ46" s="78"/>
      <c r="RR46" s="78"/>
      <c r="RS46" s="78"/>
      <c r="RT46" s="78"/>
      <c r="RU46" s="78"/>
      <c r="RV46" s="78"/>
      <c r="RW46" s="78"/>
      <c r="RX46" s="78"/>
      <c r="RY46" s="78"/>
      <c r="RZ46" s="78"/>
      <c r="SA46" s="78"/>
      <c r="SB46" s="78"/>
      <c r="SC46" s="78"/>
      <c r="SD46" s="78"/>
      <c r="SE46" s="78"/>
      <c r="SF46" s="78"/>
      <c r="SG46" s="78"/>
      <c r="SH46" s="78"/>
      <c r="SI46" s="78"/>
      <c r="SJ46" s="78"/>
      <c r="SK46" s="78"/>
      <c r="SL46" s="78"/>
      <c r="SM46" s="78"/>
      <c r="SN46" s="78"/>
      <c r="SO46" s="78"/>
      <c r="SP46" s="78"/>
      <c r="SQ46" s="78"/>
      <c r="SR46" s="78"/>
      <c r="SS46" s="78"/>
      <c r="ST46" s="78"/>
      <c r="SU46" s="78"/>
      <c r="SV46" s="78"/>
      <c r="SW46" s="78"/>
      <c r="SX46" s="78"/>
      <c r="SY46" s="78"/>
      <c r="SZ46" s="78"/>
      <c r="TA46" s="78"/>
      <c r="TB46" s="78"/>
      <c r="TC46" s="78"/>
      <c r="TD46" s="78"/>
      <c r="TE46" s="78"/>
      <c r="TF46" s="78"/>
      <c r="TG46" s="78"/>
      <c r="TH46" s="78"/>
      <c r="TI46" s="78"/>
      <c r="TJ46" s="78"/>
      <c r="TK46" s="78"/>
      <c r="TL46" s="78"/>
      <c r="TM46" s="78"/>
      <c r="TN46" s="78"/>
      <c r="TO46" s="78"/>
      <c r="TP46" s="78"/>
      <c r="TQ46" s="78"/>
      <c r="TR46" s="78"/>
      <c r="TS46" s="78"/>
      <c r="TT46" s="78"/>
      <c r="TU46" s="78"/>
      <c r="TV46" s="78"/>
      <c r="TW46" s="78"/>
      <c r="TX46" s="78"/>
      <c r="TY46" s="78"/>
      <c r="TZ46" s="78"/>
      <c r="UA46" s="78"/>
      <c r="UB46" s="78"/>
      <c r="UC46" s="78"/>
      <c r="UD46" s="78"/>
      <c r="UE46" s="78"/>
      <c r="UF46" s="78"/>
      <c r="UG46" s="78"/>
      <c r="UH46" s="78"/>
      <c r="UI46" s="78"/>
      <c r="UJ46" s="78"/>
      <c r="UK46" s="78"/>
      <c r="UL46" s="78"/>
      <c r="UM46" s="78"/>
      <c r="UN46" s="78"/>
      <c r="UO46" s="78"/>
      <c r="UP46" s="78"/>
      <c r="UQ46" s="78"/>
      <c r="UR46" s="78"/>
      <c r="US46" s="78"/>
      <c r="UT46" s="78"/>
      <c r="UU46" s="78"/>
      <c r="UV46" s="78"/>
      <c r="UW46" s="78"/>
      <c r="UX46" s="78"/>
      <c r="UY46" s="78"/>
      <c r="UZ46" s="78"/>
      <c r="VA46" s="78"/>
      <c r="VB46" s="78"/>
      <c r="VC46" s="78"/>
      <c r="VD46" s="78"/>
      <c r="VE46" s="78"/>
      <c r="VF46" s="78"/>
      <c r="VG46" s="78"/>
      <c r="VH46" s="78"/>
      <c r="VI46" s="78"/>
      <c r="VJ46" s="78"/>
      <c r="VK46" s="78"/>
      <c r="VL46" s="78"/>
      <c r="VM46" s="78"/>
      <c r="VN46" s="78"/>
      <c r="VO46" s="78"/>
      <c r="VP46" s="78"/>
      <c r="VQ46" s="78"/>
      <c r="VR46" s="78"/>
      <c r="VS46" s="78"/>
      <c r="VT46" s="78"/>
      <c r="VU46" s="78"/>
      <c r="VV46" s="78"/>
      <c r="VW46" s="78"/>
      <c r="VX46" s="78"/>
      <c r="VY46" s="78"/>
      <c r="VZ46" s="78"/>
      <c r="WA46" s="78"/>
      <c r="WB46" s="78"/>
      <c r="WC46" s="78"/>
      <c r="WD46" s="78"/>
      <c r="WE46" s="78"/>
      <c r="WF46" s="78"/>
      <c r="WG46" s="78"/>
      <c r="WH46" s="78"/>
      <c r="WI46" s="78"/>
      <c r="WJ46" s="78"/>
      <c r="WK46" s="78"/>
      <c r="WL46" s="78"/>
      <c r="WM46" s="78"/>
      <c r="WN46" s="78"/>
      <c r="WO46" s="78"/>
      <c r="WP46" s="78"/>
      <c r="WQ46" s="78"/>
      <c r="WR46" s="78"/>
      <c r="WS46" s="78"/>
      <c r="WT46" s="78"/>
      <c r="WU46" s="78"/>
      <c r="WV46" s="78"/>
      <c r="WW46" s="78"/>
      <c r="WX46" s="78"/>
      <c r="WY46" s="78"/>
      <c r="WZ46" s="78"/>
      <c r="XA46" s="78"/>
      <c r="XB46" s="78"/>
      <c r="XC46" s="78"/>
      <c r="XD46" s="78"/>
      <c r="XE46" s="78"/>
      <c r="XF46" s="78"/>
      <c r="XG46" s="78"/>
      <c r="XH46" s="78"/>
      <c r="XI46" s="78"/>
      <c r="XJ46" s="78"/>
      <c r="XK46" s="78"/>
      <c r="XL46" s="78"/>
      <c r="XM46" s="78"/>
      <c r="XN46" s="78"/>
      <c r="XO46" s="78"/>
      <c r="XP46" s="78"/>
      <c r="XQ46" s="78"/>
      <c r="XR46" s="78"/>
      <c r="XS46" s="78"/>
      <c r="XT46" s="78"/>
      <c r="XU46" s="78"/>
      <c r="XV46" s="78"/>
      <c r="XW46" s="78"/>
      <c r="XX46" s="78"/>
      <c r="XY46" s="78"/>
      <c r="XZ46" s="78"/>
      <c r="YA46" s="78"/>
      <c r="YB46" s="78"/>
      <c r="YC46" s="78"/>
      <c r="YD46" s="78"/>
      <c r="YE46" s="78"/>
      <c r="YF46" s="78"/>
      <c r="YG46" s="78"/>
      <c r="YH46" s="78"/>
      <c r="YI46" s="78"/>
      <c r="YJ46" s="78"/>
      <c r="YK46" s="78"/>
      <c r="YL46" s="78"/>
      <c r="YM46" s="78"/>
      <c r="YN46" s="78"/>
      <c r="YO46" s="78"/>
      <c r="YP46" s="78"/>
      <c r="YQ46" s="78"/>
      <c r="YR46" s="78"/>
      <c r="YS46" s="78"/>
      <c r="YT46" s="78"/>
      <c r="YU46" s="78"/>
      <c r="YV46" s="78"/>
      <c r="YW46" s="78"/>
      <c r="YX46" s="78"/>
      <c r="YY46" s="78"/>
      <c r="YZ46" s="78"/>
      <c r="ZA46" s="78"/>
      <c r="ZB46" s="78"/>
      <c r="ZC46" s="78"/>
      <c r="ZD46" s="78"/>
      <c r="ZE46" s="78"/>
      <c r="ZF46" s="78"/>
      <c r="ZG46" s="78"/>
      <c r="ZH46" s="78"/>
      <c r="ZI46" s="78"/>
      <c r="ZJ46" s="78"/>
      <c r="ZK46" s="78"/>
      <c r="ZL46" s="78"/>
      <c r="ZM46" s="78"/>
      <c r="ZN46" s="78"/>
      <c r="ZO46" s="78"/>
      <c r="ZP46" s="78"/>
      <c r="ZQ46" s="78"/>
      <c r="ZR46" s="78"/>
      <c r="ZS46" s="78"/>
      <c r="ZT46" s="78"/>
      <c r="ZU46" s="78"/>
      <c r="ZV46" s="78"/>
      <c r="ZW46" s="78"/>
      <c r="ZX46" s="78"/>
      <c r="ZY46" s="78"/>
      <c r="ZZ46" s="78"/>
      <c r="AAA46" s="78"/>
      <c r="AAB46" s="78"/>
      <c r="AAC46" s="78"/>
      <c r="AAD46" s="78"/>
      <c r="AAE46" s="78"/>
      <c r="AAF46" s="78"/>
      <c r="AAG46" s="78"/>
      <c r="AAH46" s="78"/>
      <c r="AAI46" s="78"/>
      <c r="AAJ46" s="78"/>
      <c r="AAK46" s="78"/>
      <c r="AAL46" s="78"/>
      <c r="AAM46" s="78"/>
      <c r="AAN46" s="78"/>
      <c r="AAO46" s="78"/>
      <c r="AAP46" s="78"/>
      <c r="AAQ46" s="78"/>
      <c r="AAR46" s="78"/>
      <c r="AAS46" s="78"/>
      <c r="AAT46" s="78"/>
      <c r="AAU46" s="78"/>
      <c r="AAV46" s="78"/>
      <c r="AAW46" s="78"/>
      <c r="AAX46" s="78"/>
      <c r="AAY46" s="78"/>
      <c r="AAZ46" s="78"/>
      <c r="ABA46" s="78"/>
      <c r="ABB46" s="78"/>
      <c r="ABC46" s="78"/>
      <c r="ABD46" s="78"/>
      <c r="ABE46" s="78"/>
      <c r="ABF46" s="78"/>
      <c r="ABG46" s="78"/>
      <c r="ABH46" s="78"/>
      <c r="ABI46" s="78"/>
      <c r="ABJ46" s="78"/>
      <c r="ABK46" s="78"/>
      <c r="ABL46" s="78"/>
      <c r="ABM46" s="78"/>
      <c r="ABN46" s="78"/>
      <c r="ABO46" s="78"/>
      <c r="ABP46" s="78"/>
      <c r="ABQ46" s="78"/>
      <c r="ABR46" s="78"/>
      <c r="ABS46" s="78"/>
      <c r="ABT46" s="78"/>
      <c r="ABU46" s="78"/>
      <c r="ABV46" s="78"/>
      <c r="ABW46" s="78"/>
      <c r="ABX46" s="78"/>
      <c r="ABY46" s="78"/>
      <c r="ABZ46" s="78"/>
      <c r="ACA46" s="78"/>
      <c r="ACB46" s="78"/>
      <c r="ACC46" s="78"/>
      <c r="ACD46" s="78"/>
      <c r="ACE46" s="78"/>
      <c r="ACF46" s="78"/>
      <c r="ACG46" s="78"/>
      <c r="ACH46" s="78"/>
      <c r="ACI46" s="78"/>
      <c r="ACJ46" s="78"/>
      <c r="ACK46" s="78"/>
      <c r="ACL46" s="78"/>
      <c r="ACM46" s="78"/>
      <c r="ACN46" s="78"/>
      <c r="ACO46" s="78"/>
      <c r="ACP46" s="78"/>
      <c r="ACQ46" s="78"/>
      <c r="ACR46" s="78"/>
      <c r="ACS46" s="78"/>
      <c r="ACT46" s="78"/>
      <c r="ACU46" s="78"/>
      <c r="ACV46" s="78"/>
      <c r="ACW46" s="78"/>
      <c r="ACX46" s="78"/>
      <c r="ACY46" s="78"/>
      <c r="ACZ46" s="78"/>
      <c r="ADA46" s="78"/>
      <c r="ADB46" s="78"/>
      <c r="ADC46" s="78"/>
      <c r="ADD46" s="78"/>
      <c r="ADE46" s="78"/>
      <c r="ADF46" s="78"/>
      <c r="ADG46" s="78"/>
      <c r="ADH46" s="78"/>
      <c r="ADI46" s="78"/>
      <c r="ADJ46" s="78"/>
      <c r="ADK46" s="78"/>
      <c r="ADL46" s="78"/>
      <c r="ADM46" s="78"/>
      <c r="ADN46" s="78"/>
      <c r="ADO46" s="78"/>
      <c r="ADP46" s="78"/>
      <c r="ADQ46" s="78"/>
      <c r="ADR46" s="78"/>
      <c r="ADS46" s="78"/>
      <c r="ADT46" s="78"/>
      <c r="ADU46" s="78"/>
      <c r="ADV46" s="78"/>
      <c r="ADW46" s="78"/>
      <c r="ADX46" s="78"/>
      <c r="ADY46" s="78"/>
      <c r="ADZ46" s="78"/>
      <c r="AEA46" s="78"/>
      <c r="AEB46" s="78"/>
      <c r="AEC46" s="78"/>
      <c r="AED46" s="78"/>
      <c r="AEE46" s="78"/>
      <c r="AEF46" s="78"/>
      <c r="AEG46" s="78"/>
      <c r="AEH46" s="78"/>
      <c r="AEI46" s="78"/>
      <c r="AEJ46" s="78"/>
      <c r="AEK46" s="78"/>
      <c r="AEL46" s="78"/>
      <c r="AEM46" s="78"/>
      <c r="AEN46" s="78"/>
      <c r="AEO46" s="78"/>
      <c r="AEP46" s="78"/>
      <c r="AEQ46" s="78"/>
      <c r="AER46" s="78"/>
      <c r="AES46" s="78"/>
      <c r="AET46" s="78"/>
      <c r="AEU46" s="78"/>
      <c r="AEV46" s="78"/>
      <c r="AEW46" s="78"/>
      <c r="AEX46" s="78"/>
      <c r="AEY46" s="78"/>
      <c r="AEZ46" s="78"/>
      <c r="AFA46" s="78"/>
      <c r="AFB46" s="78"/>
      <c r="AFC46" s="78"/>
      <c r="AFD46" s="78"/>
      <c r="AFE46" s="78"/>
      <c r="AFF46" s="78"/>
      <c r="AFG46" s="78"/>
      <c r="AFH46" s="78"/>
      <c r="AFI46" s="78"/>
      <c r="AFJ46" s="78"/>
      <c r="AFK46" s="78"/>
      <c r="AFL46" s="78"/>
      <c r="AFM46" s="78"/>
      <c r="AFN46" s="78"/>
      <c r="AFO46" s="78"/>
      <c r="AFP46" s="78"/>
      <c r="AFQ46" s="78"/>
      <c r="AFR46" s="78"/>
      <c r="AFS46" s="78"/>
      <c r="AFT46" s="78"/>
      <c r="AFU46" s="78"/>
      <c r="AFV46" s="78"/>
      <c r="AFW46" s="78"/>
      <c r="AFX46" s="78"/>
      <c r="AFY46" s="78"/>
      <c r="AFZ46" s="78"/>
      <c r="AGA46" s="78"/>
      <c r="AGB46" s="78"/>
      <c r="AGC46" s="78"/>
      <c r="AGD46" s="78"/>
      <c r="AGE46" s="78"/>
      <c r="AGF46" s="78"/>
      <c r="AGG46" s="78"/>
      <c r="AGH46" s="78"/>
      <c r="AGI46" s="78"/>
      <c r="AGJ46" s="78"/>
      <c r="AGK46" s="78"/>
      <c r="AGL46" s="78"/>
      <c r="AGM46" s="78"/>
      <c r="AGN46" s="78"/>
      <c r="AGO46" s="78"/>
      <c r="AGP46" s="78"/>
      <c r="AGQ46" s="78"/>
      <c r="AGR46" s="78"/>
      <c r="AGS46" s="78"/>
      <c r="AGT46" s="78"/>
      <c r="AGU46" s="78"/>
      <c r="AGV46" s="78"/>
      <c r="AGW46" s="78"/>
      <c r="AGX46" s="78"/>
      <c r="AGY46" s="78"/>
      <c r="AGZ46" s="78"/>
      <c r="AHA46" s="78"/>
      <c r="AHB46" s="78"/>
      <c r="AHC46" s="78"/>
      <c r="AHD46" s="78"/>
      <c r="AHE46" s="78"/>
      <c r="AHF46" s="78"/>
      <c r="AHG46" s="78"/>
      <c r="AHH46" s="78"/>
      <c r="AHI46" s="78"/>
      <c r="AHJ46" s="78"/>
      <c r="AHK46" s="78"/>
      <c r="AHL46" s="78"/>
      <c r="AHM46" s="78"/>
      <c r="AHN46" s="78"/>
      <c r="AHO46" s="78"/>
      <c r="AHP46" s="78"/>
      <c r="AHQ46" s="78"/>
      <c r="AHR46" s="78"/>
      <c r="AHS46" s="78"/>
      <c r="AHT46" s="78"/>
      <c r="AHU46" s="78"/>
      <c r="AHV46" s="78"/>
      <c r="AHW46" s="78"/>
      <c r="AHX46" s="78"/>
      <c r="AHY46" s="78"/>
      <c r="AHZ46" s="78"/>
      <c r="AIA46" s="78"/>
      <c r="AIB46" s="78"/>
      <c r="AIC46" s="78"/>
      <c r="AID46" s="78"/>
      <c r="AIE46" s="78"/>
      <c r="AIF46" s="78"/>
      <c r="AIG46" s="78"/>
      <c r="AIH46" s="78"/>
      <c r="AII46" s="78"/>
      <c r="AIJ46" s="78"/>
      <c r="AIK46" s="78"/>
      <c r="AIL46" s="78"/>
      <c r="AIM46" s="78"/>
      <c r="AIN46" s="78"/>
      <c r="AIO46" s="78"/>
      <c r="AIP46" s="78"/>
      <c r="AIQ46" s="78"/>
      <c r="AIR46" s="78"/>
      <c r="AIS46" s="78"/>
      <c r="AIT46" s="78"/>
      <c r="AIU46" s="78"/>
      <c r="AIV46" s="78"/>
      <c r="AIW46" s="78"/>
      <c r="AIX46" s="78"/>
      <c r="AIY46" s="78"/>
      <c r="AIZ46" s="78"/>
      <c r="AJA46" s="78"/>
      <c r="AJB46" s="78"/>
      <c r="AJC46" s="78"/>
      <c r="AJD46" s="78"/>
      <c r="AJE46" s="78"/>
      <c r="AJF46" s="78"/>
      <c r="AJG46" s="78"/>
      <c r="AJH46" s="78"/>
      <c r="AJI46" s="78"/>
      <c r="AJJ46" s="78"/>
      <c r="AJK46" s="78"/>
      <c r="AJL46" s="78"/>
      <c r="AJM46" s="78"/>
      <c r="AJN46" s="78"/>
      <c r="AJO46" s="78"/>
      <c r="AJP46" s="78"/>
      <c r="AJQ46" s="78"/>
      <c r="AJR46" s="78"/>
      <c r="AJS46" s="78"/>
      <c r="AJT46" s="78"/>
      <c r="AJU46" s="78"/>
      <c r="AJV46" s="78"/>
      <c r="AJW46" s="78"/>
      <c r="AJX46" s="78"/>
      <c r="AJY46" s="78"/>
      <c r="AJZ46" s="78"/>
      <c r="AKA46" s="78"/>
      <c r="AKB46" s="78"/>
      <c r="AKC46" s="78"/>
      <c r="AKD46" s="78"/>
      <c r="AKE46" s="78"/>
      <c r="AKF46" s="78"/>
      <c r="AKG46" s="78"/>
      <c r="AKH46" s="78"/>
      <c r="AKI46" s="78"/>
      <c r="AKJ46" s="78"/>
      <c r="AKK46" s="78"/>
      <c r="AKL46" s="78"/>
      <c r="AKM46" s="78"/>
      <c r="AKN46" s="78"/>
      <c r="AKO46" s="78"/>
      <c r="AKP46" s="78"/>
      <c r="AKQ46" s="78"/>
      <c r="AKR46" s="78"/>
      <c r="AKS46" s="78"/>
      <c r="AKT46" s="78"/>
      <c r="AKU46" s="78"/>
      <c r="AKV46" s="78"/>
      <c r="AKW46" s="78"/>
      <c r="AKX46" s="78"/>
      <c r="AKY46" s="78"/>
      <c r="AKZ46" s="78"/>
      <c r="ALA46" s="78"/>
      <c r="ALB46" s="78"/>
      <c r="ALC46" s="78"/>
      <c r="ALD46" s="78"/>
      <c r="ALE46" s="78"/>
      <c r="ALF46" s="78"/>
      <c r="ALG46" s="78"/>
      <c r="ALH46" s="78"/>
      <c r="ALI46" s="78"/>
      <c r="ALJ46" s="78"/>
      <c r="ALK46" s="78"/>
      <c r="ALL46" s="78"/>
      <c r="ALM46" s="78"/>
      <c r="ALN46" s="78"/>
      <c r="ALO46" s="78"/>
      <c r="ALP46" s="78"/>
      <c r="ALQ46" s="78"/>
      <c r="ALR46" s="78"/>
      <c r="ALS46" s="78"/>
      <c r="ALT46" s="78"/>
      <c r="ALU46" s="78"/>
      <c r="ALV46" s="78"/>
      <c r="ALW46" s="78"/>
      <c r="ALX46" s="78"/>
      <c r="ALY46" s="78"/>
      <c r="ALZ46" s="78"/>
      <c r="AMA46" s="78"/>
      <c r="AMB46" s="78"/>
      <c r="AMC46" s="78"/>
      <c r="AMD46" s="78"/>
      <c r="AME46" s="78"/>
      <c r="AMF46" s="78"/>
      <c r="AMG46" s="78"/>
      <c r="AMH46" s="78"/>
      <c r="AMI46" s="78"/>
      <c r="AMJ46" s="78"/>
      <c r="AMK46" s="78"/>
      <c r="AML46" s="78"/>
      <c r="AMM46" s="78"/>
      <c r="AMN46" s="78"/>
      <c r="AMO46" s="78"/>
      <c r="AMP46" s="78"/>
      <c r="AMQ46" s="78"/>
      <c r="AMR46" s="78"/>
      <c r="AMS46" s="78"/>
      <c r="AMT46" s="78"/>
      <c r="AMU46" s="78"/>
      <c r="AMV46" s="78"/>
      <c r="AMW46" s="78"/>
      <c r="AMX46" s="78"/>
      <c r="AMY46" s="78"/>
      <c r="AMZ46" s="78"/>
      <c r="ANA46" s="78"/>
      <c r="ANB46" s="78"/>
      <c r="ANC46" s="78"/>
      <c r="AND46" s="78"/>
      <c r="ANE46" s="78"/>
      <c r="ANF46" s="78"/>
      <c r="ANG46" s="78"/>
      <c r="ANH46" s="78"/>
      <c r="ANI46" s="78"/>
      <c r="ANJ46" s="78"/>
      <c r="ANK46" s="78"/>
      <c r="ANL46" s="78"/>
      <c r="ANM46" s="78"/>
      <c r="ANN46" s="78"/>
      <c r="ANO46" s="78"/>
      <c r="ANP46" s="78"/>
      <c r="ANQ46" s="78"/>
      <c r="ANR46" s="78"/>
      <c r="ANS46" s="78"/>
      <c r="ANT46" s="78"/>
      <c r="ANU46" s="78"/>
      <c r="ANV46" s="78"/>
      <c r="ANW46" s="78"/>
      <c r="ANX46" s="78"/>
      <c r="ANY46" s="78"/>
      <c r="ANZ46" s="78"/>
      <c r="AOA46" s="78"/>
      <c r="AOB46" s="78"/>
      <c r="AOC46" s="78"/>
      <c r="AOD46" s="78"/>
      <c r="AOE46" s="78"/>
      <c r="AOF46" s="78"/>
      <c r="AOG46" s="78"/>
      <c r="AOH46" s="78"/>
      <c r="AOI46" s="78"/>
      <c r="AOJ46" s="78"/>
      <c r="AOK46" s="78"/>
      <c r="AOL46" s="78"/>
      <c r="AOM46" s="78"/>
      <c r="AON46" s="78"/>
      <c r="AOO46" s="78"/>
      <c r="AOP46" s="78"/>
      <c r="AOQ46" s="78"/>
      <c r="AOR46" s="78"/>
      <c r="AOS46" s="78"/>
      <c r="AOT46" s="78"/>
      <c r="AOU46" s="78"/>
      <c r="AOV46" s="78"/>
      <c r="AOW46" s="78"/>
      <c r="AOX46" s="78"/>
      <c r="AOY46" s="78"/>
      <c r="AOZ46" s="78"/>
      <c r="APA46" s="78"/>
      <c r="APB46" s="78"/>
      <c r="APC46" s="78"/>
      <c r="APD46" s="78"/>
      <c r="APE46" s="78"/>
      <c r="APF46" s="78"/>
      <c r="APG46" s="78"/>
      <c r="APH46" s="78"/>
      <c r="API46" s="78"/>
      <c r="APJ46" s="78"/>
      <c r="APK46" s="78"/>
      <c r="APL46" s="78"/>
      <c r="APM46" s="78"/>
      <c r="APN46" s="78"/>
      <c r="APO46" s="78"/>
      <c r="APP46" s="78"/>
      <c r="APQ46" s="78"/>
      <c r="APR46" s="78"/>
      <c r="APS46" s="78"/>
      <c r="APT46" s="78"/>
      <c r="APU46" s="78"/>
      <c r="APV46" s="78"/>
      <c r="APW46" s="78"/>
      <c r="APX46" s="78"/>
      <c r="APY46" s="78"/>
      <c r="APZ46" s="78"/>
      <c r="AQA46" s="78"/>
      <c r="AQB46" s="78"/>
      <c r="AQC46" s="78"/>
      <c r="AQD46" s="78"/>
      <c r="AQE46" s="78"/>
      <c r="AQF46" s="78"/>
      <c r="AQG46" s="78"/>
      <c r="AQH46" s="78"/>
      <c r="AQI46" s="78"/>
      <c r="AQJ46" s="78"/>
      <c r="AQK46" s="78"/>
      <c r="AQL46" s="78"/>
      <c r="AQM46" s="78"/>
      <c r="AQN46" s="78"/>
      <c r="AQO46" s="78"/>
      <c r="AQP46" s="78"/>
      <c r="AQQ46" s="78"/>
      <c r="AQR46" s="78"/>
      <c r="AQS46" s="78"/>
      <c r="AQT46" s="78"/>
      <c r="AQU46" s="78"/>
      <c r="AQV46" s="78"/>
      <c r="AQW46" s="78"/>
      <c r="AQX46" s="78"/>
      <c r="AQY46" s="78"/>
      <c r="AQZ46" s="78"/>
      <c r="ARA46" s="78"/>
      <c r="ARB46" s="78"/>
      <c r="ARC46" s="78"/>
      <c r="ARD46" s="78"/>
      <c r="ARE46" s="78"/>
      <c r="ARF46" s="78"/>
      <c r="ARG46" s="78"/>
      <c r="ARH46" s="78"/>
      <c r="ARI46" s="78"/>
      <c r="ARJ46" s="78"/>
      <c r="ARK46" s="78"/>
      <c r="ARL46" s="78"/>
      <c r="ARM46" s="78"/>
      <c r="ARN46" s="78"/>
      <c r="ARO46" s="78"/>
      <c r="ARP46" s="78"/>
      <c r="ARQ46" s="78"/>
      <c r="ARR46" s="78"/>
      <c r="ARS46" s="78"/>
      <c r="ART46" s="78"/>
      <c r="ARU46" s="78"/>
      <c r="ARV46" s="78"/>
      <c r="ARW46" s="78"/>
      <c r="ARX46" s="78"/>
      <c r="ARY46" s="78"/>
      <c r="ARZ46" s="78"/>
      <c r="ASA46" s="78"/>
      <c r="ASB46" s="78"/>
      <c r="ASC46" s="78"/>
      <c r="ASD46" s="78"/>
      <c r="ASE46" s="78"/>
      <c r="ASF46" s="78"/>
      <c r="ASG46" s="78"/>
      <c r="ASH46" s="78"/>
      <c r="ASI46" s="78"/>
      <c r="ASJ46" s="78"/>
      <c r="ASK46" s="78"/>
      <c r="ASL46" s="78"/>
      <c r="ASM46" s="78"/>
      <c r="ASN46" s="78"/>
      <c r="ASO46" s="78"/>
      <c r="ASP46" s="78"/>
      <c r="ASQ46" s="78"/>
      <c r="ASR46" s="78"/>
      <c r="ASS46" s="78"/>
      <c r="AST46" s="78"/>
      <c r="ASU46" s="78"/>
      <c r="ASV46" s="78"/>
      <c r="ASW46" s="78"/>
      <c r="ASX46" s="78"/>
      <c r="ASY46" s="78"/>
      <c r="ASZ46" s="78"/>
      <c r="ATA46" s="78"/>
      <c r="ATB46" s="78"/>
      <c r="ATC46" s="78"/>
      <c r="ATD46" s="78"/>
      <c r="ATE46" s="78"/>
      <c r="ATF46" s="78"/>
      <c r="ATG46" s="78"/>
      <c r="ATH46" s="78"/>
      <c r="ATI46" s="78"/>
      <c r="ATJ46" s="78"/>
      <c r="ATK46" s="78"/>
      <c r="ATL46" s="78"/>
      <c r="ATM46" s="78"/>
      <c r="ATN46" s="78"/>
      <c r="ATO46" s="78"/>
      <c r="ATP46" s="78"/>
      <c r="ATQ46" s="78"/>
      <c r="ATR46" s="78"/>
      <c r="ATS46" s="78"/>
      <c r="ATT46" s="78"/>
      <c r="ATU46" s="78"/>
      <c r="ATV46" s="78"/>
      <c r="ATW46" s="78"/>
      <c r="ATX46" s="78"/>
      <c r="ATY46" s="78"/>
      <c r="ATZ46" s="78"/>
      <c r="AUA46" s="78"/>
      <c r="AUB46" s="78"/>
      <c r="AUC46" s="78"/>
      <c r="AUD46" s="78"/>
      <c r="AUE46" s="78"/>
      <c r="AUF46" s="78"/>
      <c r="AUG46" s="78"/>
      <c r="AUH46" s="78"/>
      <c r="AUI46" s="78"/>
      <c r="AUJ46" s="78"/>
      <c r="AUK46" s="78"/>
      <c r="AUL46" s="78"/>
      <c r="AUM46" s="78"/>
      <c r="AUN46" s="78"/>
      <c r="AUO46" s="78"/>
      <c r="AUP46" s="78"/>
      <c r="AUQ46" s="78"/>
      <c r="AUR46" s="78"/>
      <c r="AUS46" s="78"/>
      <c r="AUT46" s="78"/>
      <c r="AUU46" s="78"/>
      <c r="AUV46" s="78"/>
      <c r="AUW46" s="78"/>
      <c r="AUX46" s="78"/>
      <c r="AUY46" s="78"/>
      <c r="AUZ46" s="78"/>
      <c r="AVA46" s="78"/>
      <c r="AVB46" s="78"/>
      <c r="AVC46" s="78"/>
      <c r="AVD46" s="78"/>
      <c r="AVE46" s="78"/>
      <c r="AVF46" s="78"/>
      <c r="AVG46" s="78"/>
      <c r="AVH46" s="78"/>
      <c r="AVI46" s="78"/>
      <c r="AVJ46" s="78"/>
      <c r="AVK46" s="78"/>
      <c r="AVL46" s="78"/>
      <c r="AVM46" s="78"/>
      <c r="AVN46" s="78"/>
      <c r="AVO46" s="78"/>
      <c r="AVP46" s="78"/>
      <c r="AVQ46" s="78"/>
      <c r="AVR46" s="78"/>
      <c r="AVS46" s="78"/>
      <c r="AVT46" s="78"/>
      <c r="AVU46" s="78"/>
      <c r="AVV46" s="78"/>
      <c r="AVW46" s="78"/>
      <c r="AVX46" s="78"/>
      <c r="AVY46" s="78"/>
      <c r="AVZ46" s="78"/>
      <c r="AWA46" s="78"/>
      <c r="AWB46" s="78"/>
      <c r="AWC46" s="78"/>
      <c r="AWD46" s="78"/>
      <c r="AWE46" s="78"/>
      <c r="AWF46" s="78"/>
      <c r="AWG46" s="78"/>
      <c r="AWH46" s="78"/>
      <c r="AWI46" s="78"/>
      <c r="AWJ46" s="78"/>
      <c r="AWK46" s="78"/>
      <c r="AWL46" s="78"/>
      <c r="AWM46" s="78"/>
      <c r="AWN46" s="78"/>
      <c r="AWO46" s="78"/>
      <c r="AWP46" s="78"/>
      <c r="AWQ46" s="78"/>
      <c r="AWR46" s="78"/>
      <c r="AWS46" s="78"/>
      <c r="AWT46" s="78"/>
      <c r="AWU46" s="78"/>
      <c r="AWV46" s="78"/>
      <c r="AWW46" s="78"/>
      <c r="AWX46" s="78"/>
      <c r="AWY46" s="78"/>
      <c r="AWZ46" s="78"/>
      <c r="AXA46" s="78"/>
      <c r="AXB46" s="78"/>
      <c r="AXC46" s="78"/>
      <c r="AXD46" s="78"/>
      <c r="AXE46" s="78"/>
      <c r="AXF46" s="78"/>
      <c r="AXG46" s="78"/>
      <c r="AXH46" s="78"/>
      <c r="AXI46" s="78"/>
      <c r="AXJ46" s="78"/>
      <c r="AXK46" s="78"/>
      <c r="AXL46" s="78"/>
      <c r="AXM46" s="78"/>
      <c r="AXN46" s="78"/>
      <c r="AXO46" s="78"/>
      <c r="AXP46" s="78"/>
      <c r="AXQ46" s="78"/>
      <c r="AXR46" s="78"/>
      <c r="AXS46" s="78"/>
      <c r="AXT46" s="78"/>
      <c r="AXU46" s="78"/>
      <c r="AXV46" s="78"/>
      <c r="AXW46" s="78"/>
      <c r="AXX46" s="78"/>
      <c r="AXY46" s="78"/>
      <c r="AXZ46" s="78"/>
      <c r="AYA46" s="78"/>
      <c r="AYB46" s="78"/>
      <c r="AYC46" s="78"/>
      <c r="AYD46" s="78"/>
      <c r="AYE46" s="78"/>
      <c r="AYF46" s="78"/>
      <c r="AYG46" s="78"/>
      <c r="AYH46" s="78"/>
      <c r="AYI46" s="78"/>
      <c r="AYJ46" s="78"/>
      <c r="AYK46" s="78"/>
      <c r="AYL46" s="78"/>
      <c r="AYM46" s="78"/>
      <c r="AYN46" s="78"/>
      <c r="AYO46" s="78"/>
      <c r="AYP46" s="78"/>
      <c r="AYQ46" s="78"/>
      <c r="AYR46" s="78"/>
      <c r="AYS46" s="78"/>
      <c r="AYT46" s="78"/>
      <c r="AYU46" s="78"/>
      <c r="AYV46" s="78"/>
      <c r="AYW46" s="78"/>
      <c r="AYX46" s="78"/>
      <c r="AYY46" s="78"/>
      <c r="AYZ46" s="78"/>
      <c r="AZA46" s="78"/>
      <c r="AZB46" s="78"/>
      <c r="AZC46" s="78"/>
      <c r="AZD46" s="78"/>
      <c r="AZE46" s="78"/>
      <c r="AZF46" s="78"/>
      <c r="AZG46" s="78"/>
      <c r="AZH46" s="78"/>
      <c r="AZI46" s="78"/>
      <c r="AZJ46" s="78"/>
      <c r="AZK46" s="78"/>
      <c r="AZL46" s="78"/>
      <c r="AZM46" s="78"/>
      <c r="AZN46" s="78"/>
      <c r="AZO46" s="78"/>
      <c r="AZP46" s="78"/>
      <c r="AZQ46" s="78"/>
      <c r="AZR46" s="78"/>
      <c r="AZS46" s="78"/>
      <c r="AZT46" s="78"/>
      <c r="AZU46" s="78"/>
      <c r="AZV46" s="78"/>
      <c r="AZW46" s="78"/>
      <c r="AZX46" s="78"/>
      <c r="AZY46" s="78"/>
      <c r="AZZ46" s="78"/>
      <c r="BAA46" s="78"/>
      <c r="BAB46" s="78"/>
      <c r="BAC46" s="78"/>
      <c r="BAD46" s="78"/>
      <c r="BAE46" s="78"/>
      <c r="BAF46" s="78"/>
      <c r="BAG46" s="78"/>
      <c r="BAH46" s="78"/>
      <c r="BAI46" s="78"/>
      <c r="BAJ46" s="78"/>
      <c r="BAK46" s="78"/>
      <c r="BAL46" s="78"/>
      <c r="BAM46" s="78"/>
      <c r="BAN46" s="78"/>
      <c r="BAO46" s="78"/>
      <c r="BAP46" s="78"/>
      <c r="BAQ46" s="78"/>
      <c r="BAR46" s="78"/>
      <c r="BAS46" s="78"/>
      <c r="BAT46" s="78"/>
      <c r="BAU46" s="78"/>
      <c r="BAV46" s="78"/>
      <c r="BAW46" s="78"/>
      <c r="BAX46" s="78"/>
      <c r="BAY46" s="78"/>
      <c r="BAZ46" s="78"/>
      <c r="BBA46" s="78"/>
      <c r="BBB46" s="78"/>
      <c r="BBC46" s="78"/>
      <c r="BBD46" s="78"/>
      <c r="BBE46" s="78"/>
      <c r="BBF46" s="78"/>
      <c r="BBG46" s="78"/>
      <c r="BBH46" s="78"/>
      <c r="BBI46" s="78"/>
      <c r="BBJ46" s="78"/>
      <c r="BBK46" s="78"/>
      <c r="BBL46" s="78"/>
      <c r="BBM46" s="78"/>
      <c r="BBN46" s="78"/>
      <c r="BBO46" s="78"/>
      <c r="BBP46" s="78"/>
      <c r="BBQ46" s="78"/>
      <c r="BBR46" s="78"/>
      <c r="BBS46" s="78"/>
      <c r="BBT46" s="78"/>
      <c r="BBU46" s="78"/>
      <c r="BBV46" s="78"/>
      <c r="BBW46" s="78"/>
      <c r="BBX46" s="78"/>
      <c r="BBY46" s="78"/>
      <c r="BBZ46" s="78"/>
      <c r="BCA46" s="78"/>
      <c r="BCB46" s="78"/>
      <c r="BCC46" s="78"/>
      <c r="BCD46" s="78"/>
      <c r="BCE46" s="78"/>
      <c r="BCF46" s="78"/>
      <c r="BCG46" s="78"/>
      <c r="BCH46" s="78"/>
      <c r="BCI46" s="78"/>
      <c r="BCJ46" s="78"/>
      <c r="BCK46" s="78"/>
      <c r="BCL46" s="78"/>
      <c r="BCM46" s="78"/>
      <c r="BCN46" s="78"/>
      <c r="BCO46" s="78"/>
      <c r="BCP46" s="78"/>
      <c r="BCQ46" s="78"/>
      <c r="BCR46" s="78"/>
      <c r="BCS46" s="78"/>
      <c r="BCT46" s="78"/>
      <c r="BCU46" s="78"/>
      <c r="BCV46" s="78"/>
      <c r="BCW46" s="78"/>
      <c r="BCX46" s="78"/>
      <c r="BCY46" s="78"/>
      <c r="BCZ46" s="78"/>
      <c r="BDA46" s="78"/>
      <c r="BDB46" s="78"/>
      <c r="BDC46" s="78"/>
      <c r="BDD46" s="78"/>
      <c r="BDE46" s="78"/>
      <c r="BDF46" s="78"/>
      <c r="BDG46" s="78"/>
      <c r="BDH46" s="78"/>
      <c r="BDI46" s="78"/>
      <c r="BDJ46" s="78"/>
      <c r="BDK46" s="78"/>
      <c r="BDL46" s="78"/>
      <c r="BDM46" s="78"/>
      <c r="BDN46" s="78"/>
      <c r="BDO46" s="78"/>
      <c r="BDP46" s="78"/>
      <c r="BDQ46" s="78"/>
      <c r="BDR46" s="78"/>
      <c r="BDS46" s="78"/>
      <c r="BDT46" s="78"/>
      <c r="BDU46" s="78"/>
      <c r="BDV46" s="78"/>
      <c r="BDW46" s="78"/>
      <c r="BDX46" s="78"/>
      <c r="BDY46" s="78"/>
      <c r="BDZ46" s="78"/>
      <c r="BEA46" s="78"/>
      <c r="BEB46" s="78"/>
      <c r="BEC46" s="78"/>
      <c r="BED46" s="78"/>
      <c r="BEE46" s="78"/>
      <c r="BEF46" s="78"/>
      <c r="BEG46" s="78"/>
      <c r="BEH46" s="78"/>
      <c r="BEI46" s="78"/>
      <c r="BEJ46" s="78"/>
      <c r="BEK46" s="78"/>
      <c r="BEL46" s="78"/>
      <c r="BEM46" s="78"/>
      <c r="BEN46" s="78"/>
      <c r="BEO46" s="78"/>
      <c r="BEP46" s="78"/>
      <c r="BEQ46" s="78"/>
      <c r="BER46" s="78"/>
      <c r="BES46" s="78"/>
      <c r="BET46" s="78"/>
      <c r="BEU46" s="78"/>
      <c r="BEV46" s="78"/>
      <c r="BEW46" s="78"/>
      <c r="BEX46" s="78"/>
      <c r="BEY46" s="78"/>
      <c r="BEZ46" s="78"/>
      <c r="BFA46" s="78"/>
      <c r="BFB46" s="78"/>
      <c r="BFC46" s="78"/>
      <c r="BFD46" s="78"/>
      <c r="BFE46" s="78"/>
      <c r="BFF46" s="78"/>
      <c r="BFG46" s="78"/>
      <c r="BFH46" s="78"/>
      <c r="BFI46" s="78"/>
      <c r="BFJ46" s="78"/>
      <c r="BFK46" s="78"/>
      <c r="BFL46" s="78"/>
      <c r="BFM46" s="78"/>
      <c r="BFN46" s="78"/>
      <c r="BFO46" s="78"/>
      <c r="BFP46" s="78"/>
      <c r="BFQ46" s="78"/>
      <c r="BFR46" s="78"/>
      <c r="BFS46" s="78"/>
      <c r="BFT46" s="78"/>
      <c r="BFU46" s="78"/>
      <c r="BFV46" s="78"/>
      <c r="BFW46" s="78"/>
      <c r="BFX46" s="78"/>
      <c r="BFY46" s="78"/>
      <c r="BFZ46" s="78"/>
      <c r="BGA46" s="78"/>
      <c r="BGB46" s="78"/>
      <c r="BGC46" s="78"/>
      <c r="BGD46" s="78"/>
      <c r="BGE46" s="78"/>
      <c r="BGF46" s="78"/>
      <c r="BGG46" s="78"/>
      <c r="BGH46" s="78"/>
      <c r="BGI46" s="78"/>
      <c r="BGJ46" s="78"/>
      <c r="BGK46" s="78"/>
      <c r="BGL46" s="78"/>
      <c r="BGM46" s="78"/>
      <c r="BGN46" s="78"/>
      <c r="BGO46" s="78"/>
      <c r="BGP46" s="78"/>
      <c r="BGQ46" s="78"/>
      <c r="BGR46" s="78"/>
      <c r="BGS46" s="78"/>
      <c r="BGT46" s="78"/>
      <c r="BGU46" s="78"/>
      <c r="BGV46" s="78"/>
      <c r="BGW46" s="78"/>
      <c r="BGX46" s="78"/>
      <c r="BGY46" s="78"/>
      <c r="BGZ46" s="78"/>
      <c r="BHA46" s="78"/>
      <c r="BHB46" s="78"/>
      <c r="BHC46" s="78"/>
      <c r="BHD46" s="78"/>
      <c r="BHE46" s="78"/>
      <c r="BHF46" s="78"/>
      <c r="BHG46" s="78"/>
      <c r="BHH46" s="78"/>
      <c r="BHI46" s="78"/>
      <c r="BHJ46" s="78"/>
      <c r="BHK46" s="78"/>
      <c r="BHL46" s="78"/>
      <c r="BHM46" s="78"/>
      <c r="BHN46" s="78"/>
      <c r="BHO46" s="78"/>
      <c r="BHP46" s="78"/>
      <c r="BHQ46" s="78"/>
      <c r="BHR46" s="78"/>
      <c r="BHS46" s="78"/>
      <c r="BHT46" s="78"/>
      <c r="BHU46" s="78"/>
      <c r="BHV46" s="78"/>
      <c r="BHW46" s="78"/>
      <c r="BHX46" s="78"/>
      <c r="BHY46" s="78"/>
      <c r="BHZ46" s="78"/>
      <c r="BIA46" s="78"/>
      <c r="BIB46" s="78"/>
      <c r="BIC46" s="78"/>
      <c r="BID46" s="78"/>
      <c r="BIE46" s="78"/>
      <c r="BIF46" s="78"/>
      <c r="BIG46" s="78"/>
      <c r="BIH46" s="78"/>
      <c r="BII46" s="78"/>
      <c r="BIJ46" s="78"/>
      <c r="BIK46" s="78"/>
      <c r="BIL46" s="78"/>
      <c r="BIM46" s="78"/>
      <c r="BIN46" s="78"/>
      <c r="BIO46" s="78"/>
      <c r="BIP46" s="78"/>
      <c r="BIQ46" s="78"/>
      <c r="BIR46" s="78"/>
      <c r="BIS46" s="78"/>
      <c r="BIT46" s="78"/>
      <c r="BIU46" s="78"/>
      <c r="BIV46" s="78"/>
      <c r="BIW46" s="78"/>
      <c r="BIX46" s="78"/>
      <c r="BIY46" s="78"/>
      <c r="BIZ46" s="78"/>
      <c r="BJA46" s="78"/>
      <c r="BJB46" s="78"/>
      <c r="BJC46" s="78"/>
      <c r="BJD46" s="78"/>
      <c r="BJE46" s="78"/>
      <c r="BJF46" s="78"/>
      <c r="BJG46" s="78"/>
      <c r="BJH46" s="78"/>
      <c r="BJI46" s="78"/>
      <c r="BJJ46" s="78"/>
      <c r="BJK46" s="78"/>
      <c r="BJL46" s="78"/>
      <c r="BJM46" s="78"/>
      <c r="BJN46" s="78"/>
      <c r="BJO46" s="78"/>
      <c r="BJP46" s="78"/>
      <c r="BJQ46" s="78"/>
      <c r="BJR46" s="78"/>
      <c r="BJS46" s="78"/>
      <c r="BJT46" s="78"/>
      <c r="BJU46" s="78"/>
      <c r="BJV46" s="78"/>
      <c r="BJW46" s="78"/>
      <c r="BJX46" s="78"/>
      <c r="BJY46" s="78"/>
      <c r="BJZ46" s="78"/>
      <c r="BKA46" s="78"/>
      <c r="BKB46" s="78"/>
      <c r="BKC46" s="78"/>
      <c r="BKD46" s="78"/>
      <c r="BKE46" s="78"/>
      <c r="BKF46" s="78"/>
      <c r="BKG46" s="78"/>
      <c r="BKH46" s="78"/>
      <c r="BKI46" s="78"/>
      <c r="BKJ46" s="78"/>
      <c r="BKK46" s="78"/>
      <c r="BKL46" s="78"/>
      <c r="BKM46" s="78"/>
      <c r="BKN46" s="78"/>
      <c r="BKO46" s="78"/>
      <c r="BKP46" s="78"/>
      <c r="BKQ46" s="78"/>
      <c r="BKR46" s="78"/>
      <c r="BKS46" s="78"/>
      <c r="BKT46" s="78"/>
      <c r="BKU46" s="78"/>
      <c r="BKV46" s="78"/>
      <c r="BKW46" s="78"/>
      <c r="BKX46" s="78"/>
      <c r="BKY46" s="78"/>
      <c r="BKZ46" s="78"/>
      <c r="BLA46" s="78"/>
      <c r="BLB46" s="78"/>
      <c r="BLC46" s="78"/>
      <c r="BLD46" s="78"/>
      <c r="BLE46" s="78"/>
      <c r="BLF46" s="78"/>
      <c r="BLG46" s="78"/>
      <c r="BLH46" s="78"/>
      <c r="BLI46" s="78"/>
      <c r="BLJ46" s="78"/>
      <c r="BLK46" s="78"/>
      <c r="BLL46" s="78"/>
      <c r="BLM46" s="78"/>
      <c r="BLN46" s="78"/>
      <c r="BLO46" s="78"/>
      <c r="BLP46" s="78"/>
      <c r="BLQ46" s="78"/>
      <c r="BLR46" s="78"/>
      <c r="BLS46" s="78"/>
      <c r="BLT46" s="78"/>
      <c r="BLU46" s="78"/>
      <c r="BLV46" s="78"/>
      <c r="BLW46" s="78"/>
      <c r="BLX46" s="78"/>
      <c r="BLY46" s="78"/>
      <c r="BLZ46" s="78"/>
      <c r="BMA46" s="78"/>
      <c r="BMB46" s="78"/>
      <c r="BMC46" s="78"/>
      <c r="BMD46" s="78"/>
      <c r="BME46" s="78"/>
      <c r="BMF46" s="78"/>
      <c r="BMG46" s="78"/>
      <c r="BMH46" s="78"/>
      <c r="BMI46" s="78"/>
      <c r="BMJ46" s="78"/>
      <c r="BMK46" s="78"/>
      <c r="BML46" s="78"/>
      <c r="BMM46" s="78"/>
      <c r="BMN46" s="78"/>
      <c r="BMO46" s="78"/>
      <c r="BMP46" s="78"/>
      <c r="BMQ46" s="78"/>
      <c r="BMR46" s="78"/>
      <c r="BMS46" s="78"/>
      <c r="BMT46" s="78"/>
      <c r="BMU46" s="78"/>
      <c r="BMV46" s="78"/>
      <c r="BMW46" s="78"/>
      <c r="BMX46" s="78"/>
      <c r="BMY46" s="78"/>
      <c r="BMZ46" s="78"/>
      <c r="BNA46" s="78"/>
      <c r="BNB46" s="78"/>
      <c r="BNC46" s="78"/>
      <c r="BND46" s="78"/>
      <c r="BNE46" s="78"/>
      <c r="BNF46" s="78"/>
      <c r="BNG46" s="78"/>
      <c r="BNH46" s="78"/>
      <c r="BNI46" s="78"/>
      <c r="BNJ46" s="78"/>
      <c r="BNK46" s="78"/>
      <c r="BNL46" s="78"/>
      <c r="BNM46" s="78"/>
      <c r="BNN46" s="78"/>
      <c r="BNO46" s="78"/>
      <c r="BNP46" s="78"/>
      <c r="BNQ46" s="78"/>
      <c r="BNR46" s="78"/>
      <c r="BNS46" s="78"/>
      <c r="BNT46" s="78"/>
      <c r="BNU46" s="78"/>
      <c r="BNV46" s="78"/>
      <c r="BNW46" s="78"/>
      <c r="BNX46" s="78"/>
      <c r="BNY46" s="78"/>
      <c r="BNZ46" s="78"/>
      <c r="BOA46" s="78"/>
      <c r="BOB46" s="78"/>
      <c r="BOC46" s="78"/>
      <c r="BOD46" s="78"/>
      <c r="BOE46" s="78"/>
      <c r="BOF46" s="78"/>
      <c r="BOG46" s="78"/>
      <c r="BOH46" s="78"/>
      <c r="BOI46" s="78"/>
      <c r="BOJ46" s="78"/>
      <c r="BOK46" s="78"/>
      <c r="BOL46" s="78"/>
      <c r="BOM46" s="78"/>
      <c r="BON46" s="78"/>
      <c r="BOO46" s="78"/>
      <c r="BOP46" s="78"/>
      <c r="BOQ46" s="78"/>
      <c r="BOR46" s="78"/>
      <c r="BOS46" s="78"/>
      <c r="BOT46" s="78"/>
      <c r="BOU46" s="78"/>
      <c r="BOV46" s="78"/>
      <c r="BOW46" s="78"/>
      <c r="BOX46" s="78"/>
      <c r="BOY46" s="78"/>
      <c r="BOZ46" s="78"/>
      <c r="BPA46" s="78"/>
      <c r="BPB46" s="78"/>
      <c r="BPC46" s="78"/>
      <c r="BPD46" s="78"/>
      <c r="BPE46" s="78"/>
      <c r="BPF46" s="78"/>
      <c r="BPG46" s="78"/>
      <c r="BPH46" s="78"/>
      <c r="BPI46" s="78"/>
      <c r="BPJ46" s="78"/>
      <c r="BPK46" s="78"/>
      <c r="BPL46" s="78"/>
      <c r="BPM46" s="78"/>
      <c r="BPN46" s="78"/>
      <c r="BPO46" s="78"/>
      <c r="BPP46" s="78"/>
      <c r="BPQ46" s="78"/>
      <c r="BPR46" s="78"/>
      <c r="BPS46" s="78"/>
      <c r="BPT46" s="78"/>
      <c r="BPU46" s="78"/>
      <c r="BPV46" s="78"/>
      <c r="BPW46" s="78"/>
      <c r="BPX46" s="78"/>
      <c r="BPY46" s="78"/>
      <c r="BPZ46" s="78"/>
      <c r="BQA46" s="78"/>
      <c r="BQB46" s="78"/>
      <c r="BQC46" s="78"/>
      <c r="BQD46" s="78"/>
      <c r="BQE46" s="78"/>
      <c r="BQF46" s="78"/>
      <c r="BQG46" s="78"/>
      <c r="BQH46" s="78"/>
      <c r="BQI46" s="78"/>
      <c r="BQJ46" s="78"/>
      <c r="BQK46" s="78"/>
      <c r="BQL46" s="78"/>
      <c r="BQM46" s="78"/>
      <c r="BQN46" s="78"/>
      <c r="BQO46" s="78"/>
      <c r="BQP46" s="78"/>
      <c r="BQQ46" s="78"/>
      <c r="BQR46" s="78"/>
      <c r="BQS46" s="78"/>
      <c r="BQT46" s="78"/>
      <c r="BQU46" s="78"/>
      <c r="BQV46" s="78"/>
      <c r="BQW46" s="78"/>
      <c r="BQX46" s="78"/>
      <c r="BQY46" s="78"/>
      <c r="BQZ46" s="78"/>
      <c r="BRA46" s="78"/>
      <c r="BRB46" s="78"/>
      <c r="BRC46" s="78"/>
      <c r="BRD46" s="78"/>
      <c r="BRE46" s="78"/>
      <c r="BRF46" s="78"/>
      <c r="BRG46" s="78"/>
      <c r="BRH46" s="78"/>
      <c r="BRI46" s="78"/>
      <c r="BRJ46" s="78"/>
      <c r="BRK46" s="78"/>
      <c r="BRL46" s="78"/>
      <c r="BRM46" s="78"/>
      <c r="BRN46" s="78"/>
      <c r="BRO46" s="78"/>
      <c r="BRP46" s="78"/>
      <c r="BRQ46" s="78"/>
      <c r="BRR46" s="78"/>
      <c r="BRS46" s="78"/>
      <c r="BRT46" s="78"/>
      <c r="BRU46" s="78"/>
      <c r="BRV46" s="78"/>
      <c r="BRW46" s="78"/>
      <c r="BRX46" s="78"/>
      <c r="BRY46" s="78"/>
      <c r="BRZ46" s="78"/>
      <c r="BSA46" s="78"/>
      <c r="BSB46" s="78"/>
      <c r="BSC46" s="78"/>
      <c r="BSD46" s="78"/>
      <c r="BSE46" s="78"/>
      <c r="BSF46" s="78"/>
      <c r="BSG46" s="78"/>
      <c r="BSH46" s="78"/>
      <c r="BSI46" s="78"/>
      <c r="BSJ46" s="78"/>
      <c r="BSK46" s="78"/>
      <c r="BSL46" s="78"/>
      <c r="BSM46" s="78"/>
      <c r="BSN46" s="78"/>
      <c r="BSO46" s="78"/>
      <c r="BSP46" s="78"/>
      <c r="BSQ46" s="78"/>
      <c r="BSR46" s="78"/>
      <c r="BSS46" s="78"/>
      <c r="BST46" s="78"/>
      <c r="BSU46" s="78"/>
      <c r="BSV46" s="78"/>
      <c r="BSW46" s="78"/>
      <c r="BSX46" s="78"/>
      <c r="BSY46" s="78"/>
      <c r="BSZ46" s="78"/>
      <c r="BTA46" s="78"/>
      <c r="BTB46" s="78"/>
      <c r="BTC46" s="78"/>
      <c r="BTD46" s="78"/>
      <c r="BTE46" s="78"/>
      <c r="BTF46" s="78"/>
      <c r="BTG46" s="78"/>
      <c r="BTH46" s="78"/>
      <c r="BTI46" s="78"/>
      <c r="BTJ46" s="78"/>
      <c r="BTK46" s="78"/>
      <c r="BTL46" s="78"/>
      <c r="BTM46" s="78"/>
      <c r="BTN46" s="78"/>
      <c r="BTO46" s="78"/>
      <c r="BTP46" s="78"/>
      <c r="BTQ46" s="78"/>
      <c r="BTR46" s="78"/>
      <c r="BTS46" s="78"/>
      <c r="BTT46" s="78"/>
      <c r="BTU46" s="78"/>
      <c r="BTV46" s="78"/>
      <c r="BTW46" s="78"/>
      <c r="BTX46" s="78"/>
      <c r="BTY46" s="78"/>
      <c r="BTZ46" s="78"/>
      <c r="BUA46" s="78"/>
      <c r="BUB46" s="78"/>
      <c r="BUC46" s="78"/>
      <c r="BUD46" s="78"/>
      <c r="BUE46" s="78"/>
      <c r="BUF46" s="78"/>
      <c r="BUG46" s="78"/>
      <c r="BUH46" s="78"/>
      <c r="BUI46" s="78"/>
      <c r="BUJ46" s="78"/>
      <c r="BUK46" s="78"/>
      <c r="BUL46" s="78"/>
      <c r="BUM46" s="78"/>
      <c r="BUN46" s="78"/>
      <c r="BUO46" s="78"/>
      <c r="BUP46" s="78"/>
      <c r="BUQ46" s="78"/>
      <c r="BUR46" s="78"/>
      <c r="BUS46" s="78"/>
      <c r="BUT46" s="78"/>
      <c r="BUU46" s="78"/>
      <c r="BUV46" s="78"/>
      <c r="BUW46" s="78"/>
      <c r="BUX46" s="78"/>
      <c r="BUY46" s="78"/>
      <c r="BUZ46" s="78"/>
      <c r="BVA46" s="78"/>
      <c r="BVB46" s="78"/>
      <c r="BVC46" s="78"/>
      <c r="BVD46" s="78"/>
      <c r="BVE46" s="78"/>
      <c r="BVF46" s="78"/>
      <c r="BVG46" s="78"/>
      <c r="BVH46" s="78"/>
      <c r="BVI46" s="78"/>
      <c r="BVJ46" s="78"/>
      <c r="BVK46" s="78"/>
      <c r="BVL46" s="78"/>
      <c r="BVM46" s="78"/>
      <c r="BVN46" s="78"/>
      <c r="BVO46" s="78"/>
      <c r="BVP46" s="78"/>
      <c r="BVQ46" s="78"/>
      <c r="BVR46" s="78"/>
      <c r="BVS46" s="78"/>
      <c r="BVT46" s="78"/>
      <c r="BVU46" s="78"/>
      <c r="BVV46" s="78"/>
      <c r="BVW46" s="78"/>
      <c r="BVX46" s="78"/>
      <c r="BVY46" s="78"/>
      <c r="BVZ46" s="78"/>
      <c r="BWA46" s="78"/>
      <c r="BWB46" s="78"/>
      <c r="BWC46" s="78"/>
      <c r="BWD46" s="78"/>
      <c r="BWE46" s="78"/>
      <c r="BWF46" s="78"/>
      <c r="BWG46" s="78"/>
      <c r="BWH46" s="78"/>
      <c r="BWI46" s="78"/>
      <c r="BWJ46" s="78"/>
      <c r="BWK46" s="78"/>
      <c r="BWL46" s="78"/>
      <c r="BWM46" s="78"/>
      <c r="BWN46" s="78"/>
      <c r="BWO46" s="78"/>
      <c r="BWP46" s="78"/>
      <c r="BWQ46" s="78"/>
      <c r="BWR46" s="78"/>
      <c r="BWS46" s="78"/>
      <c r="BWT46" s="78"/>
      <c r="BWU46" s="78"/>
      <c r="BWV46" s="78"/>
      <c r="BWW46" s="78"/>
      <c r="BWX46" s="78"/>
      <c r="BWY46" s="78"/>
      <c r="BWZ46" s="78"/>
      <c r="BXA46" s="78"/>
      <c r="BXB46" s="78"/>
      <c r="BXC46" s="78"/>
      <c r="BXD46" s="78"/>
      <c r="BXE46" s="78"/>
      <c r="BXF46" s="78"/>
      <c r="BXG46" s="78"/>
      <c r="BXH46" s="78"/>
      <c r="BXI46" s="78"/>
      <c r="BXJ46" s="78"/>
      <c r="BXK46" s="78"/>
      <c r="BXL46" s="78"/>
      <c r="BXM46" s="78"/>
      <c r="BXN46" s="78"/>
      <c r="BXO46" s="78"/>
      <c r="BXP46" s="78"/>
      <c r="BXQ46" s="78"/>
      <c r="BXR46" s="78"/>
      <c r="BXS46" s="78"/>
      <c r="BXT46" s="78"/>
      <c r="BXU46" s="78"/>
      <c r="BXV46" s="78"/>
      <c r="BXW46" s="78"/>
      <c r="BXX46" s="78"/>
      <c r="BXY46" s="78"/>
      <c r="BXZ46" s="78"/>
      <c r="BYA46" s="78"/>
      <c r="BYB46" s="78"/>
      <c r="BYC46" s="78"/>
      <c r="BYD46" s="78"/>
      <c r="BYE46" s="78"/>
      <c r="BYF46" s="78"/>
      <c r="BYG46" s="78"/>
      <c r="BYH46" s="78"/>
      <c r="BYI46" s="78"/>
      <c r="BYJ46" s="78"/>
      <c r="BYK46" s="78"/>
      <c r="BYL46" s="78"/>
      <c r="BYM46" s="78"/>
      <c r="BYN46" s="78"/>
      <c r="BYO46" s="78"/>
      <c r="BYP46" s="78"/>
      <c r="BYQ46" s="78"/>
      <c r="BYR46" s="78"/>
      <c r="BYS46" s="78"/>
      <c r="BYT46" s="78"/>
      <c r="BYU46" s="78"/>
      <c r="BYV46" s="78"/>
      <c r="BYW46" s="78"/>
      <c r="BYX46" s="78"/>
      <c r="BYY46" s="78"/>
      <c r="BYZ46" s="78"/>
      <c r="BZA46" s="78"/>
      <c r="BZB46" s="78"/>
      <c r="BZC46" s="78"/>
      <c r="BZD46" s="78"/>
      <c r="BZE46" s="78"/>
      <c r="BZF46" s="78"/>
      <c r="BZG46" s="78"/>
      <c r="BZH46" s="78"/>
      <c r="BZI46" s="78"/>
      <c r="BZJ46" s="78"/>
      <c r="BZK46" s="78"/>
      <c r="BZL46" s="78"/>
      <c r="BZM46" s="78"/>
      <c r="BZN46" s="78"/>
      <c r="BZO46" s="78"/>
      <c r="BZP46" s="78"/>
      <c r="BZQ46" s="78"/>
      <c r="BZR46" s="78"/>
      <c r="BZS46" s="78"/>
      <c r="BZT46" s="78"/>
      <c r="BZU46" s="78"/>
      <c r="BZV46" s="78"/>
      <c r="BZW46" s="78"/>
      <c r="BZX46" s="78"/>
      <c r="BZY46" s="78"/>
      <c r="BZZ46" s="78"/>
      <c r="CAA46" s="78"/>
      <c r="CAB46" s="78"/>
      <c r="CAC46" s="78"/>
      <c r="CAD46" s="78"/>
      <c r="CAE46" s="78"/>
      <c r="CAF46" s="78"/>
      <c r="CAG46" s="78"/>
      <c r="CAH46" s="78"/>
      <c r="CAI46" s="78"/>
      <c r="CAJ46" s="78"/>
      <c r="CAK46" s="78"/>
      <c r="CAL46" s="78"/>
      <c r="CAM46" s="78"/>
      <c r="CAN46" s="78"/>
      <c r="CAO46" s="78"/>
      <c r="CAP46" s="78"/>
      <c r="CAQ46" s="78"/>
      <c r="CAR46" s="78"/>
      <c r="CAS46" s="78"/>
      <c r="CAT46" s="78"/>
      <c r="CAU46" s="78"/>
      <c r="CAV46" s="78"/>
      <c r="CAW46" s="78"/>
      <c r="CAX46" s="78"/>
      <c r="CAY46" s="78"/>
      <c r="CAZ46" s="78"/>
      <c r="CBA46" s="78"/>
      <c r="CBB46" s="78"/>
      <c r="CBC46" s="78"/>
      <c r="CBD46" s="78"/>
      <c r="CBE46" s="78"/>
      <c r="CBF46" s="78"/>
      <c r="CBG46" s="78"/>
      <c r="CBH46" s="78"/>
      <c r="CBI46" s="78"/>
      <c r="CBJ46" s="78"/>
      <c r="CBK46" s="78"/>
      <c r="CBL46" s="78"/>
      <c r="CBM46" s="78"/>
      <c r="CBN46" s="78"/>
      <c r="CBO46" s="78"/>
      <c r="CBP46" s="78"/>
      <c r="CBQ46" s="78"/>
      <c r="CBR46" s="78"/>
      <c r="CBS46" s="78"/>
      <c r="CBT46" s="78"/>
      <c r="CBU46" s="78"/>
      <c r="CBV46" s="78"/>
      <c r="CBW46" s="78"/>
      <c r="CBX46" s="78"/>
      <c r="CBY46" s="78"/>
      <c r="CBZ46" s="78"/>
      <c r="CCA46" s="78"/>
      <c r="CCB46" s="78"/>
      <c r="CCC46" s="78"/>
      <c r="CCD46" s="78"/>
      <c r="CCE46" s="78"/>
      <c r="CCF46" s="78"/>
      <c r="CCG46" s="78"/>
      <c r="CCH46" s="78"/>
      <c r="CCI46" s="78"/>
      <c r="CCJ46" s="78"/>
      <c r="CCK46" s="78"/>
      <c r="CCL46" s="78"/>
      <c r="CCM46" s="78"/>
      <c r="CCN46" s="78"/>
      <c r="CCO46" s="78"/>
      <c r="CCP46" s="78"/>
      <c r="CCQ46" s="78"/>
      <c r="CCR46" s="78"/>
      <c r="CCS46" s="78"/>
      <c r="CCT46" s="78"/>
      <c r="CCU46" s="78"/>
      <c r="CCV46" s="78"/>
      <c r="CCW46" s="78"/>
      <c r="CCX46" s="78"/>
      <c r="CCY46" s="78"/>
      <c r="CCZ46" s="78"/>
      <c r="CDA46" s="78"/>
      <c r="CDB46" s="78"/>
      <c r="CDC46" s="78"/>
      <c r="CDD46" s="78"/>
      <c r="CDE46" s="78"/>
      <c r="CDF46" s="78"/>
      <c r="CDG46" s="78"/>
      <c r="CDH46" s="78"/>
      <c r="CDI46" s="78"/>
      <c r="CDJ46" s="78"/>
      <c r="CDK46" s="78"/>
      <c r="CDL46" s="78"/>
      <c r="CDM46" s="78"/>
      <c r="CDN46" s="78"/>
      <c r="CDO46" s="78"/>
      <c r="CDP46" s="78"/>
      <c r="CDQ46" s="78"/>
      <c r="CDR46" s="78"/>
      <c r="CDS46" s="78"/>
      <c r="CDT46" s="78"/>
      <c r="CDU46" s="78"/>
      <c r="CDV46" s="78"/>
      <c r="CDW46" s="78"/>
      <c r="CDX46" s="78"/>
      <c r="CDY46" s="78"/>
      <c r="CDZ46" s="78"/>
      <c r="CEA46" s="78"/>
      <c r="CEB46" s="78"/>
      <c r="CEC46" s="78"/>
      <c r="CED46" s="78"/>
      <c r="CEE46" s="78"/>
      <c r="CEF46" s="78"/>
      <c r="CEG46" s="78"/>
      <c r="CEH46" s="78"/>
      <c r="CEI46" s="78"/>
      <c r="CEJ46" s="78"/>
      <c r="CEK46" s="78"/>
      <c r="CEL46" s="78"/>
      <c r="CEM46" s="78"/>
      <c r="CEN46" s="78"/>
      <c r="CEO46" s="78"/>
      <c r="CEP46" s="78"/>
      <c r="CEQ46" s="78"/>
      <c r="CER46" s="78"/>
      <c r="CES46" s="78"/>
      <c r="CET46" s="78"/>
      <c r="CEU46" s="78"/>
      <c r="CEV46" s="78"/>
      <c r="CEW46" s="78"/>
      <c r="CEX46" s="78"/>
      <c r="CEY46" s="78"/>
      <c r="CEZ46" s="78"/>
      <c r="CFA46" s="78"/>
      <c r="CFB46" s="78"/>
      <c r="CFC46" s="78"/>
      <c r="CFD46" s="78"/>
      <c r="CFE46" s="78"/>
      <c r="CFF46" s="78"/>
      <c r="CFG46" s="78"/>
      <c r="CFH46" s="78"/>
      <c r="CFI46" s="78"/>
      <c r="CFJ46" s="78"/>
      <c r="CFK46" s="78"/>
      <c r="CFL46" s="78"/>
      <c r="CFM46" s="78"/>
      <c r="CFN46" s="78"/>
      <c r="CFO46" s="78"/>
      <c r="CFP46" s="78"/>
      <c r="CFQ46" s="78"/>
      <c r="CFR46" s="78"/>
      <c r="CFS46" s="78"/>
      <c r="CFT46" s="78"/>
      <c r="CFU46" s="78"/>
      <c r="CFV46" s="78"/>
      <c r="CFW46" s="78"/>
      <c r="CFX46" s="78"/>
      <c r="CFY46" s="78"/>
      <c r="CFZ46" s="78"/>
      <c r="CGA46" s="78"/>
      <c r="CGB46" s="78"/>
      <c r="CGC46" s="78"/>
      <c r="CGD46" s="78"/>
      <c r="CGE46" s="78"/>
      <c r="CGF46" s="78"/>
      <c r="CGG46" s="78"/>
      <c r="CGH46" s="78"/>
      <c r="CGI46" s="78"/>
      <c r="CGJ46" s="78"/>
      <c r="CGK46" s="78"/>
      <c r="CGL46" s="78"/>
      <c r="CGM46" s="78"/>
      <c r="CGN46" s="78"/>
      <c r="CGO46" s="78"/>
      <c r="CGP46" s="78"/>
      <c r="CGQ46" s="78"/>
      <c r="CGR46" s="78"/>
      <c r="CGS46" s="78"/>
      <c r="CGT46" s="78"/>
      <c r="CGU46" s="78"/>
      <c r="CGV46" s="78"/>
      <c r="CGW46" s="78"/>
      <c r="CGX46" s="78"/>
      <c r="CGY46" s="78"/>
      <c r="CGZ46" s="78"/>
      <c r="CHA46" s="78"/>
      <c r="CHB46" s="78"/>
      <c r="CHC46" s="78"/>
      <c r="CHD46" s="78"/>
      <c r="CHE46" s="78"/>
      <c r="CHF46" s="78"/>
      <c r="CHG46" s="78"/>
      <c r="CHH46" s="78"/>
      <c r="CHI46" s="78"/>
      <c r="CHJ46" s="78"/>
      <c r="CHK46" s="78"/>
      <c r="CHL46" s="78"/>
      <c r="CHM46" s="78"/>
      <c r="CHN46" s="78"/>
      <c r="CHO46" s="78"/>
      <c r="CHP46" s="78"/>
      <c r="CHQ46" s="78"/>
      <c r="CHR46" s="78"/>
      <c r="CHS46" s="78"/>
      <c r="CHT46" s="78"/>
      <c r="CHU46" s="78"/>
      <c r="CHV46" s="78"/>
      <c r="CHW46" s="78"/>
      <c r="CHX46" s="78"/>
      <c r="CHY46" s="78"/>
      <c r="CHZ46" s="78"/>
      <c r="CIA46" s="78"/>
      <c r="CIB46" s="78"/>
      <c r="CIC46" s="78"/>
      <c r="CID46" s="78"/>
      <c r="CIE46" s="78"/>
      <c r="CIF46" s="78"/>
      <c r="CIG46" s="78"/>
      <c r="CIH46" s="78"/>
      <c r="CII46" s="78"/>
      <c r="CIJ46" s="78"/>
      <c r="CIK46" s="78"/>
      <c r="CIL46" s="78"/>
      <c r="CIM46" s="78"/>
      <c r="CIN46" s="78"/>
      <c r="CIO46" s="78"/>
      <c r="CIP46" s="78"/>
      <c r="CIQ46" s="78"/>
      <c r="CIR46" s="78"/>
      <c r="CIS46" s="78"/>
      <c r="CIT46" s="78"/>
      <c r="CIU46" s="78"/>
      <c r="CIV46" s="78"/>
      <c r="CIW46" s="78"/>
      <c r="CIX46" s="78"/>
      <c r="CIY46" s="78"/>
      <c r="CIZ46" s="78"/>
      <c r="CJA46" s="78"/>
      <c r="CJB46" s="78"/>
      <c r="CJC46" s="78"/>
      <c r="CJD46" s="78"/>
      <c r="CJE46" s="78"/>
      <c r="CJF46" s="78"/>
      <c r="CJG46" s="78"/>
      <c r="CJH46" s="78"/>
      <c r="CJI46" s="78"/>
      <c r="CJJ46" s="78"/>
      <c r="CJK46" s="78"/>
      <c r="CJL46" s="78"/>
      <c r="CJM46" s="78"/>
      <c r="CJN46" s="78"/>
      <c r="CJO46" s="78"/>
      <c r="CJP46" s="78"/>
      <c r="CJQ46" s="78"/>
      <c r="CJR46" s="78"/>
      <c r="CJS46" s="78"/>
      <c r="CJT46" s="78"/>
      <c r="CJU46" s="78"/>
      <c r="CJV46" s="78"/>
      <c r="CJW46" s="78"/>
      <c r="CJX46" s="78"/>
      <c r="CJY46" s="78"/>
      <c r="CJZ46" s="78"/>
      <c r="CKA46" s="78"/>
      <c r="CKB46" s="78"/>
      <c r="CKC46" s="78"/>
      <c r="CKD46" s="78"/>
      <c r="CKE46" s="78"/>
      <c r="CKF46" s="78"/>
      <c r="CKG46" s="78"/>
      <c r="CKH46" s="78"/>
      <c r="CKI46" s="78"/>
      <c r="CKJ46" s="78"/>
      <c r="CKK46" s="78"/>
      <c r="CKL46" s="78"/>
      <c r="CKM46" s="78"/>
      <c r="CKN46" s="78"/>
      <c r="CKO46" s="78"/>
      <c r="CKP46" s="78"/>
      <c r="CKQ46" s="78"/>
      <c r="CKR46" s="78"/>
      <c r="CKS46" s="78"/>
      <c r="CKT46" s="78"/>
      <c r="CKU46" s="78"/>
      <c r="CKV46" s="78"/>
      <c r="CKW46" s="78"/>
      <c r="CKX46" s="78"/>
      <c r="CKY46" s="78"/>
      <c r="CKZ46" s="78"/>
      <c r="CLA46" s="78"/>
      <c r="CLB46" s="78"/>
      <c r="CLC46" s="78"/>
      <c r="CLD46" s="78"/>
      <c r="CLE46" s="78"/>
      <c r="CLF46" s="78"/>
      <c r="CLG46" s="78"/>
      <c r="CLH46" s="78"/>
      <c r="CLI46" s="78"/>
      <c r="CLJ46" s="78"/>
      <c r="CLK46" s="78"/>
      <c r="CLL46" s="78"/>
      <c r="CLM46" s="78"/>
      <c r="CLN46" s="78"/>
      <c r="CLO46" s="78"/>
      <c r="CLP46" s="78"/>
      <c r="CLQ46" s="78"/>
      <c r="CLR46" s="78"/>
      <c r="CLS46" s="78"/>
      <c r="CLT46" s="78"/>
      <c r="CLU46" s="78"/>
      <c r="CLV46" s="78"/>
      <c r="CLW46" s="78"/>
      <c r="CLX46" s="78"/>
      <c r="CLY46" s="78"/>
      <c r="CLZ46" s="78"/>
      <c r="CMA46" s="78"/>
      <c r="CMB46" s="78"/>
      <c r="CMC46" s="78"/>
      <c r="CMD46" s="78"/>
      <c r="CME46" s="78"/>
      <c r="CMF46" s="78"/>
      <c r="CMG46" s="78"/>
      <c r="CMH46" s="78"/>
      <c r="CMI46" s="78"/>
      <c r="CMJ46" s="78"/>
      <c r="CMK46" s="78"/>
      <c r="CML46" s="78"/>
      <c r="CMM46" s="78"/>
      <c r="CMN46" s="78"/>
      <c r="CMO46" s="78"/>
      <c r="CMP46" s="78"/>
      <c r="CMQ46" s="78"/>
      <c r="CMR46" s="78"/>
      <c r="CMS46" s="78"/>
      <c r="CMT46" s="78"/>
      <c r="CMU46" s="78"/>
      <c r="CMV46" s="78"/>
      <c r="CMW46" s="78"/>
      <c r="CMX46" s="78"/>
      <c r="CMY46" s="78"/>
      <c r="CMZ46" s="78"/>
      <c r="CNA46" s="78"/>
      <c r="CNB46" s="78"/>
      <c r="CNC46" s="78"/>
      <c r="CND46" s="78"/>
      <c r="CNE46" s="78"/>
      <c r="CNF46" s="78"/>
      <c r="CNG46" s="78"/>
      <c r="CNH46" s="78"/>
      <c r="CNI46" s="78"/>
      <c r="CNJ46" s="78"/>
      <c r="CNK46" s="78"/>
      <c r="CNL46" s="78"/>
      <c r="CNM46" s="78"/>
      <c r="CNN46" s="78"/>
      <c r="CNO46" s="78"/>
      <c r="CNP46" s="78"/>
      <c r="CNQ46" s="78"/>
      <c r="CNR46" s="78"/>
      <c r="CNS46" s="78"/>
      <c r="CNT46" s="78"/>
      <c r="CNU46" s="78"/>
      <c r="CNV46" s="78"/>
      <c r="CNW46" s="78"/>
      <c r="CNX46" s="78"/>
      <c r="CNY46" s="78"/>
      <c r="CNZ46" s="78"/>
      <c r="COA46" s="78"/>
      <c r="COB46" s="78"/>
      <c r="COC46" s="78"/>
      <c r="COD46" s="78"/>
      <c r="COE46" s="78"/>
      <c r="COF46" s="78"/>
      <c r="COG46" s="78"/>
      <c r="COH46" s="78"/>
      <c r="COI46" s="78"/>
      <c r="COJ46" s="78"/>
      <c r="COK46" s="78"/>
      <c r="COL46" s="78"/>
      <c r="COM46" s="78"/>
      <c r="CON46" s="78"/>
      <c r="COO46" s="78"/>
      <c r="COP46" s="78"/>
      <c r="COQ46" s="78"/>
      <c r="COR46" s="78"/>
      <c r="COS46" s="78"/>
      <c r="COT46" s="78"/>
      <c r="COU46" s="78"/>
      <c r="COV46" s="78"/>
      <c r="COW46" s="78"/>
      <c r="COX46" s="78"/>
      <c r="COY46" s="78"/>
      <c r="COZ46" s="78"/>
      <c r="CPA46" s="78"/>
      <c r="CPB46" s="78"/>
      <c r="CPC46" s="78"/>
      <c r="CPD46" s="78"/>
      <c r="CPE46" s="78"/>
      <c r="CPF46" s="78"/>
      <c r="CPG46" s="78"/>
      <c r="CPH46" s="78"/>
      <c r="CPI46" s="78"/>
      <c r="CPJ46" s="78"/>
      <c r="CPK46" s="78"/>
      <c r="CPL46" s="78"/>
      <c r="CPM46" s="78"/>
      <c r="CPN46" s="78"/>
      <c r="CPO46" s="78"/>
      <c r="CPP46" s="78"/>
      <c r="CPQ46" s="78"/>
      <c r="CPR46" s="78"/>
      <c r="CPS46" s="78"/>
      <c r="CPT46" s="78"/>
      <c r="CPU46" s="78"/>
      <c r="CPV46" s="78"/>
      <c r="CPW46" s="78"/>
      <c r="CPX46" s="78"/>
      <c r="CPY46" s="78"/>
      <c r="CPZ46" s="78"/>
      <c r="CQA46" s="78"/>
      <c r="CQB46" s="78"/>
      <c r="CQC46" s="78"/>
      <c r="CQD46" s="78"/>
      <c r="CQE46" s="78"/>
      <c r="CQF46" s="78"/>
      <c r="CQG46" s="78"/>
      <c r="CQH46" s="78"/>
      <c r="CQI46" s="78"/>
      <c r="CQJ46" s="78"/>
      <c r="CQK46" s="78"/>
      <c r="CQL46" s="78"/>
      <c r="CQM46" s="78"/>
      <c r="CQN46" s="78"/>
      <c r="CQO46" s="78"/>
      <c r="CQP46" s="78"/>
      <c r="CQQ46" s="78"/>
      <c r="CQR46" s="78"/>
      <c r="CQS46" s="78"/>
      <c r="CQT46" s="78"/>
      <c r="CQU46" s="78"/>
      <c r="CQV46" s="78"/>
      <c r="CQW46" s="78"/>
      <c r="CQX46" s="78"/>
      <c r="CQY46" s="78"/>
      <c r="CQZ46" s="78"/>
      <c r="CRA46" s="78"/>
      <c r="CRB46" s="78"/>
      <c r="CRC46" s="78"/>
      <c r="CRD46" s="78"/>
      <c r="CRE46" s="78"/>
      <c r="CRF46" s="78"/>
      <c r="CRG46" s="78"/>
      <c r="CRH46" s="78"/>
      <c r="CRI46" s="78"/>
      <c r="CRJ46" s="78"/>
      <c r="CRK46" s="78"/>
      <c r="CRL46" s="78"/>
      <c r="CRM46" s="78"/>
      <c r="CRN46" s="78"/>
      <c r="CRO46" s="78"/>
      <c r="CRP46" s="78"/>
      <c r="CRQ46" s="78"/>
      <c r="CRR46" s="78"/>
      <c r="CRS46" s="78"/>
      <c r="CRT46" s="78"/>
      <c r="CRU46" s="78"/>
      <c r="CRV46" s="78"/>
      <c r="CRW46" s="78"/>
      <c r="CRX46" s="78"/>
      <c r="CRY46" s="78"/>
      <c r="CRZ46" s="78"/>
      <c r="CSA46" s="78"/>
      <c r="CSB46" s="78"/>
      <c r="CSC46" s="78"/>
      <c r="CSD46" s="78"/>
      <c r="CSE46" s="78"/>
      <c r="CSF46" s="78"/>
      <c r="CSG46" s="78"/>
      <c r="CSH46" s="78"/>
      <c r="CSI46" s="78"/>
      <c r="CSJ46" s="78"/>
      <c r="CSK46" s="78"/>
      <c r="CSL46" s="78"/>
      <c r="CSM46" s="78"/>
      <c r="CSN46" s="78"/>
      <c r="CSO46" s="78"/>
      <c r="CSP46" s="78"/>
      <c r="CSQ46" s="78"/>
      <c r="CSR46" s="78"/>
      <c r="CSS46" s="78"/>
      <c r="CST46" s="78"/>
      <c r="CSU46" s="78"/>
      <c r="CSV46" s="78"/>
      <c r="CSW46" s="78"/>
      <c r="CSX46" s="78"/>
      <c r="CSY46" s="78"/>
      <c r="CSZ46" s="78"/>
      <c r="CTA46" s="78"/>
      <c r="CTB46" s="78"/>
      <c r="CTC46" s="78"/>
      <c r="CTD46" s="78"/>
      <c r="CTE46" s="78"/>
      <c r="CTF46" s="78"/>
      <c r="CTG46" s="78"/>
      <c r="CTH46" s="78"/>
      <c r="CTI46" s="78"/>
      <c r="CTJ46" s="78"/>
      <c r="CTK46" s="78"/>
      <c r="CTL46" s="78"/>
      <c r="CTM46" s="78"/>
      <c r="CTN46" s="78"/>
      <c r="CTO46" s="78"/>
      <c r="CTP46" s="78"/>
      <c r="CTQ46" s="78"/>
      <c r="CTR46" s="78"/>
      <c r="CTS46" s="78"/>
      <c r="CTT46" s="78"/>
      <c r="CTU46" s="78"/>
      <c r="CTV46" s="78"/>
      <c r="CTW46" s="78"/>
      <c r="CTX46" s="78"/>
      <c r="CTY46" s="78"/>
      <c r="CTZ46" s="78"/>
      <c r="CUA46" s="78"/>
      <c r="CUB46" s="78"/>
      <c r="CUC46" s="78"/>
      <c r="CUD46" s="78"/>
      <c r="CUE46" s="78"/>
      <c r="CUF46" s="78"/>
      <c r="CUG46" s="78"/>
      <c r="CUH46" s="78"/>
      <c r="CUI46" s="78"/>
      <c r="CUJ46" s="78"/>
      <c r="CUK46" s="78"/>
      <c r="CUL46" s="78"/>
      <c r="CUM46" s="78"/>
      <c r="CUN46" s="78"/>
      <c r="CUO46" s="78"/>
      <c r="CUP46" s="78"/>
      <c r="CUQ46" s="78"/>
      <c r="CUR46" s="78"/>
      <c r="CUS46" s="78"/>
      <c r="CUT46" s="78"/>
      <c r="CUU46" s="78"/>
      <c r="CUV46" s="78"/>
      <c r="CUW46" s="78"/>
      <c r="CUX46" s="78"/>
      <c r="CUY46" s="78"/>
      <c r="CUZ46" s="78"/>
      <c r="CVA46" s="78"/>
      <c r="CVB46" s="78"/>
      <c r="CVC46" s="78"/>
      <c r="CVD46" s="78"/>
      <c r="CVE46" s="78"/>
      <c r="CVF46" s="78"/>
      <c r="CVG46" s="78"/>
      <c r="CVH46" s="78"/>
      <c r="CVI46" s="78"/>
      <c r="CVJ46" s="78"/>
      <c r="CVK46" s="78"/>
      <c r="CVL46" s="78"/>
      <c r="CVM46" s="78"/>
      <c r="CVN46" s="78"/>
      <c r="CVO46" s="78"/>
      <c r="CVP46" s="78"/>
      <c r="CVQ46" s="78"/>
      <c r="CVR46" s="78"/>
      <c r="CVS46" s="78"/>
      <c r="CVT46" s="78"/>
      <c r="CVU46" s="78"/>
      <c r="CVV46" s="78"/>
      <c r="CVW46" s="78"/>
      <c r="CVX46" s="78"/>
      <c r="CVY46" s="78"/>
      <c r="CVZ46" s="78"/>
      <c r="CWA46" s="78"/>
      <c r="CWB46" s="78"/>
      <c r="CWC46" s="78"/>
      <c r="CWD46" s="78"/>
      <c r="CWE46" s="78"/>
      <c r="CWF46" s="78"/>
      <c r="CWG46" s="78"/>
      <c r="CWH46" s="78"/>
      <c r="CWI46" s="78"/>
      <c r="CWJ46" s="78"/>
      <c r="CWK46" s="78"/>
      <c r="CWL46" s="78"/>
      <c r="CWM46" s="78"/>
      <c r="CWN46" s="78"/>
      <c r="CWO46" s="78"/>
      <c r="CWP46" s="78"/>
      <c r="CWQ46" s="78"/>
      <c r="CWR46" s="78"/>
      <c r="CWS46" s="78"/>
      <c r="CWT46" s="78"/>
      <c r="CWU46" s="78"/>
      <c r="CWV46" s="78"/>
      <c r="CWW46" s="78"/>
      <c r="CWX46" s="78"/>
      <c r="CWY46" s="78"/>
      <c r="CWZ46" s="78"/>
      <c r="CXA46" s="78"/>
      <c r="CXB46" s="78"/>
      <c r="CXC46" s="78"/>
      <c r="CXD46" s="78"/>
      <c r="CXE46" s="78"/>
      <c r="CXF46" s="78"/>
      <c r="CXG46" s="78"/>
      <c r="CXH46" s="78"/>
      <c r="CXI46" s="78"/>
      <c r="CXJ46" s="78"/>
      <c r="CXK46" s="78"/>
      <c r="CXL46" s="78"/>
      <c r="CXM46" s="78"/>
      <c r="CXN46" s="78"/>
      <c r="CXO46" s="78"/>
      <c r="CXP46" s="78"/>
      <c r="CXQ46" s="78"/>
      <c r="CXR46" s="78"/>
      <c r="CXS46" s="78"/>
      <c r="CXT46" s="78"/>
      <c r="CXU46" s="78"/>
      <c r="CXV46" s="78"/>
      <c r="CXW46" s="78"/>
      <c r="CXX46" s="78"/>
      <c r="CXY46" s="78"/>
      <c r="CXZ46" s="78"/>
      <c r="CYA46" s="78"/>
      <c r="CYB46" s="78"/>
      <c r="CYC46" s="78"/>
      <c r="CYD46" s="78"/>
      <c r="CYE46" s="78"/>
      <c r="CYF46" s="78"/>
      <c r="CYG46" s="78"/>
      <c r="CYH46" s="78"/>
      <c r="CYI46" s="78"/>
      <c r="CYJ46" s="78"/>
      <c r="CYK46" s="78"/>
      <c r="CYL46" s="78"/>
      <c r="CYM46" s="78"/>
      <c r="CYN46" s="78"/>
      <c r="CYO46" s="78"/>
      <c r="CYP46" s="78"/>
      <c r="CYQ46" s="78"/>
      <c r="CYR46" s="78"/>
      <c r="CYS46" s="78"/>
      <c r="CYT46" s="78"/>
      <c r="CYU46" s="78"/>
      <c r="CYV46" s="78"/>
      <c r="CYW46" s="78"/>
      <c r="CYX46" s="78"/>
      <c r="CYY46" s="78"/>
      <c r="CYZ46" s="78"/>
      <c r="CZA46" s="78"/>
      <c r="CZB46" s="78"/>
      <c r="CZC46" s="78"/>
      <c r="CZD46" s="78"/>
      <c r="CZE46" s="78"/>
      <c r="CZF46" s="78"/>
      <c r="CZG46" s="78"/>
      <c r="CZH46" s="78"/>
      <c r="CZI46" s="78"/>
      <c r="CZJ46" s="78"/>
      <c r="CZK46" s="78"/>
      <c r="CZL46" s="78"/>
      <c r="CZM46" s="78"/>
      <c r="CZN46" s="78"/>
      <c r="CZO46" s="78"/>
      <c r="CZP46" s="78"/>
      <c r="CZQ46" s="78"/>
      <c r="CZR46" s="78"/>
      <c r="CZS46" s="78"/>
      <c r="CZT46" s="78"/>
      <c r="CZU46" s="78"/>
      <c r="CZV46" s="78"/>
      <c r="CZW46" s="78"/>
      <c r="CZX46" s="78"/>
      <c r="CZY46" s="78"/>
      <c r="CZZ46" s="78"/>
      <c r="DAA46" s="78"/>
      <c r="DAB46" s="78"/>
      <c r="DAC46" s="78"/>
      <c r="DAD46" s="78"/>
      <c r="DAE46" s="78"/>
      <c r="DAF46" s="78"/>
      <c r="DAG46" s="78"/>
      <c r="DAH46" s="78"/>
      <c r="DAI46" s="78"/>
      <c r="DAJ46" s="78"/>
      <c r="DAK46" s="78"/>
      <c r="DAL46" s="78"/>
      <c r="DAM46" s="78"/>
      <c r="DAN46" s="78"/>
      <c r="DAO46" s="78"/>
      <c r="DAP46" s="78"/>
      <c r="DAQ46" s="78"/>
      <c r="DAR46" s="78"/>
      <c r="DAS46" s="78"/>
      <c r="DAT46" s="78"/>
      <c r="DAU46" s="78"/>
      <c r="DAV46" s="78"/>
      <c r="DAW46" s="78"/>
      <c r="DAX46" s="78"/>
      <c r="DAY46" s="78"/>
      <c r="DAZ46" s="78"/>
      <c r="DBA46" s="78"/>
      <c r="DBB46" s="78"/>
      <c r="DBC46" s="78"/>
      <c r="DBD46" s="78"/>
      <c r="DBE46" s="78"/>
      <c r="DBF46" s="78"/>
      <c r="DBG46" s="78"/>
      <c r="DBH46" s="78"/>
      <c r="DBI46" s="78"/>
      <c r="DBJ46" s="78"/>
      <c r="DBK46" s="78"/>
      <c r="DBL46" s="78"/>
      <c r="DBM46" s="78"/>
      <c r="DBN46" s="78"/>
      <c r="DBO46" s="78"/>
      <c r="DBP46" s="78"/>
      <c r="DBQ46" s="78"/>
      <c r="DBR46" s="78"/>
      <c r="DBS46" s="78"/>
      <c r="DBT46" s="78"/>
      <c r="DBU46" s="78"/>
      <c r="DBV46" s="78"/>
      <c r="DBW46" s="78"/>
      <c r="DBX46" s="78"/>
      <c r="DBY46" s="78"/>
      <c r="DBZ46" s="78"/>
      <c r="DCA46" s="78"/>
      <c r="DCB46" s="78"/>
      <c r="DCC46" s="78"/>
      <c r="DCD46" s="78"/>
      <c r="DCE46" s="78"/>
      <c r="DCF46" s="78"/>
      <c r="DCG46" s="78"/>
      <c r="DCH46" s="78"/>
      <c r="DCI46" s="78"/>
      <c r="DCJ46" s="78"/>
      <c r="DCK46" s="78"/>
      <c r="DCL46" s="78"/>
      <c r="DCM46" s="78"/>
      <c r="DCN46" s="78"/>
      <c r="DCO46" s="78"/>
      <c r="DCP46" s="78"/>
      <c r="DCQ46" s="78"/>
      <c r="DCR46" s="78"/>
      <c r="DCS46" s="78"/>
      <c r="DCT46" s="78"/>
      <c r="DCU46" s="78"/>
      <c r="DCV46" s="78"/>
      <c r="DCW46" s="78"/>
      <c r="DCX46" s="78"/>
      <c r="DCY46" s="78"/>
      <c r="DCZ46" s="78"/>
      <c r="DDA46" s="78"/>
      <c r="DDB46" s="78"/>
      <c r="DDC46" s="78"/>
      <c r="DDD46" s="78"/>
      <c r="DDE46" s="78"/>
      <c r="DDF46" s="78"/>
      <c r="DDG46" s="78"/>
      <c r="DDH46" s="78"/>
      <c r="DDI46" s="78"/>
      <c r="DDJ46" s="78"/>
      <c r="DDK46" s="78"/>
      <c r="DDL46" s="78"/>
      <c r="DDM46" s="78"/>
      <c r="DDN46" s="78"/>
      <c r="DDO46" s="78"/>
      <c r="DDP46" s="78"/>
      <c r="DDQ46" s="78"/>
      <c r="DDR46" s="78"/>
      <c r="DDS46" s="78"/>
      <c r="DDT46" s="78"/>
      <c r="DDU46" s="78"/>
      <c r="DDV46" s="78"/>
      <c r="DDW46" s="78"/>
      <c r="DDX46" s="78"/>
      <c r="DDY46" s="78"/>
      <c r="DDZ46" s="78"/>
      <c r="DEA46" s="78"/>
      <c r="DEB46" s="78"/>
      <c r="DEC46" s="78"/>
      <c r="DED46" s="78"/>
      <c r="DEE46" s="78"/>
      <c r="DEF46" s="78"/>
      <c r="DEG46" s="78"/>
      <c r="DEH46" s="78"/>
      <c r="DEI46" s="78"/>
      <c r="DEJ46" s="78"/>
      <c r="DEK46" s="78"/>
      <c r="DEL46" s="78"/>
      <c r="DEM46" s="78"/>
      <c r="DEN46" s="78"/>
      <c r="DEO46" s="78"/>
      <c r="DEP46" s="78"/>
      <c r="DEQ46" s="78"/>
      <c r="DER46" s="78"/>
      <c r="DES46" s="78"/>
      <c r="DET46" s="78"/>
      <c r="DEU46" s="78"/>
      <c r="DEV46" s="78"/>
      <c r="DEW46" s="78"/>
      <c r="DEX46" s="78"/>
      <c r="DEY46" s="78"/>
      <c r="DEZ46" s="78"/>
      <c r="DFA46" s="78"/>
      <c r="DFB46" s="78"/>
      <c r="DFC46" s="78"/>
      <c r="DFD46" s="78"/>
      <c r="DFE46" s="78"/>
      <c r="DFF46" s="78"/>
      <c r="DFG46" s="78"/>
      <c r="DFH46" s="78"/>
      <c r="DFI46" s="78"/>
      <c r="DFJ46" s="78"/>
      <c r="DFK46" s="78"/>
      <c r="DFL46" s="78"/>
      <c r="DFM46" s="78"/>
      <c r="DFN46" s="78"/>
      <c r="DFO46" s="78"/>
      <c r="DFP46" s="78"/>
      <c r="DFQ46" s="78"/>
      <c r="DFR46" s="78"/>
      <c r="DFS46" s="78"/>
      <c r="DFT46" s="78"/>
      <c r="DFU46" s="78"/>
      <c r="DFV46" s="78"/>
      <c r="DFW46" s="78"/>
      <c r="DFX46" s="78"/>
      <c r="DFY46" s="78"/>
      <c r="DFZ46" s="78"/>
      <c r="DGA46" s="78"/>
      <c r="DGB46" s="78"/>
      <c r="DGC46" s="78"/>
      <c r="DGD46" s="78"/>
      <c r="DGE46" s="78"/>
      <c r="DGF46" s="78"/>
      <c r="DGG46" s="78"/>
      <c r="DGH46" s="78"/>
      <c r="DGI46" s="78"/>
      <c r="DGJ46" s="78"/>
      <c r="DGK46" s="78"/>
      <c r="DGL46" s="78"/>
      <c r="DGM46" s="78"/>
      <c r="DGN46" s="78"/>
      <c r="DGO46" s="78"/>
      <c r="DGP46" s="78"/>
      <c r="DGQ46" s="78"/>
      <c r="DGR46" s="78"/>
      <c r="DGS46" s="78"/>
      <c r="DGT46" s="78"/>
      <c r="DGU46" s="78"/>
      <c r="DGV46" s="78"/>
      <c r="DGW46" s="78"/>
      <c r="DGX46" s="78"/>
      <c r="DGY46" s="78"/>
      <c r="DGZ46" s="78"/>
      <c r="DHA46" s="78"/>
      <c r="DHB46" s="78"/>
      <c r="DHC46" s="78"/>
      <c r="DHD46" s="78"/>
      <c r="DHE46" s="78"/>
      <c r="DHF46" s="78"/>
      <c r="DHG46" s="78"/>
      <c r="DHH46" s="78"/>
      <c r="DHI46" s="78"/>
      <c r="DHJ46" s="78"/>
      <c r="DHK46" s="78"/>
      <c r="DHL46" s="78"/>
      <c r="DHM46" s="78"/>
      <c r="DHN46" s="78"/>
      <c r="DHO46" s="78"/>
      <c r="DHP46" s="78"/>
      <c r="DHQ46" s="78"/>
      <c r="DHR46" s="78"/>
      <c r="DHS46" s="78"/>
      <c r="DHT46" s="78"/>
      <c r="DHU46" s="78"/>
      <c r="DHV46" s="78"/>
      <c r="DHW46" s="78"/>
      <c r="DHX46" s="78"/>
      <c r="DHY46" s="78"/>
      <c r="DHZ46" s="78"/>
      <c r="DIA46" s="78"/>
      <c r="DIB46" s="78"/>
      <c r="DIC46" s="78"/>
      <c r="DID46" s="78"/>
      <c r="DIE46" s="78"/>
      <c r="DIF46" s="78"/>
      <c r="DIG46" s="78"/>
      <c r="DIH46" s="78"/>
      <c r="DII46" s="78"/>
      <c r="DIJ46" s="78"/>
      <c r="DIK46" s="78"/>
      <c r="DIL46" s="78"/>
      <c r="DIM46" s="78"/>
      <c r="DIN46" s="78"/>
      <c r="DIO46" s="78"/>
      <c r="DIP46" s="78"/>
      <c r="DIQ46" s="78"/>
      <c r="DIR46" s="78"/>
      <c r="DIS46" s="78"/>
      <c r="DIT46" s="78"/>
      <c r="DIU46" s="78"/>
      <c r="DIV46" s="78"/>
      <c r="DIW46" s="78"/>
      <c r="DIX46" s="78"/>
      <c r="DIY46" s="78"/>
      <c r="DIZ46" s="78"/>
      <c r="DJA46" s="78"/>
      <c r="DJB46" s="78"/>
      <c r="DJC46" s="78"/>
      <c r="DJD46" s="78"/>
      <c r="DJE46" s="78"/>
      <c r="DJF46" s="78"/>
      <c r="DJG46" s="78"/>
      <c r="DJH46" s="78"/>
      <c r="DJI46" s="78"/>
      <c r="DJJ46" s="78"/>
      <c r="DJK46" s="78"/>
      <c r="DJL46" s="78"/>
      <c r="DJM46" s="78"/>
      <c r="DJN46" s="78"/>
      <c r="DJO46" s="78"/>
      <c r="DJP46" s="78"/>
      <c r="DJQ46" s="78"/>
      <c r="DJR46" s="78"/>
      <c r="DJS46" s="78"/>
      <c r="DJT46" s="78"/>
      <c r="DJU46" s="78"/>
      <c r="DJV46" s="78"/>
      <c r="DJW46" s="78"/>
      <c r="DJX46" s="78"/>
      <c r="DJY46" s="78"/>
      <c r="DJZ46" s="78"/>
      <c r="DKA46" s="78"/>
      <c r="DKB46" s="78"/>
      <c r="DKC46" s="78"/>
      <c r="DKD46" s="78"/>
      <c r="DKE46" s="78"/>
      <c r="DKF46" s="78"/>
      <c r="DKG46" s="78"/>
      <c r="DKH46" s="78"/>
      <c r="DKI46" s="78"/>
      <c r="DKJ46" s="78"/>
      <c r="DKK46" s="78"/>
      <c r="DKL46" s="78"/>
      <c r="DKM46" s="78"/>
      <c r="DKN46" s="78"/>
      <c r="DKO46" s="78"/>
      <c r="DKP46" s="78"/>
      <c r="DKQ46" s="78"/>
      <c r="DKR46" s="78"/>
      <c r="DKS46" s="78"/>
      <c r="DKT46" s="78"/>
      <c r="DKU46" s="78"/>
      <c r="DKV46" s="78"/>
      <c r="DKW46" s="78"/>
      <c r="DKX46" s="78"/>
      <c r="DKY46" s="78"/>
      <c r="DKZ46" s="78"/>
      <c r="DLA46" s="78"/>
      <c r="DLB46" s="78"/>
      <c r="DLC46" s="78"/>
      <c r="DLD46" s="78"/>
      <c r="DLE46" s="78"/>
      <c r="DLF46" s="78"/>
      <c r="DLG46" s="78"/>
      <c r="DLH46" s="78"/>
      <c r="DLI46" s="78"/>
      <c r="DLJ46" s="78"/>
      <c r="DLK46" s="78"/>
      <c r="DLL46" s="78"/>
      <c r="DLM46" s="78"/>
      <c r="DLN46" s="78"/>
      <c r="DLO46" s="78"/>
      <c r="DLP46" s="78"/>
      <c r="DLQ46" s="78"/>
      <c r="DLR46" s="78"/>
      <c r="DLS46" s="78"/>
      <c r="DLT46" s="78"/>
      <c r="DLU46" s="78"/>
      <c r="DLV46" s="78"/>
      <c r="DLW46" s="78"/>
      <c r="DLX46" s="78"/>
      <c r="DLY46" s="78"/>
      <c r="DLZ46" s="78"/>
      <c r="DMA46" s="78"/>
      <c r="DMB46" s="78"/>
      <c r="DMC46" s="78"/>
      <c r="DMD46" s="78"/>
      <c r="DME46" s="78"/>
      <c r="DMF46" s="78"/>
      <c r="DMG46" s="78"/>
      <c r="DMH46" s="78"/>
      <c r="DMI46" s="78"/>
      <c r="DMJ46" s="78"/>
      <c r="DMK46" s="78"/>
      <c r="DML46" s="78"/>
      <c r="DMM46" s="78"/>
      <c r="DMN46" s="78"/>
      <c r="DMO46" s="78"/>
      <c r="DMP46" s="78"/>
      <c r="DMQ46" s="78"/>
      <c r="DMR46" s="78"/>
      <c r="DMS46" s="78"/>
      <c r="DMT46" s="78"/>
      <c r="DMU46" s="78"/>
      <c r="DMV46" s="78"/>
      <c r="DMW46" s="78"/>
      <c r="DMX46" s="78"/>
      <c r="DMY46" s="78"/>
      <c r="DMZ46" s="78"/>
      <c r="DNA46" s="78"/>
      <c r="DNB46" s="78"/>
      <c r="DNC46" s="78"/>
      <c r="DND46" s="78"/>
      <c r="DNE46" s="78"/>
      <c r="DNF46" s="78"/>
      <c r="DNG46" s="78"/>
      <c r="DNH46" s="78"/>
      <c r="DNI46" s="78"/>
      <c r="DNJ46" s="78"/>
      <c r="DNK46" s="78"/>
      <c r="DNL46" s="78"/>
      <c r="DNM46" s="78"/>
      <c r="DNN46" s="78"/>
      <c r="DNO46" s="78"/>
      <c r="DNP46" s="78"/>
      <c r="DNQ46" s="78"/>
      <c r="DNR46" s="78"/>
      <c r="DNS46" s="78"/>
      <c r="DNT46" s="78"/>
      <c r="DNU46" s="78"/>
      <c r="DNV46" s="78"/>
      <c r="DNW46" s="78"/>
      <c r="DNX46" s="78"/>
      <c r="DNY46" s="78"/>
      <c r="DNZ46" s="78"/>
      <c r="DOA46" s="78"/>
      <c r="DOB46" s="78"/>
      <c r="DOC46" s="78"/>
      <c r="DOD46" s="78"/>
      <c r="DOE46" s="78"/>
      <c r="DOF46" s="78"/>
      <c r="DOG46" s="78"/>
      <c r="DOH46" s="78"/>
      <c r="DOI46" s="78"/>
      <c r="DOJ46" s="78"/>
      <c r="DOK46" s="78"/>
      <c r="DOL46" s="78"/>
      <c r="DOM46" s="78"/>
      <c r="DON46" s="78"/>
      <c r="DOO46" s="78"/>
      <c r="DOP46" s="78"/>
      <c r="DOQ46" s="78"/>
      <c r="DOR46" s="78"/>
      <c r="DOS46" s="78"/>
      <c r="DOT46" s="78"/>
      <c r="DOU46" s="78"/>
      <c r="DOV46" s="78"/>
      <c r="DOW46" s="78"/>
      <c r="DOX46" s="78"/>
      <c r="DOY46" s="78"/>
      <c r="DOZ46" s="78"/>
      <c r="DPA46" s="78"/>
      <c r="DPB46" s="78"/>
      <c r="DPC46" s="78"/>
      <c r="DPD46" s="78"/>
      <c r="DPE46" s="78"/>
      <c r="DPF46" s="78"/>
      <c r="DPG46" s="78"/>
      <c r="DPH46" s="78"/>
      <c r="DPI46" s="78"/>
      <c r="DPJ46" s="78"/>
      <c r="DPK46" s="78"/>
      <c r="DPL46" s="78"/>
      <c r="DPM46" s="78"/>
      <c r="DPN46" s="78"/>
      <c r="DPO46" s="78"/>
      <c r="DPP46" s="78"/>
      <c r="DPQ46" s="78"/>
      <c r="DPR46" s="78"/>
      <c r="DPS46" s="78"/>
      <c r="DPT46" s="78"/>
      <c r="DPU46" s="78"/>
      <c r="DPV46" s="78"/>
      <c r="DPW46" s="78"/>
      <c r="DPX46" s="78"/>
      <c r="DPY46" s="78"/>
      <c r="DPZ46" s="78"/>
      <c r="DQA46" s="78"/>
      <c r="DQB46" s="78"/>
      <c r="DQC46" s="78"/>
      <c r="DQD46" s="78"/>
      <c r="DQE46" s="78"/>
      <c r="DQF46" s="78"/>
      <c r="DQG46" s="78"/>
      <c r="DQH46" s="78"/>
      <c r="DQI46" s="78"/>
      <c r="DQJ46" s="78"/>
      <c r="DQK46" s="78"/>
      <c r="DQL46" s="78"/>
      <c r="DQM46" s="78"/>
      <c r="DQN46" s="78"/>
      <c r="DQO46" s="78"/>
      <c r="DQP46" s="78"/>
      <c r="DQQ46" s="78"/>
      <c r="DQR46" s="78"/>
      <c r="DQS46" s="78"/>
      <c r="DQT46" s="78"/>
      <c r="DQU46" s="78"/>
      <c r="DQV46" s="78"/>
      <c r="DQW46" s="78"/>
      <c r="DQX46" s="78"/>
      <c r="DQY46" s="78"/>
      <c r="DQZ46" s="78"/>
      <c r="DRA46" s="78"/>
      <c r="DRB46" s="78"/>
      <c r="DRC46" s="78"/>
      <c r="DRD46" s="78"/>
      <c r="DRE46" s="78"/>
      <c r="DRF46" s="78"/>
      <c r="DRG46" s="78"/>
      <c r="DRH46" s="78"/>
      <c r="DRI46" s="78"/>
      <c r="DRJ46" s="78"/>
      <c r="DRK46" s="78"/>
      <c r="DRL46" s="78"/>
      <c r="DRM46" s="78"/>
      <c r="DRN46" s="78"/>
      <c r="DRO46" s="78"/>
      <c r="DRP46" s="78"/>
      <c r="DRQ46" s="78"/>
      <c r="DRR46" s="78"/>
      <c r="DRS46" s="78"/>
      <c r="DRT46" s="78"/>
      <c r="DRU46" s="78"/>
      <c r="DRV46" s="78"/>
      <c r="DRW46" s="78"/>
      <c r="DRX46" s="78"/>
      <c r="DRY46" s="78"/>
      <c r="DRZ46" s="78"/>
      <c r="DSA46" s="78"/>
      <c r="DSB46" s="78"/>
      <c r="DSC46" s="78"/>
      <c r="DSD46" s="78"/>
      <c r="DSE46" s="78"/>
      <c r="DSF46" s="78"/>
      <c r="DSG46" s="78"/>
      <c r="DSH46" s="78"/>
      <c r="DSI46" s="78"/>
      <c r="DSJ46" s="78"/>
      <c r="DSK46" s="78"/>
      <c r="DSL46" s="78"/>
      <c r="DSM46" s="78"/>
      <c r="DSN46" s="78"/>
      <c r="DSO46" s="78"/>
      <c r="DSP46" s="78"/>
      <c r="DSQ46" s="78"/>
      <c r="DSR46" s="78"/>
      <c r="DSS46" s="78"/>
      <c r="DST46" s="78"/>
      <c r="DSU46" s="78"/>
      <c r="DSV46" s="78"/>
      <c r="DSW46" s="78"/>
      <c r="DSX46" s="78"/>
      <c r="DSY46" s="78"/>
      <c r="DSZ46" s="78"/>
      <c r="DTA46" s="78"/>
      <c r="DTB46" s="78"/>
      <c r="DTC46" s="78"/>
      <c r="DTD46" s="78"/>
      <c r="DTE46" s="78"/>
      <c r="DTF46" s="78"/>
      <c r="DTG46" s="78"/>
      <c r="DTH46" s="78"/>
      <c r="DTI46" s="78"/>
      <c r="DTJ46" s="78"/>
      <c r="DTK46" s="78"/>
      <c r="DTL46" s="78"/>
      <c r="DTM46" s="78"/>
      <c r="DTN46" s="78"/>
      <c r="DTO46" s="78"/>
      <c r="DTP46" s="78"/>
      <c r="DTQ46" s="78"/>
      <c r="DTR46" s="78"/>
      <c r="DTS46" s="78"/>
      <c r="DTT46" s="78"/>
      <c r="DTU46" s="78"/>
      <c r="DTV46" s="78"/>
      <c r="DTW46" s="78"/>
      <c r="DTX46" s="78"/>
      <c r="DTY46" s="78"/>
      <c r="DTZ46" s="78"/>
      <c r="DUA46" s="78"/>
      <c r="DUB46" s="78"/>
      <c r="DUC46" s="78"/>
      <c r="DUD46" s="78"/>
      <c r="DUE46" s="78"/>
      <c r="DUF46" s="78"/>
      <c r="DUG46" s="78"/>
      <c r="DUH46" s="78"/>
      <c r="DUI46" s="78"/>
      <c r="DUJ46" s="78"/>
      <c r="DUK46" s="78"/>
      <c r="DUL46" s="78"/>
      <c r="DUM46" s="78"/>
      <c r="DUN46" s="78"/>
      <c r="DUO46" s="78"/>
      <c r="DUP46" s="78"/>
      <c r="DUQ46" s="78"/>
      <c r="DUR46" s="78"/>
      <c r="DUS46" s="78"/>
      <c r="DUT46" s="78"/>
      <c r="DUU46" s="78"/>
      <c r="DUV46" s="78"/>
      <c r="DUW46" s="78"/>
      <c r="DUX46" s="78"/>
      <c r="DUY46" s="78"/>
      <c r="DUZ46" s="78"/>
      <c r="DVA46" s="78"/>
      <c r="DVB46" s="78"/>
      <c r="DVC46" s="78"/>
      <c r="DVD46" s="78"/>
      <c r="DVE46" s="78"/>
      <c r="DVF46" s="78"/>
      <c r="DVG46" s="78"/>
      <c r="DVH46" s="78"/>
      <c r="DVI46" s="78"/>
      <c r="DVJ46" s="78"/>
      <c r="DVK46" s="78"/>
      <c r="DVL46" s="78"/>
      <c r="DVM46" s="78"/>
      <c r="DVN46" s="78"/>
      <c r="DVO46" s="78"/>
      <c r="DVP46" s="78"/>
      <c r="DVQ46" s="78"/>
      <c r="DVR46" s="78"/>
      <c r="DVS46" s="78"/>
      <c r="DVT46" s="78"/>
      <c r="DVU46" s="78"/>
      <c r="DVV46" s="78"/>
      <c r="DVW46" s="78"/>
      <c r="DVX46" s="78"/>
      <c r="DVY46" s="78"/>
      <c r="DVZ46" s="78"/>
      <c r="DWA46" s="78"/>
      <c r="DWB46" s="78"/>
      <c r="DWC46" s="78"/>
      <c r="DWD46" s="78"/>
      <c r="DWE46" s="78"/>
      <c r="DWF46" s="78"/>
      <c r="DWG46" s="78"/>
      <c r="DWH46" s="78"/>
      <c r="DWI46" s="78"/>
      <c r="DWJ46" s="78"/>
      <c r="DWK46" s="78"/>
      <c r="DWL46" s="78"/>
      <c r="DWM46" s="78"/>
      <c r="DWN46" s="78"/>
      <c r="DWO46" s="78"/>
      <c r="DWP46" s="78"/>
      <c r="DWQ46" s="78"/>
      <c r="DWR46" s="78"/>
      <c r="DWS46" s="78"/>
      <c r="DWT46" s="78"/>
      <c r="DWU46" s="78"/>
      <c r="DWV46" s="78"/>
      <c r="DWW46" s="78"/>
      <c r="DWX46" s="78"/>
      <c r="DWY46" s="78"/>
      <c r="DWZ46" s="78"/>
      <c r="DXA46" s="78"/>
      <c r="DXB46" s="78"/>
      <c r="DXC46" s="78"/>
      <c r="DXD46" s="78"/>
      <c r="DXE46" s="78"/>
      <c r="DXF46" s="78"/>
      <c r="DXG46" s="78"/>
      <c r="DXH46" s="78"/>
      <c r="DXI46" s="78"/>
      <c r="DXJ46" s="78"/>
      <c r="DXK46" s="78"/>
      <c r="DXL46" s="78"/>
      <c r="DXM46" s="78"/>
      <c r="DXN46" s="78"/>
      <c r="DXO46" s="78"/>
      <c r="DXP46" s="78"/>
      <c r="DXQ46" s="78"/>
      <c r="DXR46" s="78"/>
      <c r="DXS46" s="78"/>
      <c r="DXT46" s="78"/>
      <c r="DXU46" s="78"/>
      <c r="DXV46" s="78"/>
      <c r="DXW46" s="78"/>
      <c r="DXX46" s="78"/>
      <c r="DXY46" s="78"/>
      <c r="DXZ46" s="78"/>
      <c r="DYA46" s="78"/>
      <c r="DYB46" s="78"/>
      <c r="DYC46" s="78"/>
      <c r="DYD46" s="78"/>
      <c r="DYE46" s="78"/>
      <c r="DYF46" s="78"/>
      <c r="DYG46" s="78"/>
      <c r="DYH46" s="78"/>
      <c r="DYI46" s="78"/>
      <c r="DYJ46" s="78"/>
      <c r="DYK46" s="78"/>
      <c r="DYL46" s="78"/>
      <c r="DYM46" s="78"/>
      <c r="DYN46" s="78"/>
      <c r="DYO46" s="78"/>
      <c r="DYP46" s="78"/>
      <c r="DYQ46" s="78"/>
      <c r="DYR46" s="78"/>
      <c r="DYS46" s="78"/>
      <c r="DYT46" s="78"/>
      <c r="DYU46" s="78"/>
      <c r="DYV46" s="78"/>
      <c r="DYW46" s="78"/>
      <c r="DYX46" s="78"/>
      <c r="DYY46" s="78"/>
      <c r="DYZ46" s="78"/>
      <c r="DZA46" s="78"/>
      <c r="DZB46" s="78"/>
      <c r="DZC46" s="78"/>
      <c r="DZD46" s="78"/>
      <c r="DZE46" s="78"/>
      <c r="DZF46" s="78"/>
      <c r="DZG46" s="78"/>
      <c r="DZH46" s="78"/>
      <c r="DZI46" s="78"/>
      <c r="DZJ46" s="78"/>
      <c r="DZK46" s="78"/>
      <c r="DZL46" s="78"/>
      <c r="DZM46" s="78"/>
      <c r="DZN46" s="78"/>
      <c r="DZO46" s="78"/>
      <c r="DZP46" s="78"/>
      <c r="DZQ46" s="78"/>
      <c r="DZR46" s="78"/>
      <c r="DZS46" s="78"/>
      <c r="DZT46" s="78"/>
      <c r="DZU46" s="78"/>
      <c r="DZV46" s="78"/>
      <c r="DZW46" s="78"/>
      <c r="DZX46" s="78"/>
      <c r="DZY46" s="78"/>
      <c r="DZZ46" s="78"/>
      <c r="EAA46" s="78"/>
      <c r="EAB46" s="78"/>
      <c r="EAC46" s="78"/>
      <c r="EAD46" s="78"/>
      <c r="EAE46" s="78"/>
      <c r="EAF46" s="78"/>
      <c r="EAG46" s="78"/>
      <c r="EAH46" s="78"/>
      <c r="EAI46" s="78"/>
      <c r="EAJ46" s="78"/>
      <c r="EAK46" s="78"/>
      <c r="EAL46" s="78"/>
      <c r="EAM46" s="78"/>
      <c r="EAN46" s="78"/>
      <c r="EAO46" s="78"/>
      <c r="EAP46" s="78"/>
      <c r="EAQ46" s="78"/>
      <c r="EAR46" s="78"/>
      <c r="EAS46" s="78"/>
      <c r="EAT46" s="78"/>
      <c r="EAU46" s="78"/>
      <c r="EAV46" s="78"/>
      <c r="EAW46" s="78"/>
      <c r="EAX46" s="78"/>
      <c r="EAY46" s="78"/>
      <c r="EAZ46" s="78"/>
      <c r="EBA46" s="78"/>
      <c r="EBB46" s="78"/>
      <c r="EBC46" s="78"/>
      <c r="EBD46" s="78"/>
      <c r="EBE46" s="78"/>
      <c r="EBF46" s="78"/>
      <c r="EBG46" s="78"/>
      <c r="EBH46" s="78"/>
      <c r="EBI46" s="78"/>
      <c r="EBJ46" s="78"/>
      <c r="EBK46" s="78"/>
      <c r="EBL46" s="78"/>
      <c r="EBM46" s="78"/>
      <c r="EBN46" s="78"/>
      <c r="EBO46" s="78"/>
      <c r="EBP46" s="78"/>
      <c r="EBQ46" s="78"/>
      <c r="EBR46" s="78"/>
      <c r="EBS46" s="78"/>
      <c r="EBT46" s="78"/>
      <c r="EBU46" s="78"/>
      <c r="EBV46" s="78"/>
      <c r="EBW46" s="78"/>
      <c r="EBX46" s="78"/>
      <c r="EBY46" s="78"/>
      <c r="EBZ46" s="78"/>
      <c r="ECA46" s="78"/>
      <c r="ECB46" s="78"/>
      <c r="ECC46" s="78"/>
      <c r="ECD46" s="78"/>
      <c r="ECE46" s="78"/>
      <c r="ECF46" s="78"/>
      <c r="ECG46" s="78"/>
      <c r="ECH46" s="78"/>
      <c r="ECI46" s="78"/>
      <c r="ECJ46" s="78"/>
      <c r="ECK46" s="78"/>
      <c r="ECL46" s="78"/>
      <c r="ECM46" s="78"/>
      <c r="ECN46" s="78"/>
      <c r="ECO46" s="78"/>
      <c r="ECP46" s="78"/>
      <c r="ECQ46" s="78"/>
      <c r="ECR46" s="78"/>
      <c r="ECS46" s="78"/>
      <c r="ECT46" s="78"/>
      <c r="ECU46" s="78"/>
      <c r="ECV46" s="78"/>
      <c r="ECW46" s="78"/>
      <c r="ECX46" s="78"/>
      <c r="ECY46" s="78"/>
      <c r="ECZ46" s="78"/>
      <c r="EDA46" s="78"/>
      <c r="EDB46" s="78"/>
      <c r="EDC46" s="78"/>
      <c r="EDD46" s="78"/>
      <c r="EDE46" s="78"/>
      <c r="EDF46" s="78"/>
      <c r="EDG46" s="78"/>
      <c r="EDH46" s="78"/>
      <c r="EDI46" s="78"/>
      <c r="EDJ46" s="78"/>
      <c r="EDK46" s="78"/>
      <c r="EDL46" s="78"/>
      <c r="EDM46" s="78"/>
      <c r="EDN46" s="78"/>
      <c r="EDO46" s="78"/>
      <c r="EDP46" s="78"/>
      <c r="EDQ46" s="78"/>
      <c r="EDR46" s="78"/>
      <c r="EDS46" s="78"/>
      <c r="EDT46" s="78"/>
      <c r="EDU46" s="78"/>
      <c r="EDV46" s="78"/>
      <c r="EDW46" s="78"/>
      <c r="EDX46" s="78"/>
      <c r="EDY46" s="78"/>
      <c r="EDZ46" s="78"/>
      <c r="EEA46" s="78"/>
      <c r="EEB46" s="78"/>
      <c r="EEC46" s="78"/>
      <c r="EED46" s="78"/>
      <c r="EEE46" s="78"/>
      <c r="EEF46" s="78"/>
      <c r="EEG46" s="78"/>
      <c r="EEH46" s="78"/>
      <c r="EEI46" s="78"/>
      <c r="EEJ46" s="78"/>
      <c r="EEK46" s="78"/>
      <c r="EEL46" s="78"/>
      <c r="EEM46" s="78"/>
      <c r="EEN46" s="78"/>
      <c r="EEO46" s="78"/>
      <c r="EEP46" s="78"/>
      <c r="EEQ46" s="78"/>
      <c r="EER46" s="78"/>
      <c r="EES46" s="78"/>
      <c r="EET46" s="78"/>
      <c r="EEU46" s="78"/>
      <c r="EEV46" s="78"/>
      <c r="EEW46" s="78"/>
      <c r="EEX46" s="78"/>
      <c r="EEY46" s="78"/>
      <c r="EEZ46" s="78"/>
      <c r="EFA46" s="78"/>
      <c r="EFB46" s="78"/>
      <c r="EFC46" s="78"/>
      <c r="EFD46" s="78"/>
      <c r="EFE46" s="78"/>
      <c r="EFF46" s="78"/>
      <c r="EFG46" s="78"/>
      <c r="EFH46" s="78"/>
      <c r="EFI46" s="78"/>
      <c r="EFJ46" s="78"/>
      <c r="EFK46" s="78"/>
      <c r="EFL46" s="78"/>
      <c r="EFM46" s="78"/>
      <c r="EFN46" s="78"/>
      <c r="EFO46" s="78"/>
      <c r="EFP46" s="78"/>
      <c r="EFQ46" s="78"/>
      <c r="EFR46" s="78"/>
      <c r="EFS46" s="78"/>
      <c r="EFT46" s="78"/>
      <c r="EFU46" s="78"/>
      <c r="EFV46" s="78"/>
      <c r="EFW46" s="78"/>
      <c r="EFX46" s="78"/>
      <c r="EFY46" s="78"/>
      <c r="EFZ46" s="78"/>
      <c r="EGA46" s="78"/>
      <c r="EGB46" s="78"/>
      <c r="EGC46" s="78"/>
      <c r="EGD46" s="78"/>
      <c r="EGE46" s="78"/>
      <c r="EGF46" s="78"/>
      <c r="EGG46" s="78"/>
      <c r="EGH46" s="78"/>
      <c r="EGI46" s="78"/>
      <c r="EGJ46" s="78"/>
      <c r="EGK46" s="78"/>
      <c r="EGL46" s="78"/>
      <c r="EGM46" s="78"/>
      <c r="EGN46" s="78"/>
      <c r="EGO46" s="78"/>
      <c r="EGP46" s="78"/>
      <c r="EGQ46" s="78"/>
      <c r="EGR46" s="78"/>
      <c r="EGS46" s="78"/>
      <c r="EGT46" s="78"/>
      <c r="EGU46" s="78"/>
      <c r="EGV46" s="78"/>
      <c r="EGW46" s="78"/>
      <c r="EGX46" s="78"/>
      <c r="EGY46" s="78"/>
      <c r="EGZ46" s="78"/>
      <c r="EHA46" s="78"/>
      <c r="EHB46" s="78"/>
      <c r="EHC46" s="78"/>
      <c r="EHD46" s="78"/>
      <c r="EHE46" s="78"/>
      <c r="EHF46" s="78"/>
      <c r="EHG46" s="78"/>
      <c r="EHH46" s="78"/>
      <c r="EHI46" s="78"/>
      <c r="EHJ46" s="78"/>
      <c r="EHK46" s="78"/>
      <c r="EHL46" s="78"/>
      <c r="EHM46" s="78"/>
      <c r="EHN46" s="78"/>
      <c r="EHO46" s="78"/>
      <c r="EHP46" s="78"/>
      <c r="EHQ46" s="78"/>
      <c r="EHR46" s="78"/>
      <c r="EHS46" s="78"/>
      <c r="EHT46" s="78"/>
      <c r="EHU46" s="78"/>
      <c r="EHV46" s="78"/>
      <c r="EHW46" s="78"/>
      <c r="EHX46" s="78"/>
      <c r="EHY46" s="78"/>
      <c r="EHZ46" s="78"/>
      <c r="EIA46" s="78"/>
      <c r="EIB46" s="78"/>
      <c r="EIC46" s="78"/>
      <c r="EID46" s="78"/>
      <c r="EIE46" s="78"/>
      <c r="EIF46" s="78"/>
      <c r="EIG46" s="78"/>
      <c r="EIH46" s="78"/>
      <c r="EII46" s="78"/>
      <c r="EIJ46" s="78"/>
      <c r="EIK46" s="78"/>
      <c r="EIL46" s="78"/>
      <c r="EIM46" s="78"/>
      <c r="EIN46" s="78"/>
      <c r="EIO46" s="78"/>
      <c r="EIP46" s="78"/>
      <c r="EIQ46" s="78"/>
      <c r="EIR46" s="78"/>
      <c r="EIS46" s="78"/>
      <c r="EIT46" s="78"/>
      <c r="EIU46" s="78"/>
      <c r="EIV46" s="78"/>
      <c r="EIW46" s="78"/>
      <c r="EIX46" s="78"/>
      <c r="EIY46" s="78"/>
      <c r="EIZ46" s="78"/>
      <c r="EJA46" s="78"/>
      <c r="EJB46" s="78"/>
      <c r="EJC46" s="78"/>
      <c r="EJD46" s="78"/>
      <c r="EJE46" s="78"/>
      <c r="EJF46" s="78"/>
      <c r="EJG46" s="78"/>
      <c r="EJH46" s="78"/>
      <c r="EJI46" s="78"/>
      <c r="EJJ46" s="78"/>
      <c r="EJK46" s="78"/>
      <c r="EJL46" s="78"/>
      <c r="EJM46" s="78"/>
      <c r="EJN46" s="78"/>
      <c r="EJO46" s="78"/>
      <c r="EJP46" s="78"/>
      <c r="EJQ46" s="78"/>
      <c r="EJR46" s="78"/>
      <c r="EJS46" s="78"/>
      <c r="EJT46" s="78"/>
      <c r="EJU46" s="78"/>
      <c r="EJV46" s="78"/>
      <c r="EJW46" s="78"/>
      <c r="EJX46" s="78"/>
      <c r="EJY46" s="78"/>
      <c r="EJZ46" s="78"/>
      <c r="EKA46" s="78"/>
      <c r="EKB46" s="78"/>
      <c r="EKC46" s="78"/>
      <c r="EKD46" s="78"/>
      <c r="EKE46" s="78"/>
      <c r="EKF46" s="78"/>
      <c r="EKG46" s="78"/>
      <c r="EKH46" s="78"/>
      <c r="EKI46" s="78"/>
      <c r="EKJ46" s="78"/>
      <c r="EKK46" s="78"/>
      <c r="EKL46" s="78"/>
      <c r="EKM46" s="78"/>
      <c r="EKN46" s="78"/>
      <c r="EKO46" s="78"/>
      <c r="EKP46" s="78"/>
      <c r="EKQ46" s="78"/>
      <c r="EKR46" s="78"/>
      <c r="EKS46" s="78"/>
      <c r="EKT46" s="78"/>
      <c r="EKU46" s="78"/>
      <c r="EKV46" s="78"/>
      <c r="EKW46" s="78"/>
      <c r="EKX46" s="78"/>
      <c r="EKY46" s="78"/>
      <c r="EKZ46" s="78"/>
      <c r="ELA46" s="78"/>
      <c r="ELB46" s="78"/>
      <c r="ELC46" s="78"/>
      <c r="ELD46" s="78"/>
      <c r="ELE46" s="78"/>
      <c r="ELF46" s="78"/>
      <c r="ELG46" s="78"/>
      <c r="ELH46" s="78"/>
      <c r="ELI46" s="78"/>
      <c r="ELJ46" s="78"/>
      <c r="ELK46" s="78"/>
      <c r="ELL46" s="78"/>
      <c r="ELM46" s="78"/>
      <c r="ELN46" s="78"/>
      <c r="ELO46" s="78"/>
      <c r="ELP46" s="78"/>
      <c r="ELQ46" s="78"/>
      <c r="ELR46" s="78"/>
      <c r="ELS46" s="78"/>
      <c r="ELT46" s="78"/>
      <c r="ELU46" s="78"/>
      <c r="ELV46" s="78"/>
      <c r="ELW46" s="78"/>
      <c r="ELX46" s="78"/>
      <c r="ELY46" s="78"/>
      <c r="ELZ46" s="78"/>
      <c r="EMA46" s="78"/>
      <c r="EMB46" s="78"/>
      <c r="EMC46" s="78"/>
      <c r="EMD46" s="78"/>
      <c r="EME46" s="78"/>
      <c r="EMF46" s="78"/>
      <c r="EMG46" s="78"/>
      <c r="EMH46" s="78"/>
      <c r="EMI46" s="78"/>
      <c r="EMJ46" s="78"/>
      <c r="EMK46" s="78"/>
      <c r="EML46" s="78"/>
      <c r="EMM46" s="78"/>
      <c r="EMN46" s="78"/>
      <c r="EMO46" s="78"/>
      <c r="EMP46" s="78"/>
      <c r="EMQ46" s="78"/>
      <c r="EMR46" s="78"/>
      <c r="EMS46" s="78"/>
      <c r="EMT46" s="78"/>
      <c r="EMU46" s="78"/>
      <c r="EMV46" s="78"/>
      <c r="EMW46" s="78"/>
      <c r="EMX46" s="78"/>
      <c r="EMY46" s="78"/>
      <c r="EMZ46" s="78"/>
      <c r="ENA46" s="78"/>
      <c r="ENB46" s="78"/>
      <c r="ENC46" s="78"/>
      <c r="END46" s="78"/>
      <c r="ENE46" s="78"/>
      <c r="ENF46" s="78"/>
      <c r="ENG46" s="78"/>
      <c r="ENH46" s="78"/>
      <c r="ENI46" s="78"/>
      <c r="ENJ46" s="78"/>
      <c r="ENK46" s="78"/>
      <c r="ENL46" s="78"/>
      <c r="ENM46" s="78"/>
      <c r="ENN46" s="78"/>
      <c r="ENO46" s="78"/>
      <c r="ENP46" s="78"/>
      <c r="ENQ46" s="78"/>
      <c r="ENR46" s="78"/>
      <c r="ENS46" s="78"/>
      <c r="ENT46" s="78"/>
      <c r="ENU46" s="78"/>
      <c r="ENV46" s="78"/>
      <c r="ENW46" s="78"/>
      <c r="ENX46" s="78"/>
      <c r="ENY46" s="78"/>
      <c r="ENZ46" s="78"/>
      <c r="EOA46" s="78"/>
      <c r="EOB46" s="78"/>
      <c r="EOC46" s="78"/>
      <c r="EOD46" s="78"/>
      <c r="EOE46" s="78"/>
      <c r="EOF46" s="78"/>
      <c r="EOG46" s="78"/>
      <c r="EOH46" s="78"/>
      <c r="EOI46" s="78"/>
      <c r="EOJ46" s="78"/>
      <c r="EOK46" s="78"/>
      <c r="EOL46" s="78"/>
      <c r="EOM46" s="78"/>
      <c r="EON46" s="78"/>
      <c r="EOO46" s="78"/>
      <c r="EOP46" s="78"/>
      <c r="EOQ46" s="78"/>
      <c r="EOR46" s="78"/>
      <c r="EOS46" s="78"/>
      <c r="EOT46" s="78"/>
      <c r="EOU46" s="78"/>
      <c r="EOV46" s="78"/>
      <c r="EOW46" s="78"/>
      <c r="EOX46" s="78"/>
      <c r="EOY46" s="78"/>
      <c r="EOZ46" s="78"/>
      <c r="EPA46" s="78"/>
      <c r="EPB46" s="78"/>
      <c r="EPC46" s="78"/>
      <c r="EPD46" s="78"/>
      <c r="EPE46" s="78"/>
      <c r="EPF46" s="78"/>
      <c r="EPG46" s="78"/>
      <c r="EPH46" s="78"/>
      <c r="EPI46" s="78"/>
      <c r="EPJ46" s="78"/>
      <c r="EPK46" s="78"/>
      <c r="EPL46" s="78"/>
      <c r="EPM46" s="78"/>
      <c r="EPN46" s="78"/>
      <c r="EPO46" s="78"/>
      <c r="EPP46" s="78"/>
      <c r="EPQ46" s="78"/>
      <c r="EPR46" s="78"/>
      <c r="EPS46" s="78"/>
      <c r="EPT46" s="78"/>
      <c r="EPU46" s="78"/>
      <c r="EPV46" s="78"/>
      <c r="EPW46" s="78"/>
      <c r="EPX46" s="78"/>
      <c r="EPY46" s="78"/>
      <c r="EPZ46" s="78"/>
      <c r="EQA46" s="78"/>
      <c r="EQB46" s="78"/>
      <c r="EQC46" s="78"/>
      <c r="EQD46" s="78"/>
      <c r="EQE46" s="78"/>
      <c r="EQF46" s="78"/>
      <c r="EQG46" s="78"/>
      <c r="EQH46" s="78"/>
      <c r="EQI46" s="78"/>
      <c r="EQJ46" s="78"/>
      <c r="EQK46" s="78"/>
      <c r="EQL46" s="78"/>
      <c r="EQM46" s="78"/>
      <c r="EQN46" s="78"/>
      <c r="EQO46" s="78"/>
      <c r="EQP46" s="78"/>
      <c r="EQQ46" s="78"/>
      <c r="EQR46" s="78"/>
      <c r="EQS46" s="78"/>
      <c r="EQT46" s="78"/>
      <c r="EQU46" s="78"/>
      <c r="EQV46" s="78"/>
      <c r="EQW46" s="78"/>
      <c r="EQX46" s="78"/>
      <c r="EQY46" s="78"/>
      <c r="EQZ46" s="78"/>
      <c r="ERA46" s="78"/>
      <c r="ERB46" s="78"/>
      <c r="ERC46" s="78"/>
      <c r="ERD46" s="78"/>
      <c r="ERE46" s="78"/>
      <c r="ERF46" s="78"/>
      <c r="ERG46" s="78"/>
      <c r="ERH46" s="78"/>
      <c r="ERI46" s="78"/>
      <c r="ERJ46" s="78"/>
      <c r="ERK46" s="78"/>
      <c r="ERL46" s="78"/>
      <c r="ERM46" s="78"/>
      <c r="ERN46" s="78"/>
      <c r="ERO46" s="78"/>
      <c r="ERP46" s="78"/>
      <c r="ERQ46" s="78"/>
      <c r="ERR46" s="78"/>
      <c r="ERS46" s="78"/>
      <c r="ERT46" s="78"/>
      <c r="ERU46" s="78"/>
      <c r="ERV46" s="78"/>
      <c r="ERW46" s="78"/>
      <c r="ERX46" s="78"/>
      <c r="ERY46" s="78"/>
      <c r="ERZ46" s="78"/>
      <c r="ESA46" s="78"/>
      <c r="ESB46" s="78"/>
      <c r="ESC46" s="78"/>
      <c r="ESD46" s="78"/>
      <c r="ESE46" s="78"/>
      <c r="ESF46" s="78"/>
      <c r="ESG46" s="78"/>
      <c r="ESH46" s="78"/>
      <c r="ESI46" s="78"/>
      <c r="ESJ46" s="78"/>
      <c r="ESK46" s="78"/>
      <c r="ESL46" s="78"/>
      <c r="ESM46" s="78"/>
      <c r="ESN46" s="78"/>
      <c r="ESO46" s="78"/>
      <c r="ESP46" s="78"/>
      <c r="ESQ46" s="78"/>
      <c r="ESR46" s="78"/>
      <c r="ESS46" s="78"/>
      <c r="EST46" s="78"/>
      <c r="ESU46" s="78"/>
      <c r="ESV46" s="78"/>
      <c r="ESW46" s="78"/>
      <c r="ESX46" s="78"/>
      <c r="ESY46" s="78"/>
      <c r="ESZ46" s="78"/>
      <c r="ETA46" s="78"/>
      <c r="ETB46" s="78"/>
      <c r="ETC46" s="78"/>
      <c r="ETD46" s="78"/>
      <c r="ETE46" s="78"/>
      <c r="ETF46" s="78"/>
      <c r="ETG46" s="78"/>
      <c r="ETH46" s="78"/>
      <c r="ETI46" s="78"/>
      <c r="ETJ46" s="78"/>
      <c r="ETK46" s="78"/>
      <c r="ETL46" s="78"/>
      <c r="ETM46" s="78"/>
      <c r="ETN46" s="78"/>
      <c r="ETO46" s="78"/>
      <c r="ETP46" s="78"/>
      <c r="ETQ46" s="78"/>
      <c r="ETR46" s="78"/>
      <c r="ETS46" s="78"/>
      <c r="ETT46" s="78"/>
      <c r="ETU46" s="78"/>
      <c r="ETV46" s="78"/>
      <c r="ETW46" s="78"/>
      <c r="ETX46" s="78"/>
      <c r="ETY46" s="78"/>
      <c r="ETZ46" s="78"/>
      <c r="EUA46" s="78"/>
      <c r="EUB46" s="78"/>
      <c r="EUC46" s="78"/>
      <c r="EUD46" s="78"/>
      <c r="EUE46" s="78"/>
      <c r="EUF46" s="78"/>
      <c r="EUG46" s="78"/>
      <c r="EUH46" s="78"/>
      <c r="EUI46" s="78"/>
      <c r="EUJ46" s="78"/>
      <c r="EUK46" s="78"/>
      <c r="EUL46" s="78"/>
      <c r="EUM46" s="78"/>
      <c r="EUN46" s="78"/>
      <c r="EUO46" s="78"/>
      <c r="EUP46" s="78"/>
      <c r="EUQ46" s="78"/>
      <c r="EUR46" s="78"/>
      <c r="EUS46" s="78"/>
      <c r="EUT46" s="78"/>
      <c r="EUU46" s="78"/>
      <c r="EUV46" s="78"/>
      <c r="EUW46" s="78"/>
      <c r="EUX46" s="78"/>
      <c r="EUY46" s="78"/>
      <c r="EUZ46" s="78"/>
      <c r="EVA46" s="78"/>
      <c r="EVB46" s="78"/>
      <c r="EVC46" s="78"/>
      <c r="EVD46" s="78"/>
      <c r="EVE46" s="78"/>
      <c r="EVF46" s="78"/>
      <c r="EVG46" s="78"/>
      <c r="EVH46" s="78"/>
      <c r="EVI46" s="78"/>
      <c r="EVJ46" s="78"/>
      <c r="EVK46" s="78"/>
      <c r="EVL46" s="78"/>
      <c r="EVM46" s="78"/>
      <c r="EVN46" s="78"/>
      <c r="EVO46" s="78"/>
      <c r="EVP46" s="78"/>
      <c r="EVQ46" s="78"/>
      <c r="EVR46" s="78"/>
      <c r="EVS46" s="78"/>
      <c r="EVT46" s="78"/>
      <c r="EVU46" s="78"/>
      <c r="EVV46" s="78"/>
      <c r="EVW46" s="78"/>
      <c r="EVX46" s="78"/>
      <c r="EVY46" s="78"/>
      <c r="EVZ46" s="78"/>
      <c r="EWA46" s="78"/>
      <c r="EWB46" s="78"/>
      <c r="EWC46" s="78"/>
      <c r="EWD46" s="78"/>
      <c r="EWE46" s="78"/>
      <c r="EWF46" s="78"/>
      <c r="EWG46" s="78"/>
      <c r="EWH46" s="78"/>
      <c r="EWI46" s="78"/>
      <c r="EWJ46" s="78"/>
      <c r="EWK46" s="78"/>
      <c r="EWL46" s="78"/>
      <c r="EWM46" s="78"/>
      <c r="EWN46" s="78"/>
      <c r="EWO46" s="78"/>
      <c r="EWP46" s="78"/>
      <c r="EWQ46" s="78"/>
      <c r="EWR46" s="78"/>
      <c r="EWS46" s="78"/>
      <c r="EWT46" s="78"/>
      <c r="EWU46" s="78"/>
      <c r="EWV46" s="78"/>
      <c r="EWW46" s="78"/>
      <c r="EWX46" s="78"/>
      <c r="EWY46" s="78"/>
      <c r="EWZ46" s="78"/>
      <c r="EXA46" s="78"/>
      <c r="EXB46" s="78"/>
      <c r="EXC46" s="78"/>
      <c r="EXD46" s="78"/>
      <c r="EXE46" s="78"/>
      <c r="EXF46" s="78"/>
      <c r="EXG46" s="78"/>
      <c r="EXH46" s="78"/>
      <c r="EXI46" s="78"/>
      <c r="EXJ46" s="78"/>
      <c r="EXK46" s="78"/>
      <c r="EXL46" s="78"/>
      <c r="EXM46" s="78"/>
      <c r="EXN46" s="78"/>
      <c r="EXO46" s="78"/>
      <c r="EXP46" s="78"/>
      <c r="EXQ46" s="78"/>
      <c r="EXR46" s="78"/>
      <c r="EXS46" s="78"/>
      <c r="EXT46" s="78"/>
      <c r="EXU46" s="78"/>
      <c r="EXV46" s="78"/>
      <c r="EXW46" s="78"/>
      <c r="EXX46" s="78"/>
      <c r="EXY46" s="78"/>
      <c r="EXZ46" s="78"/>
      <c r="EYA46" s="78"/>
      <c r="EYB46" s="78"/>
      <c r="EYC46" s="78"/>
      <c r="EYD46" s="78"/>
      <c r="EYE46" s="78"/>
      <c r="EYF46" s="78"/>
      <c r="EYG46" s="78"/>
      <c r="EYH46" s="78"/>
      <c r="EYI46" s="78"/>
      <c r="EYJ46" s="78"/>
      <c r="EYK46" s="78"/>
      <c r="EYL46" s="78"/>
      <c r="EYM46" s="78"/>
      <c r="EYN46" s="78"/>
      <c r="EYO46" s="78"/>
      <c r="EYP46" s="78"/>
      <c r="EYQ46" s="78"/>
      <c r="EYR46" s="78"/>
      <c r="EYS46" s="78"/>
      <c r="EYT46" s="78"/>
      <c r="EYU46" s="78"/>
      <c r="EYV46" s="78"/>
      <c r="EYW46" s="78"/>
      <c r="EYX46" s="78"/>
      <c r="EYY46" s="78"/>
      <c r="EYZ46" s="78"/>
      <c r="EZA46" s="78"/>
      <c r="EZB46" s="78"/>
      <c r="EZC46" s="78"/>
      <c r="EZD46" s="78"/>
      <c r="EZE46" s="78"/>
      <c r="EZF46" s="78"/>
      <c r="EZG46" s="78"/>
      <c r="EZH46" s="78"/>
      <c r="EZI46" s="78"/>
      <c r="EZJ46" s="78"/>
      <c r="EZK46" s="78"/>
      <c r="EZL46" s="78"/>
      <c r="EZM46" s="78"/>
      <c r="EZN46" s="78"/>
      <c r="EZO46" s="78"/>
      <c r="EZP46" s="78"/>
      <c r="EZQ46" s="78"/>
      <c r="EZR46" s="78"/>
      <c r="EZS46" s="78"/>
      <c r="EZT46" s="78"/>
      <c r="EZU46" s="78"/>
      <c r="EZV46" s="78"/>
      <c r="EZW46" s="78"/>
      <c r="EZX46" s="78"/>
      <c r="EZY46" s="78"/>
      <c r="EZZ46" s="78"/>
      <c r="FAA46" s="78"/>
      <c r="FAB46" s="78"/>
      <c r="FAC46" s="78"/>
      <c r="FAD46" s="78"/>
      <c r="FAE46" s="78"/>
      <c r="FAF46" s="78"/>
      <c r="FAG46" s="78"/>
      <c r="FAH46" s="78"/>
      <c r="FAI46" s="78"/>
      <c r="FAJ46" s="78"/>
      <c r="FAK46" s="78"/>
      <c r="FAL46" s="78"/>
      <c r="FAM46" s="78"/>
      <c r="FAN46" s="78"/>
      <c r="FAO46" s="78"/>
      <c r="FAP46" s="78"/>
      <c r="FAQ46" s="78"/>
      <c r="FAR46" s="78"/>
      <c r="FAS46" s="78"/>
      <c r="FAT46" s="78"/>
      <c r="FAU46" s="78"/>
      <c r="FAV46" s="78"/>
      <c r="FAW46" s="78"/>
      <c r="FAX46" s="78"/>
      <c r="FAY46" s="78"/>
      <c r="FAZ46" s="78"/>
      <c r="FBA46" s="78"/>
      <c r="FBB46" s="78"/>
      <c r="FBC46" s="78"/>
      <c r="FBD46" s="78"/>
      <c r="FBE46" s="78"/>
      <c r="FBF46" s="78"/>
      <c r="FBG46" s="78"/>
      <c r="FBH46" s="78"/>
      <c r="FBI46" s="78"/>
      <c r="FBJ46" s="78"/>
      <c r="FBK46" s="78"/>
      <c r="FBL46" s="78"/>
      <c r="FBM46" s="78"/>
      <c r="FBN46" s="78"/>
      <c r="FBO46" s="78"/>
      <c r="FBP46" s="78"/>
      <c r="FBQ46" s="78"/>
      <c r="FBR46" s="78"/>
      <c r="FBS46" s="78"/>
      <c r="FBT46" s="78"/>
      <c r="FBU46" s="78"/>
      <c r="FBV46" s="78"/>
      <c r="FBW46" s="78"/>
      <c r="FBX46" s="78"/>
      <c r="FBY46" s="78"/>
      <c r="FBZ46" s="78"/>
      <c r="FCA46" s="78"/>
      <c r="FCB46" s="78"/>
      <c r="FCC46" s="78"/>
      <c r="FCD46" s="78"/>
      <c r="FCE46" s="78"/>
      <c r="FCF46" s="78"/>
      <c r="FCG46" s="78"/>
      <c r="FCH46" s="78"/>
      <c r="FCI46" s="78"/>
      <c r="FCJ46" s="78"/>
      <c r="FCK46" s="78"/>
      <c r="FCL46" s="78"/>
      <c r="FCM46" s="78"/>
      <c r="FCN46" s="78"/>
      <c r="FCO46" s="78"/>
      <c r="FCP46" s="78"/>
      <c r="FCQ46" s="78"/>
      <c r="FCR46" s="78"/>
      <c r="FCS46" s="78"/>
      <c r="FCT46" s="78"/>
      <c r="FCU46" s="78"/>
      <c r="FCV46" s="78"/>
      <c r="FCW46" s="78"/>
      <c r="FCX46" s="78"/>
      <c r="FCY46" s="78"/>
      <c r="FCZ46" s="78"/>
      <c r="FDA46" s="78"/>
      <c r="FDB46" s="78"/>
      <c r="FDC46" s="78"/>
      <c r="FDD46" s="78"/>
      <c r="FDE46" s="78"/>
      <c r="FDF46" s="78"/>
      <c r="FDG46" s="78"/>
      <c r="FDH46" s="78"/>
      <c r="FDI46" s="78"/>
      <c r="FDJ46" s="78"/>
      <c r="FDK46" s="78"/>
      <c r="FDL46" s="78"/>
      <c r="FDM46" s="78"/>
      <c r="FDN46" s="78"/>
      <c r="FDO46" s="78"/>
      <c r="FDP46" s="78"/>
      <c r="FDQ46" s="78"/>
      <c r="FDR46" s="78"/>
      <c r="FDS46" s="78"/>
      <c r="FDT46" s="78"/>
      <c r="FDU46" s="78"/>
      <c r="FDV46" s="78"/>
      <c r="FDW46" s="78"/>
      <c r="FDX46" s="78"/>
      <c r="FDY46" s="78"/>
      <c r="FDZ46" s="78"/>
      <c r="FEA46" s="78"/>
      <c r="FEB46" s="78"/>
      <c r="FEC46" s="78"/>
      <c r="FED46" s="78"/>
      <c r="FEE46" s="78"/>
      <c r="FEF46" s="78"/>
      <c r="FEG46" s="78"/>
      <c r="FEH46" s="78"/>
      <c r="FEI46" s="78"/>
      <c r="FEJ46" s="78"/>
      <c r="FEK46" s="78"/>
      <c r="FEL46" s="78"/>
      <c r="FEM46" s="78"/>
      <c r="FEN46" s="78"/>
      <c r="FEO46" s="78"/>
      <c r="FEP46" s="78"/>
      <c r="FEQ46" s="78"/>
      <c r="FER46" s="78"/>
      <c r="FES46" s="78"/>
      <c r="FET46" s="78"/>
      <c r="FEU46" s="78"/>
      <c r="FEV46" s="78"/>
      <c r="FEW46" s="78"/>
      <c r="FEX46" s="78"/>
      <c r="FEY46" s="78"/>
      <c r="FEZ46" s="78"/>
      <c r="FFA46" s="78"/>
      <c r="FFB46" s="78"/>
      <c r="FFC46" s="78"/>
      <c r="FFD46" s="78"/>
      <c r="FFE46" s="78"/>
      <c r="FFF46" s="78"/>
      <c r="FFG46" s="78"/>
      <c r="FFH46" s="78"/>
      <c r="FFI46" s="78"/>
      <c r="FFJ46" s="78"/>
      <c r="FFK46" s="78"/>
      <c r="FFL46" s="78"/>
      <c r="FFM46" s="78"/>
      <c r="FFN46" s="78"/>
      <c r="FFO46" s="78"/>
      <c r="FFP46" s="78"/>
      <c r="FFQ46" s="78"/>
      <c r="FFR46" s="78"/>
      <c r="FFS46" s="78"/>
      <c r="FFT46" s="78"/>
      <c r="FFU46" s="78"/>
      <c r="FFV46" s="78"/>
      <c r="FFW46" s="78"/>
      <c r="FFX46" s="78"/>
      <c r="FFY46" s="78"/>
      <c r="FFZ46" s="78"/>
      <c r="FGA46" s="78"/>
      <c r="FGB46" s="78"/>
      <c r="FGC46" s="78"/>
      <c r="FGD46" s="78"/>
      <c r="FGE46" s="78"/>
      <c r="FGF46" s="78"/>
      <c r="FGG46" s="78"/>
      <c r="FGH46" s="78"/>
      <c r="FGI46" s="78"/>
      <c r="FGJ46" s="78"/>
      <c r="FGK46" s="78"/>
      <c r="FGL46" s="78"/>
      <c r="FGM46" s="78"/>
      <c r="FGN46" s="78"/>
      <c r="FGO46" s="78"/>
      <c r="FGP46" s="78"/>
      <c r="FGQ46" s="78"/>
      <c r="FGR46" s="78"/>
      <c r="FGS46" s="78"/>
      <c r="FGT46" s="78"/>
      <c r="FGU46" s="78"/>
      <c r="FGV46" s="78"/>
      <c r="FGW46" s="78"/>
      <c r="FGX46" s="78"/>
      <c r="FGY46" s="78"/>
      <c r="FGZ46" s="78"/>
      <c r="FHA46" s="78"/>
      <c r="FHB46" s="78"/>
      <c r="FHC46" s="78"/>
      <c r="FHD46" s="78"/>
      <c r="FHE46" s="78"/>
      <c r="FHF46" s="78"/>
      <c r="FHG46" s="78"/>
      <c r="FHH46" s="78"/>
      <c r="FHI46" s="78"/>
      <c r="FHJ46" s="78"/>
      <c r="FHK46" s="78"/>
      <c r="FHL46" s="78"/>
      <c r="FHM46" s="78"/>
      <c r="FHN46" s="78"/>
      <c r="FHO46" s="78"/>
      <c r="FHP46" s="78"/>
      <c r="FHQ46" s="78"/>
      <c r="FHR46" s="78"/>
      <c r="FHS46" s="78"/>
      <c r="FHT46" s="78"/>
      <c r="FHU46" s="78"/>
      <c r="FHV46" s="78"/>
      <c r="FHW46" s="78"/>
      <c r="FHX46" s="78"/>
      <c r="FHY46" s="78"/>
      <c r="FHZ46" s="78"/>
      <c r="FIA46" s="78"/>
      <c r="FIB46" s="78"/>
      <c r="FIC46" s="78"/>
      <c r="FID46" s="78"/>
      <c r="FIE46" s="78"/>
      <c r="FIF46" s="78"/>
      <c r="FIG46" s="78"/>
      <c r="FIH46" s="78"/>
      <c r="FII46" s="78"/>
      <c r="FIJ46" s="78"/>
      <c r="FIK46" s="78"/>
      <c r="FIL46" s="78"/>
      <c r="FIM46" s="78"/>
      <c r="FIN46" s="78"/>
      <c r="FIO46" s="78"/>
      <c r="FIP46" s="78"/>
      <c r="FIQ46" s="78"/>
      <c r="FIR46" s="78"/>
      <c r="FIS46" s="78"/>
      <c r="FIT46" s="78"/>
      <c r="FIU46" s="78"/>
      <c r="FIV46" s="78"/>
      <c r="FIW46" s="78"/>
      <c r="FIX46" s="78"/>
      <c r="FIY46" s="78"/>
      <c r="FIZ46" s="78"/>
      <c r="FJA46" s="78"/>
      <c r="FJB46" s="78"/>
      <c r="FJC46" s="78"/>
      <c r="FJD46" s="78"/>
      <c r="FJE46" s="78"/>
      <c r="FJF46" s="78"/>
      <c r="FJG46" s="78"/>
      <c r="FJH46" s="78"/>
      <c r="FJI46" s="78"/>
      <c r="FJJ46" s="78"/>
      <c r="FJK46" s="78"/>
      <c r="FJL46" s="78"/>
      <c r="FJM46" s="78"/>
      <c r="FJN46" s="78"/>
      <c r="FJO46" s="78"/>
      <c r="FJP46" s="78"/>
      <c r="FJQ46" s="78"/>
      <c r="FJR46" s="78"/>
      <c r="FJS46" s="78"/>
      <c r="FJT46" s="78"/>
      <c r="FJU46" s="78"/>
      <c r="FJV46" s="78"/>
      <c r="FJW46" s="78"/>
      <c r="FJX46" s="78"/>
      <c r="FJY46" s="78"/>
      <c r="FJZ46" s="78"/>
      <c r="FKA46" s="78"/>
      <c r="FKB46" s="78"/>
      <c r="FKC46" s="78"/>
      <c r="FKD46" s="78"/>
      <c r="FKE46" s="78"/>
      <c r="FKF46" s="78"/>
      <c r="FKG46" s="78"/>
      <c r="FKH46" s="78"/>
      <c r="FKI46" s="78"/>
      <c r="FKJ46" s="78"/>
      <c r="FKK46" s="78"/>
      <c r="FKL46" s="78"/>
      <c r="FKM46" s="78"/>
      <c r="FKN46" s="78"/>
      <c r="FKO46" s="78"/>
      <c r="FKP46" s="78"/>
      <c r="FKQ46" s="78"/>
      <c r="FKR46" s="78"/>
      <c r="FKS46" s="78"/>
      <c r="FKT46" s="78"/>
      <c r="FKU46" s="78"/>
      <c r="FKV46" s="78"/>
      <c r="FKW46" s="78"/>
      <c r="FKX46" s="78"/>
      <c r="FKY46" s="78"/>
      <c r="FKZ46" s="78"/>
      <c r="FLA46" s="78"/>
      <c r="FLB46" s="78"/>
      <c r="FLC46" s="78"/>
      <c r="FLD46" s="78"/>
      <c r="FLE46" s="78"/>
      <c r="FLF46" s="78"/>
      <c r="FLG46" s="78"/>
      <c r="FLH46" s="78"/>
      <c r="FLI46" s="78"/>
      <c r="FLJ46" s="78"/>
      <c r="FLK46" s="78"/>
      <c r="FLL46" s="78"/>
      <c r="FLM46" s="78"/>
      <c r="FLN46" s="78"/>
      <c r="FLO46" s="78"/>
      <c r="FLP46" s="78"/>
      <c r="FLQ46" s="78"/>
      <c r="FLR46" s="78"/>
      <c r="FLS46" s="78"/>
      <c r="FLT46" s="78"/>
      <c r="FLU46" s="78"/>
      <c r="FLV46" s="78"/>
      <c r="FLW46" s="78"/>
      <c r="FLX46" s="78"/>
      <c r="FLY46" s="78"/>
      <c r="FLZ46" s="78"/>
      <c r="FMA46" s="78"/>
      <c r="FMB46" s="78"/>
      <c r="FMC46" s="78"/>
      <c r="FMD46" s="78"/>
      <c r="FME46" s="78"/>
      <c r="FMF46" s="78"/>
      <c r="FMG46" s="78"/>
      <c r="FMH46" s="78"/>
      <c r="FMI46" s="78"/>
      <c r="FMJ46" s="78"/>
      <c r="FMK46" s="78"/>
      <c r="FML46" s="78"/>
      <c r="FMM46" s="78"/>
      <c r="FMN46" s="78"/>
      <c r="FMO46" s="78"/>
      <c r="FMP46" s="78"/>
      <c r="FMQ46" s="78"/>
      <c r="FMR46" s="78"/>
      <c r="FMS46" s="78"/>
      <c r="FMT46" s="78"/>
      <c r="FMU46" s="78"/>
      <c r="FMV46" s="78"/>
      <c r="FMW46" s="78"/>
      <c r="FMX46" s="78"/>
      <c r="FMY46" s="78"/>
      <c r="FMZ46" s="78"/>
      <c r="FNA46" s="78"/>
      <c r="FNB46" s="78"/>
      <c r="FNC46" s="78"/>
      <c r="FND46" s="78"/>
      <c r="FNE46" s="78"/>
      <c r="FNF46" s="78"/>
      <c r="FNG46" s="78"/>
      <c r="FNH46" s="78"/>
      <c r="FNI46" s="78"/>
      <c r="FNJ46" s="78"/>
      <c r="FNK46" s="78"/>
      <c r="FNL46" s="78"/>
      <c r="FNM46" s="78"/>
      <c r="FNN46" s="78"/>
      <c r="FNO46" s="78"/>
      <c r="FNP46" s="78"/>
      <c r="FNQ46" s="78"/>
      <c r="FNR46" s="78"/>
      <c r="FNS46" s="78"/>
      <c r="FNT46" s="78"/>
      <c r="FNU46" s="78"/>
      <c r="FNV46" s="78"/>
      <c r="FNW46" s="78"/>
      <c r="FNX46" s="78"/>
      <c r="FNY46" s="78"/>
      <c r="FNZ46" s="78"/>
      <c r="FOA46" s="78"/>
      <c r="FOB46" s="78"/>
      <c r="FOC46" s="78"/>
      <c r="FOD46" s="78"/>
      <c r="FOE46" s="78"/>
      <c r="FOF46" s="78"/>
      <c r="FOG46" s="78"/>
      <c r="FOH46" s="78"/>
      <c r="FOI46" s="78"/>
      <c r="FOJ46" s="78"/>
      <c r="FOK46" s="78"/>
      <c r="FOL46" s="78"/>
      <c r="FOM46" s="78"/>
      <c r="FON46" s="78"/>
      <c r="FOO46" s="78"/>
      <c r="FOP46" s="78"/>
      <c r="FOQ46" s="78"/>
      <c r="FOR46" s="78"/>
      <c r="FOS46" s="78"/>
      <c r="FOT46" s="78"/>
      <c r="FOU46" s="78"/>
      <c r="FOV46" s="78"/>
      <c r="FOW46" s="78"/>
      <c r="FOX46" s="78"/>
      <c r="FOY46" s="78"/>
      <c r="FOZ46" s="78"/>
      <c r="FPA46" s="78"/>
      <c r="FPB46" s="78"/>
      <c r="FPC46" s="78"/>
      <c r="FPD46" s="78"/>
      <c r="FPE46" s="78"/>
      <c r="FPF46" s="78"/>
      <c r="FPG46" s="78"/>
      <c r="FPH46" s="78"/>
      <c r="FPI46" s="78"/>
      <c r="FPJ46" s="78"/>
      <c r="FPK46" s="78"/>
      <c r="FPL46" s="78"/>
      <c r="FPM46" s="78"/>
      <c r="FPN46" s="78"/>
      <c r="FPO46" s="78"/>
      <c r="FPP46" s="78"/>
      <c r="FPQ46" s="78"/>
      <c r="FPR46" s="78"/>
      <c r="FPS46" s="78"/>
      <c r="FPT46" s="78"/>
      <c r="FPU46" s="78"/>
      <c r="FPV46" s="78"/>
      <c r="FPW46" s="78"/>
      <c r="FPX46" s="78"/>
      <c r="FPY46" s="78"/>
      <c r="FPZ46" s="78"/>
      <c r="FQA46" s="78"/>
      <c r="FQB46" s="78"/>
      <c r="FQC46" s="78"/>
      <c r="FQD46" s="78"/>
      <c r="FQE46" s="78"/>
      <c r="FQF46" s="78"/>
      <c r="FQG46" s="78"/>
      <c r="FQH46" s="78"/>
      <c r="FQI46" s="78"/>
      <c r="FQJ46" s="78"/>
      <c r="FQK46" s="78"/>
      <c r="FQL46" s="78"/>
      <c r="FQM46" s="78"/>
      <c r="FQN46" s="78"/>
      <c r="FQO46" s="78"/>
      <c r="FQP46" s="78"/>
      <c r="FQQ46" s="78"/>
      <c r="FQR46" s="78"/>
      <c r="FQS46" s="78"/>
      <c r="FQT46" s="78"/>
      <c r="FQU46" s="78"/>
      <c r="FQV46" s="78"/>
      <c r="FQW46" s="78"/>
      <c r="FQX46" s="78"/>
      <c r="FQY46" s="78"/>
      <c r="FQZ46" s="78"/>
      <c r="FRA46" s="78"/>
      <c r="FRB46" s="78"/>
      <c r="FRC46" s="78"/>
      <c r="FRD46" s="78"/>
      <c r="FRE46" s="78"/>
      <c r="FRF46" s="78"/>
      <c r="FRG46" s="78"/>
      <c r="FRH46" s="78"/>
      <c r="FRI46" s="78"/>
      <c r="FRJ46" s="78"/>
      <c r="FRK46" s="78"/>
      <c r="FRL46" s="78"/>
      <c r="FRM46" s="78"/>
      <c r="FRN46" s="78"/>
      <c r="FRO46" s="78"/>
      <c r="FRP46" s="78"/>
      <c r="FRQ46" s="78"/>
      <c r="FRR46" s="78"/>
      <c r="FRS46" s="78"/>
      <c r="FRT46" s="78"/>
      <c r="FRU46" s="78"/>
      <c r="FRV46" s="78"/>
      <c r="FRW46" s="78"/>
      <c r="FRX46" s="78"/>
      <c r="FRY46" s="78"/>
      <c r="FRZ46" s="78"/>
      <c r="FSA46" s="78"/>
      <c r="FSB46" s="78"/>
      <c r="FSC46" s="78"/>
      <c r="FSD46" s="78"/>
      <c r="FSE46" s="78"/>
      <c r="FSF46" s="78"/>
      <c r="FSG46" s="78"/>
      <c r="FSH46" s="78"/>
      <c r="FSI46" s="78"/>
      <c r="FSJ46" s="78"/>
      <c r="FSK46" s="78"/>
      <c r="FSL46" s="78"/>
      <c r="FSM46" s="78"/>
      <c r="FSN46" s="78"/>
      <c r="FSO46" s="78"/>
      <c r="FSP46" s="78"/>
      <c r="FSQ46" s="78"/>
      <c r="FSR46" s="78"/>
      <c r="FSS46" s="78"/>
      <c r="FST46" s="78"/>
      <c r="FSU46" s="78"/>
      <c r="FSV46" s="78"/>
      <c r="FSW46" s="78"/>
      <c r="FSX46" s="78"/>
      <c r="FSY46" s="78"/>
      <c r="FSZ46" s="78"/>
      <c r="FTA46" s="78"/>
      <c r="FTB46" s="78"/>
      <c r="FTC46" s="78"/>
      <c r="FTD46" s="78"/>
      <c r="FTE46" s="78"/>
      <c r="FTF46" s="78"/>
      <c r="FTG46" s="78"/>
      <c r="FTH46" s="78"/>
      <c r="FTI46" s="78"/>
      <c r="FTJ46" s="78"/>
      <c r="FTK46" s="78"/>
      <c r="FTL46" s="78"/>
      <c r="FTM46" s="78"/>
      <c r="FTN46" s="78"/>
      <c r="FTO46" s="78"/>
      <c r="FTP46" s="78"/>
      <c r="FTQ46" s="78"/>
      <c r="FTR46" s="78"/>
      <c r="FTS46" s="78"/>
      <c r="FTT46" s="78"/>
      <c r="FTU46" s="78"/>
      <c r="FTV46" s="78"/>
      <c r="FTW46" s="78"/>
      <c r="FTX46" s="78"/>
      <c r="FTY46" s="78"/>
      <c r="FTZ46" s="78"/>
      <c r="FUA46" s="78"/>
      <c r="FUB46" s="78"/>
      <c r="FUC46" s="78"/>
      <c r="FUD46" s="78"/>
      <c r="FUE46" s="78"/>
      <c r="FUF46" s="78"/>
      <c r="FUG46" s="78"/>
      <c r="FUH46" s="78"/>
      <c r="FUI46" s="78"/>
      <c r="FUJ46" s="78"/>
      <c r="FUK46" s="78"/>
      <c r="FUL46" s="78"/>
      <c r="FUM46" s="78"/>
      <c r="FUN46" s="78"/>
      <c r="FUO46" s="78"/>
      <c r="FUP46" s="78"/>
      <c r="FUQ46" s="78"/>
      <c r="FUR46" s="78"/>
      <c r="FUS46" s="78"/>
      <c r="FUT46" s="78"/>
      <c r="FUU46" s="78"/>
      <c r="FUV46" s="78"/>
      <c r="FUW46" s="78"/>
      <c r="FUX46" s="78"/>
      <c r="FUY46" s="78"/>
      <c r="FUZ46" s="78"/>
      <c r="FVA46" s="78"/>
      <c r="FVB46" s="78"/>
      <c r="FVC46" s="78"/>
      <c r="FVD46" s="78"/>
      <c r="FVE46" s="78"/>
      <c r="FVF46" s="78"/>
      <c r="FVG46" s="78"/>
      <c r="FVH46" s="78"/>
      <c r="FVI46" s="78"/>
      <c r="FVJ46" s="78"/>
      <c r="FVK46" s="78"/>
      <c r="FVL46" s="78"/>
      <c r="FVM46" s="78"/>
      <c r="FVN46" s="78"/>
      <c r="FVO46" s="78"/>
      <c r="FVP46" s="78"/>
      <c r="FVQ46" s="78"/>
      <c r="FVR46" s="78"/>
      <c r="FVS46" s="78"/>
      <c r="FVT46" s="78"/>
      <c r="FVU46" s="78"/>
      <c r="FVV46" s="78"/>
      <c r="FVW46" s="78"/>
      <c r="FVX46" s="78"/>
      <c r="FVY46" s="78"/>
      <c r="FVZ46" s="78"/>
      <c r="FWA46" s="78"/>
      <c r="FWB46" s="78"/>
      <c r="FWC46" s="78"/>
      <c r="FWD46" s="78"/>
      <c r="FWE46" s="78"/>
      <c r="FWF46" s="78"/>
      <c r="FWG46" s="78"/>
      <c r="FWH46" s="78"/>
      <c r="FWI46" s="78"/>
      <c r="FWJ46" s="78"/>
      <c r="FWK46" s="78"/>
      <c r="FWL46" s="78"/>
      <c r="FWM46" s="78"/>
      <c r="FWN46" s="78"/>
      <c r="FWO46" s="78"/>
      <c r="FWP46" s="78"/>
      <c r="FWQ46" s="78"/>
      <c r="FWR46" s="78"/>
      <c r="FWS46" s="78"/>
      <c r="FWT46" s="78"/>
      <c r="FWU46" s="78"/>
      <c r="FWV46" s="78"/>
      <c r="FWW46" s="78"/>
      <c r="FWX46" s="78"/>
      <c r="FWY46" s="78"/>
      <c r="FWZ46" s="78"/>
      <c r="FXA46" s="78"/>
      <c r="FXB46" s="78"/>
      <c r="FXC46" s="78"/>
      <c r="FXD46" s="78"/>
      <c r="FXE46" s="78"/>
      <c r="FXF46" s="78"/>
      <c r="FXG46" s="78"/>
      <c r="FXH46" s="78"/>
      <c r="FXI46" s="78"/>
      <c r="FXJ46" s="78"/>
      <c r="FXK46" s="78"/>
      <c r="FXL46" s="78"/>
      <c r="FXM46" s="78"/>
      <c r="FXN46" s="78"/>
      <c r="FXO46" s="78"/>
      <c r="FXP46" s="78"/>
      <c r="FXQ46" s="78"/>
      <c r="FXR46" s="78"/>
      <c r="FXS46" s="78"/>
      <c r="FXT46" s="78"/>
      <c r="FXU46" s="78"/>
      <c r="FXV46" s="78"/>
      <c r="FXW46" s="78"/>
      <c r="FXX46" s="78"/>
      <c r="FXY46" s="78"/>
      <c r="FXZ46" s="78"/>
      <c r="FYA46" s="78"/>
      <c r="FYB46" s="78"/>
      <c r="FYC46" s="78"/>
      <c r="FYD46" s="78"/>
      <c r="FYE46" s="78"/>
      <c r="FYF46" s="78"/>
      <c r="FYG46" s="78"/>
      <c r="FYH46" s="78"/>
      <c r="FYI46" s="78"/>
      <c r="FYJ46" s="78"/>
      <c r="FYK46" s="78"/>
      <c r="FYL46" s="78"/>
      <c r="FYM46" s="78"/>
      <c r="FYN46" s="78"/>
      <c r="FYO46" s="78"/>
      <c r="FYP46" s="78"/>
      <c r="FYQ46" s="78"/>
      <c r="FYR46" s="78"/>
      <c r="FYS46" s="78"/>
      <c r="FYT46" s="78"/>
      <c r="FYU46" s="78"/>
      <c r="FYV46" s="78"/>
      <c r="FYW46" s="78"/>
      <c r="FYX46" s="78"/>
      <c r="FYY46" s="78"/>
      <c r="FYZ46" s="78"/>
      <c r="FZA46" s="78"/>
      <c r="FZB46" s="78"/>
      <c r="FZC46" s="78"/>
      <c r="FZD46" s="78"/>
      <c r="FZE46" s="78"/>
      <c r="FZF46" s="78"/>
      <c r="FZG46" s="78"/>
      <c r="FZH46" s="78"/>
      <c r="FZI46" s="78"/>
      <c r="FZJ46" s="78"/>
      <c r="FZK46" s="78"/>
      <c r="FZL46" s="78"/>
      <c r="FZM46" s="78"/>
      <c r="FZN46" s="78"/>
      <c r="FZO46" s="78"/>
      <c r="FZP46" s="78"/>
      <c r="FZQ46" s="78"/>
      <c r="FZR46" s="78"/>
      <c r="FZS46" s="78"/>
      <c r="FZT46" s="78"/>
      <c r="FZU46" s="78"/>
      <c r="FZV46" s="78"/>
      <c r="FZW46" s="78"/>
      <c r="FZX46" s="78"/>
      <c r="FZY46" s="78"/>
      <c r="FZZ46" s="78"/>
      <c r="GAA46" s="78"/>
      <c r="GAB46" s="78"/>
      <c r="GAC46" s="78"/>
      <c r="GAD46" s="78"/>
      <c r="GAE46" s="78"/>
      <c r="GAF46" s="78"/>
      <c r="GAG46" s="78"/>
      <c r="GAH46" s="78"/>
      <c r="GAI46" s="78"/>
      <c r="GAJ46" s="78"/>
      <c r="GAK46" s="78"/>
      <c r="GAL46" s="78"/>
      <c r="GAM46" s="78"/>
      <c r="GAN46" s="78"/>
      <c r="GAO46" s="78"/>
      <c r="GAP46" s="78"/>
      <c r="GAQ46" s="78"/>
      <c r="GAR46" s="78"/>
      <c r="GAS46" s="78"/>
      <c r="GAT46" s="78"/>
      <c r="GAU46" s="78"/>
      <c r="GAV46" s="78"/>
      <c r="GAW46" s="78"/>
      <c r="GAX46" s="78"/>
      <c r="GAY46" s="78"/>
      <c r="GAZ46" s="78"/>
      <c r="GBA46" s="78"/>
      <c r="GBB46" s="78"/>
      <c r="GBC46" s="78"/>
      <c r="GBD46" s="78"/>
      <c r="GBE46" s="78"/>
      <c r="GBF46" s="78"/>
      <c r="GBG46" s="78"/>
      <c r="GBH46" s="78"/>
      <c r="GBI46" s="78"/>
      <c r="GBJ46" s="78"/>
      <c r="GBK46" s="78"/>
      <c r="GBL46" s="78"/>
      <c r="GBM46" s="78"/>
      <c r="GBN46" s="78"/>
      <c r="GBO46" s="78"/>
      <c r="GBP46" s="78"/>
      <c r="GBQ46" s="78"/>
      <c r="GBR46" s="78"/>
      <c r="GBS46" s="78"/>
      <c r="GBT46" s="78"/>
      <c r="GBU46" s="78"/>
      <c r="GBV46" s="78"/>
      <c r="GBW46" s="78"/>
      <c r="GBX46" s="78"/>
      <c r="GBY46" s="78"/>
      <c r="GBZ46" s="78"/>
      <c r="GCA46" s="78"/>
      <c r="GCB46" s="78"/>
      <c r="GCC46" s="78"/>
      <c r="GCD46" s="78"/>
      <c r="GCE46" s="78"/>
      <c r="GCF46" s="78"/>
      <c r="GCG46" s="78"/>
      <c r="GCH46" s="78"/>
      <c r="GCI46" s="78"/>
      <c r="GCJ46" s="78"/>
      <c r="GCK46" s="78"/>
      <c r="GCL46" s="78"/>
      <c r="GCM46" s="78"/>
      <c r="GCN46" s="78"/>
      <c r="GCO46" s="78"/>
      <c r="GCP46" s="78"/>
      <c r="GCQ46" s="78"/>
      <c r="GCR46" s="78"/>
      <c r="GCS46" s="78"/>
      <c r="GCT46" s="78"/>
      <c r="GCU46" s="78"/>
      <c r="GCV46" s="78"/>
      <c r="GCW46" s="78"/>
      <c r="GCX46" s="78"/>
      <c r="GCY46" s="78"/>
      <c r="GCZ46" s="78"/>
      <c r="GDA46" s="78"/>
      <c r="GDB46" s="78"/>
      <c r="GDC46" s="78"/>
      <c r="GDD46" s="78"/>
      <c r="GDE46" s="78"/>
      <c r="GDF46" s="78"/>
      <c r="GDG46" s="78"/>
      <c r="GDH46" s="78"/>
      <c r="GDI46" s="78"/>
      <c r="GDJ46" s="78"/>
      <c r="GDK46" s="78"/>
      <c r="GDL46" s="78"/>
      <c r="GDM46" s="78"/>
      <c r="GDN46" s="78"/>
      <c r="GDO46" s="78"/>
      <c r="GDP46" s="78"/>
      <c r="GDQ46" s="78"/>
      <c r="GDR46" s="78"/>
      <c r="GDS46" s="78"/>
      <c r="GDT46" s="78"/>
      <c r="GDU46" s="78"/>
      <c r="GDV46" s="78"/>
      <c r="GDW46" s="78"/>
      <c r="GDX46" s="78"/>
      <c r="GDY46" s="78"/>
      <c r="GDZ46" s="78"/>
      <c r="GEA46" s="78"/>
      <c r="GEB46" s="78"/>
      <c r="GEC46" s="78"/>
      <c r="GED46" s="78"/>
      <c r="GEE46" s="78"/>
      <c r="GEF46" s="78"/>
      <c r="GEG46" s="78"/>
      <c r="GEH46" s="78"/>
      <c r="GEI46" s="78"/>
      <c r="GEJ46" s="78"/>
      <c r="GEK46" s="78"/>
      <c r="GEL46" s="78"/>
      <c r="GEM46" s="78"/>
      <c r="GEN46" s="78"/>
      <c r="GEO46" s="78"/>
      <c r="GEP46" s="78"/>
      <c r="GEQ46" s="78"/>
      <c r="GER46" s="78"/>
      <c r="GES46" s="78"/>
      <c r="GET46" s="78"/>
      <c r="GEU46" s="78"/>
      <c r="GEV46" s="78"/>
      <c r="GEW46" s="78"/>
      <c r="GEX46" s="78"/>
      <c r="GEY46" s="78"/>
      <c r="GEZ46" s="78"/>
      <c r="GFA46" s="78"/>
      <c r="GFB46" s="78"/>
      <c r="GFC46" s="78"/>
      <c r="GFD46" s="78"/>
      <c r="GFE46" s="78"/>
      <c r="GFF46" s="78"/>
      <c r="GFG46" s="78"/>
      <c r="GFH46" s="78"/>
      <c r="GFI46" s="78"/>
      <c r="GFJ46" s="78"/>
      <c r="GFK46" s="78"/>
      <c r="GFL46" s="78"/>
      <c r="GFM46" s="78"/>
      <c r="GFN46" s="78"/>
      <c r="GFO46" s="78"/>
      <c r="GFP46" s="78"/>
      <c r="GFQ46" s="78"/>
      <c r="GFR46" s="78"/>
      <c r="GFS46" s="78"/>
      <c r="GFT46" s="78"/>
      <c r="GFU46" s="78"/>
      <c r="GFV46" s="78"/>
      <c r="GFW46" s="78"/>
      <c r="GFX46" s="78"/>
      <c r="GFY46" s="78"/>
      <c r="GFZ46" s="78"/>
      <c r="GGA46" s="78"/>
      <c r="GGB46" s="78"/>
      <c r="GGC46" s="78"/>
      <c r="GGD46" s="78"/>
      <c r="GGE46" s="78"/>
      <c r="GGF46" s="78"/>
      <c r="GGG46" s="78"/>
      <c r="GGH46" s="78"/>
      <c r="GGI46" s="78"/>
      <c r="GGJ46" s="78"/>
      <c r="GGK46" s="78"/>
      <c r="GGL46" s="78"/>
      <c r="GGM46" s="78"/>
      <c r="GGN46" s="78"/>
      <c r="GGO46" s="78"/>
      <c r="GGP46" s="78"/>
      <c r="GGQ46" s="78"/>
      <c r="GGR46" s="78"/>
      <c r="GGS46" s="78"/>
      <c r="GGT46" s="78"/>
      <c r="GGU46" s="78"/>
      <c r="GGV46" s="78"/>
      <c r="GGW46" s="78"/>
      <c r="GGX46" s="78"/>
      <c r="GGY46" s="78"/>
      <c r="GGZ46" s="78"/>
      <c r="GHA46" s="78"/>
      <c r="GHB46" s="78"/>
      <c r="GHC46" s="78"/>
      <c r="GHD46" s="78"/>
      <c r="GHE46" s="78"/>
      <c r="GHF46" s="78"/>
      <c r="GHG46" s="78"/>
      <c r="GHH46" s="78"/>
      <c r="GHI46" s="78"/>
      <c r="GHJ46" s="78"/>
      <c r="GHK46" s="78"/>
      <c r="GHL46" s="78"/>
      <c r="GHM46" s="78"/>
      <c r="GHN46" s="78"/>
      <c r="GHO46" s="78"/>
      <c r="GHP46" s="78"/>
      <c r="GHQ46" s="78"/>
      <c r="GHR46" s="78"/>
      <c r="GHS46" s="78"/>
      <c r="GHT46" s="78"/>
      <c r="GHU46" s="78"/>
      <c r="GHV46" s="78"/>
      <c r="GHW46" s="78"/>
      <c r="GHX46" s="78"/>
      <c r="GHY46" s="78"/>
      <c r="GHZ46" s="78"/>
      <c r="GIA46" s="78"/>
      <c r="GIB46" s="78"/>
      <c r="GIC46" s="78"/>
      <c r="GID46" s="78"/>
      <c r="GIE46" s="78"/>
      <c r="GIF46" s="78"/>
      <c r="GIG46" s="78"/>
      <c r="GIH46" s="78"/>
      <c r="GII46" s="78"/>
      <c r="GIJ46" s="78"/>
      <c r="GIK46" s="78"/>
      <c r="GIL46" s="78"/>
      <c r="GIM46" s="78"/>
      <c r="GIN46" s="78"/>
      <c r="GIO46" s="78"/>
      <c r="GIP46" s="78"/>
      <c r="GIQ46" s="78"/>
      <c r="GIR46" s="78"/>
      <c r="GIS46" s="78"/>
      <c r="GIT46" s="78"/>
      <c r="GIU46" s="78"/>
      <c r="GIV46" s="78"/>
      <c r="GIW46" s="78"/>
      <c r="GIX46" s="78"/>
      <c r="GIY46" s="78"/>
      <c r="GIZ46" s="78"/>
      <c r="GJA46" s="78"/>
      <c r="GJB46" s="78"/>
      <c r="GJC46" s="78"/>
      <c r="GJD46" s="78"/>
      <c r="GJE46" s="78"/>
      <c r="GJF46" s="78"/>
      <c r="GJG46" s="78"/>
      <c r="GJH46" s="78"/>
      <c r="GJI46" s="78"/>
      <c r="GJJ46" s="78"/>
      <c r="GJK46" s="78"/>
      <c r="GJL46" s="78"/>
      <c r="GJM46" s="78"/>
      <c r="GJN46" s="78"/>
      <c r="GJO46" s="78"/>
      <c r="GJP46" s="78"/>
      <c r="GJQ46" s="78"/>
      <c r="GJR46" s="78"/>
      <c r="GJS46" s="78"/>
      <c r="GJT46" s="78"/>
      <c r="GJU46" s="78"/>
      <c r="GJV46" s="78"/>
      <c r="GJW46" s="78"/>
      <c r="GJX46" s="78"/>
      <c r="GJY46" s="78"/>
      <c r="GJZ46" s="78"/>
      <c r="GKA46" s="78"/>
      <c r="GKB46" s="78"/>
      <c r="GKC46" s="78"/>
      <c r="GKD46" s="78"/>
      <c r="GKE46" s="78"/>
      <c r="GKF46" s="78"/>
      <c r="GKG46" s="78"/>
      <c r="GKH46" s="78"/>
      <c r="GKI46" s="78"/>
      <c r="GKJ46" s="78"/>
      <c r="GKK46" s="78"/>
      <c r="GKL46" s="78"/>
      <c r="GKM46" s="78"/>
      <c r="GKN46" s="78"/>
      <c r="GKO46" s="78"/>
      <c r="GKP46" s="78"/>
      <c r="GKQ46" s="78"/>
      <c r="GKR46" s="78"/>
      <c r="GKS46" s="78"/>
      <c r="GKT46" s="78"/>
      <c r="GKU46" s="78"/>
      <c r="GKV46" s="78"/>
      <c r="GKW46" s="78"/>
      <c r="GKX46" s="78"/>
      <c r="GKY46" s="78"/>
      <c r="GKZ46" s="78"/>
      <c r="GLA46" s="78"/>
      <c r="GLB46" s="78"/>
      <c r="GLC46" s="78"/>
      <c r="GLD46" s="78"/>
      <c r="GLE46" s="78"/>
      <c r="GLF46" s="78"/>
      <c r="GLG46" s="78"/>
      <c r="GLH46" s="78"/>
      <c r="GLI46" s="78"/>
      <c r="GLJ46" s="78"/>
      <c r="GLK46" s="78"/>
      <c r="GLL46" s="78"/>
      <c r="GLM46" s="78"/>
      <c r="GLN46" s="78"/>
      <c r="GLO46" s="78"/>
      <c r="GLP46" s="78"/>
      <c r="GLQ46" s="78"/>
      <c r="GLR46" s="78"/>
      <c r="GLS46" s="78"/>
      <c r="GLT46" s="78"/>
      <c r="GLU46" s="78"/>
      <c r="GLV46" s="78"/>
      <c r="GLW46" s="78"/>
      <c r="GLX46" s="78"/>
      <c r="GLY46" s="78"/>
      <c r="GLZ46" s="78"/>
      <c r="GMA46" s="78"/>
      <c r="GMB46" s="78"/>
      <c r="GMC46" s="78"/>
      <c r="GMD46" s="78"/>
      <c r="GME46" s="78"/>
      <c r="GMF46" s="78"/>
      <c r="GMG46" s="78"/>
      <c r="GMH46" s="78"/>
      <c r="GMI46" s="78"/>
      <c r="GMJ46" s="78"/>
      <c r="GMK46" s="78"/>
      <c r="GML46" s="78"/>
      <c r="GMM46" s="78"/>
      <c r="GMN46" s="78"/>
      <c r="GMO46" s="78"/>
      <c r="GMP46" s="78"/>
      <c r="GMQ46" s="78"/>
      <c r="GMR46" s="78"/>
      <c r="GMS46" s="78"/>
      <c r="GMT46" s="78"/>
      <c r="GMU46" s="78"/>
      <c r="GMV46" s="78"/>
      <c r="GMW46" s="78"/>
      <c r="GMX46" s="78"/>
      <c r="GMY46" s="78"/>
      <c r="GMZ46" s="78"/>
      <c r="GNA46" s="78"/>
      <c r="GNB46" s="78"/>
      <c r="GNC46" s="78"/>
      <c r="GND46" s="78"/>
      <c r="GNE46" s="78"/>
      <c r="GNF46" s="78"/>
      <c r="GNG46" s="78"/>
      <c r="GNH46" s="78"/>
      <c r="GNI46" s="78"/>
      <c r="GNJ46" s="78"/>
      <c r="GNK46" s="78"/>
      <c r="GNL46" s="78"/>
      <c r="GNM46" s="78"/>
      <c r="GNN46" s="78"/>
      <c r="GNO46" s="78"/>
      <c r="GNP46" s="78"/>
      <c r="GNQ46" s="78"/>
      <c r="GNR46" s="78"/>
      <c r="GNS46" s="78"/>
      <c r="GNT46" s="78"/>
      <c r="GNU46" s="78"/>
      <c r="GNV46" s="78"/>
      <c r="GNW46" s="78"/>
      <c r="GNX46" s="78"/>
      <c r="GNY46" s="78"/>
      <c r="GNZ46" s="78"/>
      <c r="GOA46" s="78"/>
      <c r="GOB46" s="78"/>
      <c r="GOC46" s="78"/>
      <c r="GOD46" s="78"/>
      <c r="GOE46" s="78"/>
      <c r="GOF46" s="78"/>
      <c r="GOG46" s="78"/>
      <c r="GOH46" s="78"/>
      <c r="GOI46" s="78"/>
      <c r="GOJ46" s="78"/>
      <c r="GOK46" s="78"/>
      <c r="GOL46" s="78"/>
      <c r="GOM46" s="78"/>
      <c r="GON46" s="78"/>
      <c r="GOO46" s="78"/>
      <c r="GOP46" s="78"/>
      <c r="GOQ46" s="78"/>
      <c r="GOR46" s="78"/>
      <c r="GOS46" s="78"/>
      <c r="GOT46" s="78"/>
      <c r="GOU46" s="78"/>
      <c r="GOV46" s="78"/>
      <c r="GOW46" s="78"/>
      <c r="GOX46" s="78"/>
      <c r="GOY46" s="78"/>
      <c r="GOZ46" s="78"/>
      <c r="GPA46" s="78"/>
      <c r="GPB46" s="78"/>
      <c r="GPC46" s="78"/>
      <c r="GPD46" s="78"/>
      <c r="GPE46" s="78"/>
      <c r="GPF46" s="78"/>
      <c r="GPG46" s="78"/>
      <c r="GPH46" s="78"/>
      <c r="GPI46" s="78"/>
      <c r="GPJ46" s="78"/>
      <c r="GPK46" s="78"/>
      <c r="GPL46" s="78"/>
      <c r="GPM46" s="78"/>
      <c r="GPN46" s="78"/>
      <c r="GPO46" s="78"/>
      <c r="GPP46" s="78"/>
      <c r="GPQ46" s="78"/>
      <c r="GPR46" s="78"/>
      <c r="GPS46" s="78"/>
      <c r="GPT46" s="78"/>
      <c r="GPU46" s="78"/>
      <c r="GPV46" s="78"/>
      <c r="GPW46" s="78"/>
      <c r="GPX46" s="78"/>
      <c r="GPY46" s="78"/>
      <c r="GPZ46" s="78"/>
      <c r="GQA46" s="78"/>
      <c r="GQB46" s="78"/>
      <c r="GQC46" s="78"/>
      <c r="GQD46" s="78"/>
      <c r="GQE46" s="78"/>
      <c r="GQF46" s="78"/>
      <c r="GQG46" s="78"/>
      <c r="GQH46" s="78"/>
      <c r="GQI46" s="78"/>
      <c r="GQJ46" s="78"/>
      <c r="GQK46" s="78"/>
      <c r="GQL46" s="78"/>
      <c r="GQM46" s="78"/>
      <c r="GQN46" s="78"/>
      <c r="GQO46" s="78"/>
      <c r="GQP46" s="78"/>
      <c r="GQQ46" s="78"/>
      <c r="GQR46" s="78"/>
      <c r="GQS46" s="78"/>
      <c r="GQT46" s="78"/>
      <c r="GQU46" s="78"/>
      <c r="GQV46" s="78"/>
      <c r="GQW46" s="78"/>
      <c r="GQX46" s="78"/>
      <c r="GQY46" s="78"/>
      <c r="GQZ46" s="78"/>
      <c r="GRA46" s="78"/>
      <c r="GRB46" s="78"/>
      <c r="GRC46" s="78"/>
      <c r="GRD46" s="78"/>
      <c r="GRE46" s="78"/>
      <c r="GRF46" s="78"/>
      <c r="GRG46" s="78"/>
      <c r="GRH46" s="78"/>
      <c r="GRI46" s="78"/>
      <c r="GRJ46" s="78"/>
      <c r="GRK46" s="78"/>
      <c r="GRL46" s="78"/>
      <c r="GRM46" s="78"/>
      <c r="GRN46" s="78"/>
      <c r="GRO46" s="78"/>
      <c r="GRP46" s="78"/>
      <c r="GRQ46" s="78"/>
      <c r="GRR46" s="78"/>
      <c r="GRS46" s="78"/>
      <c r="GRT46" s="78"/>
      <c r="GRU46" s="78"/>
      <c r="GRV46" s="78"/>
      <c r="GRW46" s="78"/>
      <c r="GRX46" s="78"/>
      <c r="GRY46" s="78"/>
      <c r="GRZ46" s="78"/>
      <c r="GSA46" s="78"/>
      <c r="GSB46" s="78"/>
      <c r="GSC46" s="78"/>
      <c r="GSD46" s="78"/>
      <c r="GSE46" s="78"/>
      <c r="GSF46" s="78"/>
      <c r="GSG46" s="78"/>
      <c r="GSH46" s="78"/>
      <c r="GSI46" s="78"/>
      <c r="GSJ46" s="78"/>
      <c r="GSK46" s="78"/>
      <c r="GSL46" s="78"/>
      <c r="GSM46" s="78"/>
      <c r="GSN46" s="78"/>
      <c r="GSO46" s="78"/>
      <c r="GSP46" s="78"/>
      <c r="GSQ46" s="78"/>
      <c r="GSR46" s="78"/>
      <c r="GSS46" s="78"/>
      <c r="GST46" s="78"/>
      <c r="GSU46" s="78"/>
      <c r="GSV46" s="78"/>
      <c r="GSW46" s="78"/>
      <c r="GSX46" s="78"/>
      <c r="GSY46" s="78"/>
      <c r="GSZ46" s="78"/>
      <c r="GTA46" s="78"/>
      <c r="GTB46" s="78"/>
      <c r="GTC46" s="78"/>
      <c r="GTD46" s="78"/>
      <c r="GTE46" s="78"/>
      <c r="GTF46" s="78"/>
      <c r="GTG46" s="78"/>
      <c r="GTH46" s="78"/>
      <c r="GTI46" s="78"/>
      <c r="GTJ46" s="78"/>
      <c r="GTK46" s="78"/>
      <c r="GTL46" s="78"/>
      <c r="GTM46" s="78"/>
      <c r="GTN46" s="78"/>
      <c r="GTO46" s="78"/>
      <c r="GTP46" s="78"/>
      <c r="GTQ46" s="78"/>
      <c r="GTR46" s="78"/>
      <c r="GTS46" s="78"/>
      <c r="GTT46" s="78"/>
      <c r="GTU46" s="78"/>
      <c r="GTV46" s="78"/>
      <c r="GTW46" s="78"/>
      <c r="GTX46" s="78"/>
      <c r="GTY46" s="78"/>
      <c r="GTZ46" s="78"/>
      <c r="GUA46" s="78"/>
      <c r="GUB46" s="78"/>
      <c r="GUC46" s="78"/>
      <c r="GUD46" s="78"/>
      <c r="GUE46" s="78"/>
      <c r="GUF46" s="78"/>
      <c r="GUG46" s="78"/>
      <c r="GUH46" s="78"/>
      <c r="GUI46" s="78"/>
      <c r="GUJ46" s="78"/>
      <c r="GUK46" s="78"/>
      <c r="GUL46" s="78"/>
      <c r="GUM46" s="78"/>
      <c r="GUN46" s="78"/>
      <c r="GUO46" s="78"/>
      <c r="GUP46" s="78"/>
      <c r="GUQ46" s="78"/>
      <c r="GUR46" s="78"/>
      <c r="GUS46" s="78"/>
      <c r="GUT46" s="78"/>
      <c r="GUU46" s="78"/>
      <c r="GUV46" s="78"/>
      <c r="GUW46" s="78"/>
      <c r="GUX46" s="78"/>
      <c r="GUY46" s="78"/>
      <c r="GUZ46" s="78"/>
      <c r="GVA46" s="78"/>
      <c r="GVB46" s="78"/>
      <c r="GVC46" s="78"/>
      <c r="GVD46" s="78"/>
      <c r="GVE46" s="78"/>
      <c r="GVF46" s="78"/>
      <c r="GVG46" s="78"/>
      <c r="GVH46" s="78"/>
      <c r="GVI46" s="78"/>
      <c r="GVJ46" s="78"/>
      <c r="GVK46" s="78"/>
      <c r="GVL46" s="78"/>
      <c r="GVM46" s="78"/>
      <c r="GVN46" s="78"/>
      <c r="GVO46" s="78"/>
      <c r="GVP46" s="78"/>
      <c r="GVQ46" s="78"/>
      <c r="GVR46" s="78"/>
      <c r="GVS46" s="78"/>
      <c r="GVT46" s="78"/>
      <c r="GVU46" s="78"/>
      <c r="GVV46" s="78"/>
      <c r="GVW46" s="78"/>
      <c r="GVX46" s="78"/>
      <c r="GVY46" s="78"/>
      <c r="GVZ46" s="78"/>
      <c r="GWA46" s="78"/>
      <c r="GWB46" s="78"/>
      <c r="GWC46" s="78"/>
      <c r="GWD46" s="78"/>
      <c r="GWE46" s="78"/>
      <c r="GWF46" s="78"/>
      <c r="GWG46" s="78"/>
      <c r="GWH46" s="78"/>
      <c r="GWI46" s="78"/>
      <c r="GWJ46" s="78"/>
      <c r="GWK46" s="78"/>
      <c r="GWL46" s="78"/>
      <c r="GWM46" s="78"/>
      <c r="GWN46" s="78"/>
      <c r="GWO46" s="78"/>
      <c r="GWP46" s="78"/>
      <c r="GWQ46" s="78"/>
      <c r="GWR46" s="78"/>
      <c r="GWS46" s="78"/>
      <c r="GWT46" s="78"/>
      <c r="GWU46" s="78"/>
      <c r="GWV46" s="78"/>
      <c r="GWW46" s="78"/>
      <c r="GWX46" s="78"/>
      <c r="GWY46" s="78"/>
      <c r="GWZ46" s="78"/>
      <c r="GXA46" s="78"/>
      <c r="GXB46" s="78"/>
      <c r="GXC46" s="78"/>
      <c r="GXD46" s="78"/>
      <c r="GXE46" s="78"/>
      <c r="GXF46" s="78"/>
      <c r="GXG46" s="78"/>
      <c r="GXH46" s="78"/>
      <c r="GXI46" s="78"/>
      <c r="GXJ46" s="78"/>
      <c r="GXK46" s="78"/>
      <c r="GXL46" s="78"/>
      <c r="GXM46" s="78"/>
      <c r="GXN46" s="78"/>
      <c r="GXO46" s="78"/>
      <c r="GXP46" s="78"/>
      <c r="GXQ46" s="78"/>
      <c r="GXR46" s="78"/>
      <c r="GXS46" s="78"/>
      <c r="GXT46" s="78"/>
      <c r="GXU46" s="78"/>
      <c r="GXV46" s="78"/>
      <c r="GXW46" s="78"/>
      <c r="GXX46" s="78"/>
      <c r="GXY46" s="78"/>
      <c r="GXZ46" s="78"/>
      <c r="GYA46" s="78"/>
      <c r="GYB46" s="78"/>
      <c r="GYC46" s="78"/>
      <c r="GYD46" s="78"/>
      <c r="GYE46" s="78"/>
      <c r="GYF46" s="78"/>
      <c r="GYG46" s="78"/>
      <c r="GYH46" s="78"/>
      <c r="GYI46" s="78"/>
      <c r="GYJ46" s="78"/>
      <c r="GYK46" s="78"/>
      <c r="GYL46" s="78"/>
      <c r="GYM46" s="78"/>
      <c r="GYN46" s="78"/>
      <c r="GYO46" s="78"/>
      <c r="GYP46" s="78"/>
      <c r="GYQ46" s="78"/>
      <c r="GYR46" s="78"/>
      <c r="GYS46" s="78"/>
      <c r="GYT46" s="78"/>
      <c r="GYU46" s="78"/>
      <c r="GYV46" s="78"/>
      <c r="GYW46" s="78"/>
      <c r="GYX46" s="78"/>
      <c r="GYY46" s="78"/>
      <c r="GYZ46" s="78"/>
      <c r="GZA46" s="78"/>
      <c r="GZB46" s="78"/>
      <c r="GZC46" s="78"/>
      <c r="GZD46" s="78"/>
      <c r="GZE46" s="78"/>
      <c r="GZF46" s="78"/>
      <c r="GZG46" s="78"/>
      <c r="GZH46" s="78"/>
      <c r="GZI46" s="78"/>
      <c r="GZJ46" s="78"/>
      <c r="GZK46" s="78"/>
      <c r="GZL46" s="78"/>
      <c r="GZM46" s="78"/>
      <c r="GZN46" s="78"/>
      <c r="GZO46" s="78"/>
      <c r="GZP46" s="78"/>
      <c r="GZQ46" s="78"/>
      <c r="GZR46" s="78"/>
      <c r="GZS46" s="78"/>
      <c r="GZT46" s="78"/>
      <c r="GZU46" s="78"/>
      <c r="GZV46" s="78"/>
      <c r="GZW46" s="78"/>
      <c r="GZX46" s="78"/>
      <c r="GZY46" s="78"/>
      <c r="GZZ46" s="78"/>
      <c r="HAA46" s="78"/>
      <c r="HAB46" s="78"/>
      <c r="HAC46" s="78"/>
      <c r="HAD46" s="78"/>
      <c r="HAE46" s="78"/>
      <c r="HAF46" s="78"/>
      <c r="HAG46" s="78"/>
      <c r="HAH46" s="78"/>
      <c r="HAI46" s="78"/>
      <c r="HAJ46" s="78"/>
      <c r="HAK46" s="78"/>
      <c r="HAL46" s="78"/>
      <c r="HAM46" s="78"/>
      <c r="HAN46" s="78"/>
      <c r="HAO46" s="78"/>
      <c r="HAP46" s="78"/>
      <c r="HAQ46" s="78"/>
      <c r="HAR46" s="78"/>
      <c r="HAS46" s="78"/>
      <c r="HAT46" s="78"/>
      <c r="HAU46" s="78"/>
      <c r="HAV46" s="78"/>
      <c r="HAW46" s="78"/>
      <c r="HAX46" s="78"/>
      <c r="HAY46" s="78"/>
      <c r="HAZ46" s="78"/>
      <c r="HBA46" s="78"/>
      <c r="HBB46" s="78"/>
      <c r="HBC46" s="78"/>
      <c r="HBD46" s="78"/>
      <c r="HBE46" s="78"/>
      <c r="HBF46" s="78"/>
      <c r="HBG46" s="78"/>
      <c r="HBH46" s="78"/>
      <c r="HBI46" s="78"/>
      <c r="HBJ46" s="78"/>
      <c r="HBK46" s="78"/>
      <c r="HBL46" s="78"/>
      <c r="HBM46" s="78"/>
      <c r="HBN46" s="78"/>
      <c r="HBO46" s="78"/>
      <c r="HBP46" s="78"/>
      <c r="HBQ46" s="78"/>
      <c r="HBR46" s="78"/>
      <c r="HBS46" s="78"/>
      <c r="HBT46" s="78"/>
      <c r="HBU46" s="78"/>
      <c r="HBV46" s="78"/>
      <c r="HBW46" s="78"/>
      <c r="HBX46" s="78"/>
      <c r="HBY46" s="78"/>
      <c r="HBZ46" s="78"/>
      <c r="HCA46" s="78"/>
      <c r="HCB46" s="78"/>
      <c r="HCC46" s="78"/>
      <c r="HCD46" s="78"/>
      <c r="HCE46" s="78"/>
      <c r="HCF46" s="78"/>
      <c r="HCG46" s="78"/>
      <c r="HCH46" s="78"/>
      <c r="HCI46" s="78"/>
      <c r="HCJ46" s="78"/>
      <c r="HCK46" s="78"/>
      <c r="HCL46" s="78"/>
      <c r="HCM46" s="78"/>
      <c r="HCN46" s="78"/>
      <c r="HCO46" s="78"/>
      <c r="HCP46" s="78"/>
      <c r="HCQ46" s="78"/>
      <c r="HCR46" s="78"/>
      <c r="HCS46" s="78"/>
      <c r="HCT46" s="78"/>
      <c r="HCU46" s="78"/>
      <c r="HCV46" s="78"/>
      <c r="HCW46" s="78"/>
      <c r="HCX46" s="78"/>
      <c r="HCY46" s="78"/>
      <c r="HCZ46" s="78"/>
      <c r="HDA46" s="78"/>
      <c r="HDB46" s="78"/>
      <c r="HDC46" s="78"/>
      <c r="HDD46" s="78"/>
      <c r="HDE46" s="78"/>
      <c r="HDF46" s="78"/>
      <c r="HDG46" s="78"/>
      <c r="HDH46" s="78"/>
      <c r="HDI46" s="78"/>
      <c r="HDJ46" s="78"/>
      <c r="HDK46" s="78"/>
      <c r="HDL46" s="78"/>
      <c r="HDM46" s="78"/>
      <c r="HDN46" s="78"/>
      <c r="HDO46" s="78"/>
      <c r="HDP46" s="78"/>
      <c r="HDQ46" s="78"/>
      <c r="HDR46" s="78"/>
      <c r="HDS46" s="78"/>
      <c r="HDT46" s="78"/>
      <c r="HDU46" s="78"/>
      <c r="HDV46" s="78"/>
      <c r="HDW46" s="78"/>
      <c r="HDX46" s="78"/>
      <c r="HDY46" s="78"/>
      <c r="HDZ46" s="78"/>
      <c r="HEA46" s="78"/>
      <c r="HEB46" s="78"/>
      <c r="HEC46" s="78"/>
      <c r="HED46" s="78"/>
      <c r="HEE46" s="78"/>
      <c r="HEF46" s="78"/>
      <c r="HEG46" s="78"/>
      <c r="HEH46" s="78"/>
      <c r="HEI46" s="78"/>
      <c r="HEJ46" s="78"/>
      <c r="HEK46" s="78"/>
      <c r="HEL46" s="78"/>
      <c r="HEM46" s="78"/>
      <c r="HEN46" s="78"/>
      <c r="HEO46" s="78"/>
      <c r="HEP46" s="78"/>
      <c r="HEQ46" s="78"/>
      <c r="HER46" s="78"/>
      <c r="HES46" s="78"/>
      <c r="HET46" s="78"/>
      <c r="HEU46" s="78"/>
      <c r="HEV46" s="78"/>
      <c r="HEW46" s="78"/>
      <c r="HEX46" s="78"/>
      <c r="HEY46" s="78"/>
      <c r="HEZ46" s="78"/>
      <c r="HFA46" s="78"/>
      <c r="HFB46" s="78"/>
      <c r="HFC46" s="78"/>
      <c r="HFD46" s="78"/>
      <c r="HFE46" s="78"/>
      <c r="HFF46" s="78"/>
      <c r="HFG46" s="78"/>
      <c r="HFH46" s="78"/>
      <c r="HFI46" s="78"/>
      <c r="HFJ46" s="78"/>
      <c r="HFK46" s="78"/>
      <c r="HFL46" s="78"/>
      <c r="HFM46" s="78"/>
      <c r="HFN46" s="78"/>
      <c r="HFO46" s="78"/>
      <c r="HFP46" s="78"/>
      <c r="HFQ46" s="78"/>
      <c r="HFR46" s="78"/>
      <c r="HFS46" s="78"/>
      <c r="HFT46" s="78"/>
      <c r="HFU46" s="78"/>
      <c r="HFV46" s="78"/>
      <c r="HFW46" s="78"/>
      <c r="HFX46" s="78"/>
      <c r="HFY46" s="78"/>
      <c r="HFZ46" s="78"/>
      <c r="HGA46" s="78"/>
      <c r="HGB46" s="78"/>
      <c r="HGC46" s="78"/>
      <c r="HGD46" s="78"/>
      <c r="HGE46" s="78"/>
      <c r="HGF46" s="78"/>
      <c r="HGG46" s="78"/>
      <c r="HGH46" s="78"/>
      <c r="HGI46" s="78"/>
      <c r="HGJ46" s="78"/>
      <c r="HGK46" s="78"/>
      <c r="HGL46" s="78"/>
      <c r="HGM46" s="78"/>
      <c r="HGN46" s="78"/>
      <c r="HGO46" s="78"/>
      <c r="HGP46" s="78"/>
      <c r="HGQ46" s="78"/>
      <c r="HGR46" s="78"/>
      <c r="HGS46" s="78"/>
      <c r="HGT46" s="78"/>
      <c r="HGU46" s="78"/>
      <c r="HGV46" s="78"/>
      <c r="HGW46" s="78"/>
      <c r="HGX46" s="78"/>
      <c r="HGY46" s="78"/>
      <c r="HGZ46" s="78"/>
      <c r="HHA46" s="78"/>
      <c r="HHB46" s="78"/>
      <c r="HHC46" s="78"/>
      <c r="HHD46" s="78"/>
      <c r="HHE46" s="78"/>
      <c r="HHF46" s="78"/>
      <c r="HHG46" s="78"/>
      <c r="HHH46" s="78"/>
      <c r="HHI46" s="78"/>
      <c r="HHJ46" s="78"/>
      <c r="HHK46" s="78"/>
      <c r="HHL46" s="78"/>
      <c r="HHM46" s="78"/>
      <c r="HHN46" s="78"/>
      <c r="HHO46" s="78"/>
      <c r="HHP46" s="78"/>
      <c r="HHQ46" s="78"/>
      <c r="HHR46" s="78"/>
      <c r="HHS46" s="78"/>
      <c r="HHT46" s="78"/>
      <c r="HHU46" s="78"/>
      <c r="HHV46" s="78"/>
      <c r="HHW46" s="78"/>
      <c r="HHX46" s="78"/>
      <c r="HHY46" s="78"/>
      <c r="HHZ46" s="78"/>
      <c r="HIA46" s="78"/>
      <c r="HIB46" s="78"/>
      <c r="HIC46" s="78"/>
      <c r="HID46" s="78"/>
      <c r="HIE46" s="78"/>
      <c r="HIF46" s="78"/>
      <c r="HIG46" s="78"/>
      <c r="HIH46" s="78"/>
      <c r="HII46" s="78"/>
      <c r="HIJ46" s="78"/>
      <c r="HIK46" s="78"/>
      <c r="HIL46" s="78"/>
      <c r="HIM46" s="78"/>
      <c r="HIN46" s="78"/>
      <c r="HIO46" s="78"/>
      <c r="HIP46" s="78"/>
      <c r="HIQ46" s="78"/>
      <c r="HIR46" s="78"/>
      <c r="HIS46" s="78"/>
      <c r="HIT46" s="78"/>
      <c r="HIU46" s="78"/>
      <c r="HIV46" s="78"/>
      <c r="HIW46" s="78"/>
      <c r="HIX46" s="78"/>
      <c r="HIY46" s="78"/>
      <c r="HIZ46" s="78"/>
      <c r="HJA46" s="78"/>
      <c r="HJB46" s="78"/>
      <c r="HJC46" s="78"/>
      <c r="HJD46" s="78"/>
      <c r="HJE46" s="78"/>
      <c r="HJF46" s="78"/>
      <c r="HJG46" s="78"/>
      <c r="HJH46" s="78"/>
      <c r="HJI46" s="78"/>
      <c r="HJJ46" s="78"/>
      <c r="HJK46" s="78"/>
      <c r="HJL46" s="78"/>
      <c r="HJM46" s="78"/>
      <c r="HJN46" s="78"/>
      <c r="HJO46" s="78"/>
      <c r="HJP46" s="78"/>
      <c r="HJQ46" s="78"/>
      <c r="HJR46" s="78"/>
      <c r="HJS46" s="78"/>
      <c r="HJT46" s="78"/>
      <c r="HJU46" s="78"/>
      <c r="HJV46" s="78"/>
      <c r="HJW46" s="78"/>
      <c r="HJX46" s="78"/>
      <c r="HJY46" s="78"/>
      <c r="HJZ46" s="78"/>
      <c r="HKA46" s="78"/>
      <c r="HKB46" s="78"/>
      <c r="HKC46" s="78"/>
      <c r="HKD46" s="78"/>
      <c r="HKE46" s="78"/>
      <c r="HKF46" s="78"/>
      <c r="HKG46" s="78"/>
      <c r="HKH46" s="78"/>
      <c r="HKI46" s="78"/>
      <c r="HKJ46" s="78"/>
      <c r="HKK46" s="78"/>
      <c r="HKL46" s="78"/>
      <c r="HKM46" s="78"/>
      <c r="HKN46" s="78"/>
      <c r="HKO46" s="78"/>
      <c r="HKP46" s="78"/>
      <c r="HKQ46" s="78"/>
      <c r="HKR46" s="78"/>
      <c r="HKS46" s="78"/>
      <c r="HKT46" s="78"/>
      <c r="HKU46" s="78"/>
      <c r="HKV46" s="78"/>
      <c r="HKW46" s="78"/>
      <c r="HKX46" s="78"/>
      <c r="HKY46" s="78"/>
      <c r="HKZ46" s="78"/>
      <c r="HLA46" s="78"/>
      <c r="HLB46" s="78"/>
      <c r="HLC46" s="78"/>
      <c r="HLD46" s="78"/>
      <c r="HLE46" s="78"/>
      <c r="HLF46" s="78"/>
      <c r="HLG46" s="78"/>
      <c r="HLH46" s="78"/>
      <c r="HLI46" s="78"/>
      <c r="HLJ46" s="78"/>
      <c r="HLK46" s="78"/>
      <c r="HLL46" s="78"/>
      <c r="HLM46" s="78"/>
      <c r="HLN46" s="78"/>
      <c r="HLO46" s="78"/>
      <c r="HLP46" s="78"/>
      <c r="HLQ46" s="78"/>
      <c r="HLR46" s="78"/>
      <c r="HLS46" s="78"/>
      <c r="HLT46" s="78"/>
      <c r="HLU46" s="78"/>
      <c r="HLV46" s="78"/>
      <c r="HLW46" s="78"/>
      <c r="HLX46" s="78"/>
      <c r="HLY46" s="78"/>
      <c r="HLZ46" s="78"/>
      <c r="HMA46" s="78"/>
      <c r="HMB46" s="78"/>
      <c r="HMC46" s="78"/>
      <c r="HMD46" s="78"/>
      <c r="HME46" s="78"/>
      <c r="HMF46" s="78"/>
      <c r="HMG46" s="78"/>
      <c r="HMH46" s="78"/>
      <c r="HMI46" s="78"/>
      <c r="HMJ46" s="78"/>
      <c r="HMK46" s="78"/>
      <c r="HML46" s="78"/>
      <c r="HMM46" s="78"/>
      <c r="HMN46" s="78"/>
      <c r="HMO46" s="78"/>
      <c r="HMP46" s="78"/>
      <c r="HMQ46" s="78"/>
      <c r="HMR46" s="78"/>
      <c r="HMS46" s="78"/>
      <c r="HMT46" s="78"/>
      <c r="HMU46" s="78"/>
      <c r="HMV46" s="78"/>
      <c r="HMW46" s="78"/>
      <c r="HMX46" s="78"/>
      <c r="HMY46" s="78"/>
      <c r="HMZ46" s="78"/>
      <c r="HNA46" s="78"/>
      <c r="HNB46" s="78"/>
      <c r="HNC46" s="78"/>
      <c r="HND46" s="78"/>
      <c r="HNE46" s="78"/>
      <c r="HNF46" s="78"/>
      <c r="HNG46" s="78"/>
      <c r="HNH46" s="78"/>
      <c r="HNI46" s="78"/>
      <c r="HNJ46" s="78"/>
      <c r="HNK46" s="78"/>
      <c r="HNL46" s="78"/>
      <c r="HNM46" s="78"/>
      <c r="HNN46" s="78"/>
      <c r="HNO46" s="78"/>
      <c r="HNP46" s="78"/>
      <c r="HNQ46" s="78"/>
      <c r="HNR46" s="78"/>
      <c r="HNS46" s="78"/>
      <c r="HNT46" s="78"/>
      <c r="HNU46" s="78"/>
      <c r="HNV46" s="78"/>
      <c r="HNW46" s="78"/>
      <c r="HNX46" s="78"/>
      <c r="HNY46" s="78"/>
      <c r="HNZ46" s="78"/>
      <c r="HOA46" s="78"/>
      <c r="HOB46" s="78"/>
      <c r="HOC46" s="78"/>
      <c r="HOD46" s="78"/>
      <c r="HOE46" s="78"/>
      <c r="HOF46" s="78"/>
      <c r="HOG46" s="78"/>
      <c r="HOH46" s="78"/>
      <c r="HOI46" s="78"/>
      <c r="HOJ46" s="78"/>
      <c r="HOK46" s="78"/>
      <c r="HOL46" s="78"/>
      <c r="HOM46" s="78"/>
      <c r="HON46" s="78"/>
      <c r="HOO46" s="78"/>
      <c r="HOP46" s="78"/>
      <c r="HOQ46" s="78"/>
      <c r="HOR46" s="78"/>
      <c r="HOS46" s="78"/>
      <c r="HOT46" s="78"/>
      <c r="HOU46" s="78"/>
      <c r="HOV46" s="78"/>
      <c r="HOW46" s="78"/>
      <c r="HOX46" s="78"/>
      <c r="HOY46" s="78"/>
      <c r="HOZ46" s="78"/>
      <c r="HPA46" s="78"/>
      <c r="HPB46" s="78"/>
      <c r="HPC46" s="78"/>
      <c r="HPD46" s="78"/>
      <c r="HPE46" s="78"/>
      <c r="HPF46" s="78"/>
      <c r="HPG46" s="78"/>
      <c r="HPH46" s="78"/>
      <c r="HPI46" s="78"/>
      <c r="HPJ46" s="78"/>
      <c r="HPK46" s="78"/>
      <c r="HPL46" s="78"/>
      <c r="HPM46" s="78"/>
      <c r="HPN46" s="78"/>
      <c r="HPO46" s="78"/>
      <c r="HPP46" s="78"/>
      <c r="HPQ46" s="78"/>
      <c r="HPR46" s="78"/>
      <c r="HPS46" s="78"/>
      <c r="HPT46" s="78"/>
      <c r="HPU46" s="78"/>
      <c r="HPV46" s="78"/>
      <c r="HPW46" s="78"/>
      <c r="HPX46" s="78"/>
      <c r="HPY46" s="78"/>
      <c r="HPZ46" s="78"/>
      <c r="HQA46" s="78"/>
      <c r="HQB46" s="78"/>
      <c r="HQC46" s="78"/>
      <c r="HQD46" s="78"/>
      <c r="HQE46" s="78"/>
      <c r="HQF46" s="78"/>
      <c r="HQG46" s="78"/>
      <c r="HQH46" s="78"/>
      <c r="HQI46" s="78"/>
      <c r="HQJ46" s="78"/>
      <c r="HQK46" s="78"/>
      <c r="HQL46" s="78"/>
      <c r="HQM46" s="78"/>
      <c r="HQN46" s="78"/>
      <c r="HQO46" s="78"/>
      <c r="HQP46" s="78"/>
      <c r="HQQ46" s="78"/>
      <c r="HQR46" s="78"/>
      <c r="HQS46" s="78"/>
      <c r="HQT46" s="78"/>
      <c r="HQU46" s="78"/>
      <c r="HQV46" s="78"/>
      <c r="HQW46" s="78"/>
      <c r="HQX46" s="78"/>
      <c r="HQY46" s="78"/>
      <c r="HQZ46" s="78"/>
      <c r="HRA46" s="78"/>
      <c r="HRB46" s="78"/>
      <c r="HRC46" s="78"/>
      <c r="HRD46" s="78"/>
      <c r="HRE46" s="78"/>
      <c r="HRF46" s="78"/>
      <c r="HRG46" s="78"/>
      <c r="HRH46" s="78"/>
      <c r="HRI46" s="78"/>
      <c r="HRJ46" s="78"/>
      <c r="HRK46" s="78"/>
      <c r="HRL46" s="78"/>
      <c r="HRM46" s="78"/>
      <c r="HRN46" s="78"/>
      <c r="HRO46" s="78"/>
      <c r="HRP46" s="78"/>
      <c r="HRQ46" s="78"/>
      <c r="HRR46" s="78"/>
      <c r="HRS46" s="78"/>
      <c r="HRT46" s="78"/>
      <c r="HRU46" s="78"/>
      <c r="HRV46" s="78"/>
      <c r="HRW46" s="78"/>
      <c r="HRX46" s="78"/>
      <c r="HRY46" s="78"/>
      <c r="HRZ46" s="78"/>
      <c r="HSA46" s="78"/>
      <c r="HSB46" s="78"/>
      <c r="HSC46" s="78"/>
      <c r="HSD46" s="78"/>
      <c r="HSE46" s="78"/>
      <c r="HSF46" s="78"/>
      <c r="HSG46" s="78"/>
      <c r="HSH46" s="78"/>
      <c r="HSI46" s="78"/>
      <c r="HSJ46" s="78"/>
      <c r="HSK46" s="78"/>
      <c r="HSL46" s="78"/>
      <c r="HSM46" s="78"/>
      <c r="HSN46" s="78"/>
      <c r="HSO46" s="78"/>
      <c r="HSP46" s="78"/>
      <c r="HSQ46" s="78"/>
      <c r="HSR46" s="78"/>
      <c r="HSS46" s="78"/>
      <c r="HST46" s="78"/>
      <c r="HSU46" s="78"/>
      <c r="HSV46" s="78"/>
      <c r="HSW46" s="78"/>
      <c r="HSX46" s="78"/>
      <c r="HSY46" s="78"/>
      <c r="HSZ46" s="78"/>
      <c r="HTA46" s="78"/>
      <c r="HTB46" s="78"/>
      <c r="HTC46" s="78"/>
      <c r="HTD46" s="78"/>
      <c r="HTE46" s="78"/>
      <c r="HTF46" s="78"/>
      <c r="HTG46" s="78"/>
      <c r="HTH46" s="78"/>
      <c r="HTI46" s="78"/>
      <c r="HTJ46" s="78"/>
      <c r="HTK46" s="78"/>
      <c r="HTL46" s="78"/>
      <c r="HTM46" s="78"/>
      <c r="HTN46" s="78"/>
      <c r="HTO46" s="78"/>
      <c r="HTP46" s="78"/>
      <c r="HTQ46" s="78"/>
      <c r="HTR46" s="78"/>
      <c r="HTS46" s="78"/>
      <c r="HTT46" s="78"/>
      <c r="HTU46" s="78"/>
      <c r="HTV46" s="78"/>
      <c r="HTW46" s="78"/>
      <c r="HTX46" s="78"/>
      <c r="HTY46" s="78"/>
      <c r="HTZ46" s="78"/>
      <c r="HUA46" s="78"/>
      <c r="HUB46" s="78"/>
      <c r="HUC46" s="78"/>
      <c r="HUD46" s="78"/>
      <c r="HUE46" s="78"/>
      <c r="HUF46" s="78"/>
      <c r="HUG46" s="78"/>
      <c r="HUH46" s="78"/>
      <c r="HUI46" s="78"/>
      <c r="HUJ46" s="78"/>
      <c r="HUK46" s="78"/>
      <c r="HUL46" s="78"/>
      <c r="HUM46" s="78"/>
      <c r="HUN46" s="78"/>
      <c r="HUO46" s="78"/>
      <c r="HUP46" s="78"/>
      <c r="HUQ46" s="78"/>
      <c r="HUR46" s="78"/>
      <c r="HUS46" s="78"/>
      <c r="HUT46" s="78"/>
      <c r="HUU46" s="78"/>
      <c r="HUV46" s="78"/>
      <c r="HUW46" s="78"/>
      <c r="HUX46" s="78"/>
      <c r="HUY46" s="78"/>
      <c r="HUZ46" s="78"/>
      <c r="HVA46" s="78"/>
      <c r="HVB46" s="78"/>
      <c r="HVC46" s="78"/>
      <c r="HVD46" s="78"/>
      <c r="HVE46" s="78"/>
      <c r="HVF46" s="78"/>
      <c r="HVG46" s="78"/>
      <c r="HVH46" s="78"/>
      <c r="HVI46" s="78"/>
      <c r="HVJ46" s="78"/>
      <c r="HVK46" s="78"/>
      <c r="HVL46" s="78"/>
      <c r="HVM46" s="78"/>
      <c r="HVN46" s="78"/>
      <c r="HVO46" s="78"/>
      <c r="HVP46" s="78"/>
      <c r="HVQ46" s="78"/>
      <c r="HVR46" s="78"/>
      <c r="HVS46" s="78"/>
      <c r="HVT46" s="78"/>
      <c r="HVU46" s="78"/>
      <c r="HVV46" s="78"/>
      <c r="HVW46" s="78"/>
      <c r="HVX46" s="78"/>
      <c r="HVY46" s="78"/>
      <c r="HVZ46" s="78"/>
      <c r="HWA46" s="78"/>
      <c r="HWB46" s="78"/>
      <c r="HWC46" s="78"/>
      <c r="HWD46" s="78"/>
      <c r="HWE46" s="78"/>
      <c r="HWF46" s="78"/>
      <c r="HWG46" s="78"/>
      <c r="HWH46" s="78"/>
      <c r="HWI46" s="78"/>
      <c r="HWJ46" s="78"/>
      <c r="HWK46" s="78"/>
      <c r="HWL46" s="78"/>
      <c r="HWM46" s="78"/>
      <c r="HWN46" s="78"/>
      <c r="HWO46" s="78"/>
      <c r="HWP46" s="78"/>
      <c r="HWQ46" s="78"/>
      <c r="HWR46" s="78"/>
      <c r="HWS46" s="78"/>
      <c r="HWT46" s="78"/>
      <c r="HWU46" s="78"/>
      <c r="HWV46" s="78"/>
      <c r="HWW46" s="78"/>
      <c r="HWX46" s="78"/>
      <c r="HWY46" s="78"/>
      <c r="HWZ46" s="78"/>
      <c r="HXA46" s="78"/>
      <c r="HXB46" s="78"/>
      <c r="HXC46" s="78"/>
      <c r="HXD46" s="78"/>
      <c r="HXE46" s="78"/>
      <c r="HXF46" s="78"/>
      <c r="HXG46" s="78"/>
      <c r="HXH46" s="78"/>
      <c r="HXI46" s="78"/>
      <c r="HXJ46" s="78"/>
      <c r="HXK46" s="78"/>
      <c r="HXL46" s="78"/>
      <c r="HXM46" s="78"/>
      <c r="HXN46" s="78"/>
      <c r="HXO46" s="78"/>
      <c r="HXP46" s="78"/>
      <c r="HXQ46" s="78"/>
      <c r="HXR46" s="78"/>
      <c r="HXS46" s="78"/>
      <c r="HXT46" s="78"/>
      <c r="HXU46" s="78"/>
      <c r="HXV46" s="78"/>
      <c r="HXW46" s="78"/>
      <c r="HXX46" s="78"/>
      <c r="HXY46" s="78"/>
      <c r="HXZ46" s="78"/>
      <c r="HYA46" s="78"/>
      <c r="HYB46" s="78"/>
      <c r="HYC46" s="78"/>
      <c r="HYD46" s="78"/>
      <c r="HYE46" s="78"/>
      <c r="HYF46" s="78"/>
      <c r="HYG46" s="78"/>
      <c r="HYH46" s="78"/>
      <c r="HYI46" s="78"/>
      <c r="HYJ46" s="78"/>
      <c r="HYK46" s="78"/>
      <c r="HYL46" s="78"/>
      <c r="HYM46" s="78"/>
      <c r="HYN46" s="78"/>
      <c r="HYO46" s="78"/>
      <c r="HYP46" s="78"/>
      <c r="HYQ46" s="78"/>
      <c r="HYR46" s="78"/>
      <c r="HYS46" s="78"/>
      <c r="HYT46" s="78"/>
      <c r="HYU46" s="78"/>
      <c r="HYV46" s="78"/>
      <c r="HYW46" s="78"/>
      <c r="HYX46" s="78"/>
      <c r="HYY46" s="78"/>
      <c r="HYZ46" s="78"/>
      <c r="HZA46" s="78"/>
      <c r="HZB46" s="78"/>
      <c r="HZC46" s="78"/>
      <c r="HZD46" s="78"/>
      <c r="HZE46" s="78"/>
      <c r="HZF46" s="78"/>
      <c r="HZG46" s="78"/>
      <c r="HZH46" s="78"/>
      <c r="HZI46" s="78"/>
      <c r="HZJ46" s="78"/>
      <c r="HZK46" s="78"/>
      <c r="HZL46" s="78"/>
      <c r="HZM46" s="78"/>
      <c r="HZN46" s="78"/>
      <c r="HZO46" s="78"/>
      <c r="HZP46" s="78"/>
      <c r="HZQ46" s="78"/>
      <c r="HZR46" s="78"/>
      <c r="HZS46" s="78"/>
      <c r="HZT46" s="78"/>
      <c r="HZU46" s="78"/>
      <c r="HZV46" s="78"/>
      <c r="HZW46" s="78"/>
      <c r="HZX46" s="78"/>
      <c r="HZY46" s="78"/>
      <c r="HZZ46" s="78"/>
      <c r="IAA46" s="78"/>
      <c r="IAB46" s="78"/>
      <c r="IAC46" s="78"/>
      <c r="IAD46" s="78"/>
      <c r="IAE46" s="78"/>
      <c r="IAF46" s="78"/>
      <c r="IAG46" s="78"/>
      <c r="IAH46" s="78"/>
      <c r="IAI46" s="78"/>
      <c r="IAJ46" s="78"/>
      <c r="IAK46" s="78"/>
      <c r="IAL46" s="78"/>
      <c r="IAM46" s="78"/>
      <c r="IAN46" s="78"/>
      <c r="IAO46" s="78"/>
      <c r="IAP46" s="78"/>
      <c r="IAQ46" s="78"/>
      <c r="IAR46" s="78"/>
      <c r="IAS46" s="78"/>
      <c r="IAT46" s="78"/>
      <c r="IAU46" s="78"/>
      <c r="IAV46" s="78"/>
      <c r="IAW46" s="78"/>
      <c r="IAX46" s="78"/>
      <c r="IAY46" s="78"/>
      <c r="IAZ46" s="78"/>
      <c r="IBA46" s="78"/>
      <c r="IBB46" s="78"/>
      <c r="IBC46" s="78"/>
      <c r="IBD46" s="78"/>
      <c r="IBE46" s="78"/>
      <c r="IBF46" s="78"/>
      <c r="IBG46" s="78"/>
      <c r="IBH46" s="78"/>
      <c r="IBI46" s="78"/>
      <c r="IBJ46" s="78"/>
      <c r="IBK46" s="78"/>
      <c r="IBL46" s="78"/>
      <c r="IBM46" s="78"/>
      <c r="IBN46" s="78"/>
      <c r="IBO46" s="78"/>
      <c r="IBP46" s="78"/>
      <c r="IBQ46" s="78"/>
      <c r="IBR46" s="78"/>
      <c r="IBS46" s="78"/>
      <c r="IBT46" s="78"/>
      <c r="IBU46" s="78"/>
      <c r="IBV46" s="78"/>
      <c r="IBW46" s="78"/>
      <c r="IBX46" s="78"/>
      <c r="IBY46" s="78"/>
      <c r="IBZ46" s="78"/>
      <c r="ICA46" s="78"/>
      <c r="ICB46" s="78"/>
      <c r="ICC46" s="78"/>
      <c r="ICD46" s="78"/>
      <c r="ICE46" s="78"/>
      <c r="ICF46" s="78"/>
      <c r="ICG46" s="78"/>
      <c r="ICH46" s="78"/>
      <c r="ICI46" s="78"/>
      <c r="ICJ46" s="78"/>
      <c r="ICK46" s="78"/>
      <c r="ICL46" s="78"/>
      <c r="ICM46" s="78"/>
      <c r="ICN46" s="78"/>
      <c r="ICO46" s="78"/>
      <c r="ICP46" s="78"/>
      <c r="ICQ46" s="78"/>
      <c r="ICR46" s="78"/>
      <c r="ICS46" s="78"/>
      <c r="ICT46" s="78"/>
      <c r="ICU46" s="78"/>
      <c r="ICV46" s="78"/>
      <c r="ICW46" s="78"/>
      <c r="ICX46" s="78"/>
      <c r="ICY46" s="78"/>
      <c r="ICZ46" s="78"/>
      <c r="IDA46" s="78"/>
      <c r="IDB46" s="78"/>
      <c r="IDC46" s="78"/>
      <c r="IDD46" s="78"/>
      <c r="IDE46" s="78"/>
      <c r="IDF46" s="78"/>
      <c r="IDG46" s="78"/>
      <c r="IDH46" s="78"/>
      <c r="IDI46" s="78"/>
      <c r="IDJ46" s="78"/>
      <c r="IDK46" s="78"/>
      <c r="IDL46" s="78"/>
      <c r="IDM46" s="78"/>
      <c r="IDN46" s="78"/>
      <c r="IDO46" s="78"/>
      <c r="IDP46" s="78"/>
      <c r="IDQ46" s="78"/>
      <c r="IDR46" s="78"/>
      <c r="IDS46" s="78"/>
      <c r="IDT46" s="78"/>
      <c r="IDU46" s="78"/>
      <c r="IDV46" s="78"/>
      <c r="IDW46" s="78"/>
      <c r="IDX46" s="78"/>
      <c r="IDY46" s="78"/>
      <c r="IDZ46" s="78"/>
      <c r="IEA46" s="78"/>
      <c r="IEB46" s="78"/>
      <c r="IEC46" s="78"/>
      <c r="IED46" s="78"/>
      <c r="IEE46" s="78"/>
      <c r="IEF46" s="78"/>
      <c r="IEG46" s="78"/>
      <c r="IEH46" s="78"/>
      <c r="IEI46" s="78"/>
      <c r="IEJ46" s="78"/>
      <c r="IEK46" s="78"/>
      <c r="IEL46" s="78"/>
      <c r="IEM46" s="78"/>
      <c r="IEN46" s="78"/>
      <c r="IEO46" s="78"/>
      <c r="IEP46" s="78"/>
      <c r="IEQ46" s="78"/>
      <c r="IER46" s="78"/>
      <c r="IES46" s="78"/>
      <c r="IET46" s="78"/>
      <c r="IEU46" s="78"/>
      <c r="IEV46" s="78"/>
      <c r="IEW46" s="78"/>
      <c r="IEX46" s="78"/>
      <c r="IEY46" s="78"/>
      <c r="IEZ46" s="78"/>
      <c r="IFA46" s="78"/>
      <c r="IFB46" s="78"/>
      <c r="IFC46" s="78"/>
      <c r="IFD46" s="78"/>
      <c r="IFE46" s="78"/>
      <c r="IFF46" s="78"/>
      <c r="IFG46" s="78"/>
      <c r="IFH46" s="78"/>
      <c r="IFI46" s="78"/>
      <c r="IFJ46" s="78"/>
      <c r="IFK46" s="78"/>
      <c r="IFL46" s="78"/>
      <c r="IFM46" s="78"/>
      <c r="IFN46" s="78"/>
      <c r="IFO46" s="78"/>
      <c r="IFP46" s="78"/>
      <c r="IFQ46" s="78"/>
      <c r="IFR46" s="78"/>
      <c r="IFS46" s="78"/>
      <c r="IFT46" s="78"/>
      <c r="IFU46" s="78"/>
      <c r="IFV46" s="78"/>
      <c r="IFW46" s="78"/>
      <c r="IFX46" s="78"/>
      <c r="IFY46" s="78"/>
      <c r="IFZ46" s="78"/>
      <c r="IGA46" s="78"/>
      <c r="IGB46" s="78"/>
      <c r="IGC46" s="78"/>
      <c r="IGD46" s="78"/>
      <c r="IGE46" s="78"/>
      <c r="IGF46" s="78"/>
      <c r="IGG46" s="78"/>
      <c r="IGH46" s="78"/>
      <c r="IGI46" s="78"/>
      <c r="IGJ46" s="78"/>
      <c r="IGK46" s="78"/>
      <c r="IGL46" s="78"/>
      <c r="IGM46" s="78"/>
      <c r="IGN46" s="78"/>
      <c r="IGO46" s="78"/>
      <c r="IGP46" s="78"/>
      <c r="IGQ46" s="78"/>
      <c r="IGR46" s="78"/>
      <c r="IGS46" s="78"/>
      <c r="IGT46" s="78"/>
      <c r="IGU46" s="78"/>
      <c r="IGV46" s="78"/>
      <c r="IGW46" s="78"/>
      <c r="IGX46" s="78"/>
      <c r="IGY46" s="78"/>
      <c r="IGZ46" s="78"/>
      <c r="IHA46" s="78"/>
      <c r="IHB46" s="78"/>
      <c r="IHC46" s="78"/>
      <c r="IHD46" s="78"/>
      <c r="IHE46" s="78"/>
      <c r="IHF46" s="78"/>
      <c r="IHG46" s="78"/>
      <c r="IHH46" s="78"/>
      <c r="IHI46" s="78"/>
      <c r="IHJ46" s="78"/>
      <c r="IHK46" s="78"/>
      <c r="IHL46" s="78"/>
      <c r="IHM46" s="78"/>
      <c r="IHN46" s="78"/>
      <c r="IHO46" s="78"/>
      <c r="IHP46" s="78"/>
      <c r="IHQ46" s="78"/>
      <c r="IHR46" s="78"/>
      <c r="IHS46" s="78"/>
      <c r="IHT46" s="78"/>
      <c r="IHU46" s="78"/>
      <c r="IHV46" s="78"/>
      <c r="IHW46" s="78"/>
      <c r="IHX46" s="78"/>
      <c r="IHY46" s="78"/>
      <c r="IHZ46" s="78"/>
      <c r="IIA46" s="78"/>
      <c r="IIB46" s="78"/>
      <c r="IIC46" s="78"/>
      <c r="IID46" s="78"/>
      <c r="IIE46" s="78"/>
      <c r="IIF46" s="78"/>
      <c r="IIG46" s="78"/>
      <c r="IIH46" s="78"/>
      <c r="III46" s="78"/>
      <c r="IIJ46" s="78"/>
      <c r="IIK46" s="78"/>
      <c r="IIL46" s="78"/>
      <c r="IIM46" s="78"/>
      <c r="IIN46" s="78"/>
      <c r="IIO46" s="78"/>
      <c r="IIP46" s="78"/>
      <c r="IIQ46" s="78"/>
      <c r="IIR46" s="78"/>
      <c r="IIS46" s="78"/>
      <c r="IIT46" s="78"/>
      <c r="IIU46" s="78"/>
      <c r="IIV46" s="78"/>
      <c r="IIW46" s="78"/>
      <c r="IIX46" s="78"/>
      <c r="IIY46" s="78"/>
      <c r="IIZ46" s="78"/>
      <c r="IJA46" s="78"/>
      <c r="IJB46" s="78"/>
      <c r="IJC46" s="78"/>
      <c r="IJD46" s="78"/>
      <c r="IJE46" s="78"/>
      <c r="IJF46" s="78"/>
      <c r="IJG46" s="78"/>
      <c r="IJH46" s="78"/>
      <c r="IJI46" s="78"/>
      <c r="IJJ46" s="78"/>
      <c r="IJK46" s="78"/>
      <c r="IJL46" s="78"/>
      <c r="IJM46" s="78"/>
      <c r="IJN46" s="78"/>
      <c r="IJO46" s="78"/>
      <c r="IJP46" s="78"/>
      <c r="IJQ46" s="78"/>
      <c r="IJR46" s="78"/>
      <c r="IJS46" s="78"/>
      <c r="IJT46" s="78"/>
      <c r="IJU46" s="78"/>
      <c r="IJV46" s="78"/>
      <c r="IJW46" s="78"/>
      <c r="IJX46" s="78"/>
      <c r="IJY46" s="78"/>
      <c r="IJZ46" s="78"/>
      <c r="IKA46" s="78"/>
      <c r="IKB46" s="78"/>
      <c r="IKC46" s="78"/>
      <c r="IKD46" s="78"/>
      <c r="IKE46" s="78"/>
      <c r="IKF46" s="78"/>
      <c r="IKG46" s="78"/>
      <c r="IKH46" s="78"/>
      <c r="IKI46" s="78"/>
      <c r="IKJ46" s="78"/>
      <c r="IKK46" s="78"/>
      <c r="IKL46" s="78"/>
      <c r="IKM46" s="78"/>
      <c r="IKN46" s="78"/>
      <c r="IKO46" s="78"/>
      <c r="IKP46" s="78"/>
      <c r="IKQ46" s="78"/>
      <c r="IKR46" s="78"/>
      <c r="IKS46" s="78"/>
      <c r="IKT46" s="78"/>
      <c r="IKU46" s="78"/>
      <c r="IKV46" s="78"/>
      <c r="IKW46" s="78"/>
      <c r="IKX46" s="78"/>
      <c r="IKY46" s="78"/>
      <c r="IKZ46" s="78"/>
      <c r="ILA46" s="78"/>
      <c r="ILB46" s="78"/>
      <c r="ILC46" s="78"/>
      <c r="ILD46" s="78"/>
      <c r="ILE46" s="78"/>
      <c r="ILF46" s="78"/>
      <c r="ILG46" s="78"/>
      <c r="ILH46" s="78"/>
      <c r="ILI46" s="78"/>
      <c r="ILJ46" s="78"/>
      <c r="ILK46" s="78"/>
      <c r="ILL46" s="78"/>
      <c r="ILM46" s="78"/>
      <c r="ILN46" s="78"/>
      <c r="ILO46" s="78"/>
      <c r="ILP46" s="78"/>
      <c r="ILQ46" s="78"/>
      <c r="ILR46" s="78"/>
      <c r="ILS46" s="78"/>
      <c r="ILT46" s="78"/>
      <c r="ILU46" s="78"/>
      <c r="ILV46" s="78"/>
      <c r="ILW46" s="78"/>
      <c r="ILX46" s="78"/>
      <c r="ILY46" s="78"/>
      <c r="ILZ46" s="78"/>
      <c r="IMA46" s="78"/>
      <c r="IMB46" s="78"/>
      <c r="IMC46" s="78"/>
      <c r="IMD46" s="78"/>
      <c r="IME46" s="78"/>
      <c r="IMF46" s="78"/>
      <c r="IMG46" s="78"/>
      <c r="IMH46" s="78"/>
      <c r="IMI46" s="78"/>
      <c r="IMJ46" s="78"/>
      <c r="IMK46" s="78"/>
      <c r="IML46" s="78"/>
      <c r="IMM46" s="78"/>
      <c r="IMN46" s="78"/>
      <c r="IMO46" s="78"/>
      <c r="IMP46" s="78"/>
      <c r="IMQ46" s="78"/>
      <c r="IMR46" s="78"/>
      <c r="IMS46" s="78"/>
      <c r="IMT46" s="78"/>
      <c r="IMU46" s="78"/>
      <c r="IMV46" s="78"/>
      <c r="IMW46" s="78"/>
      <c r="IMX46" s="78"/>
      <c r="IMY46" s="78"/>
      <c r="IMZ46" s="78"/>
      <c r="INA46" s="78"/>
      <c r="INB46" s="78"/>
      <c r="INC46" s="78"/>
      <c r="IND46" s="78"/>
      <c r="INE46" s="78"/>
      <c r="INF46" s="78"/>
      <c r="ING46" s="78"/>
      <c r="INH46" s="78"/>
      <c r="INI46" s="78"/>
      <c r="INJ46" s="78"/>
      <c r="INK46" s="78"/>
      <c r="INL46" s="78"/>
      <c r="INM46" s="78"/>
      <c r="INN46" s="78"/>
      <c r="INO46" s="78"/>
      <c r="INP46" s="78"/>
      <c r="INQ46" s="78"/>
      <c r="INR46" s="78"/>
      <c r="INS46" s="78"/>
      <c r="INT46" s="78"/>
      <c r="INU46" s="78"/>
      <c r="INV46" s="78"/>
      <c r="INW46" s="78"/>
      <c r="INX46" s="78"/>
      <c r="INY46" s="78"/>
      <c r="INZ46" s="78"/>
      <c r="IOA46" s="78"/>
      <c r="IOB46" s="78"/>
      <c r="IOC46" s="78"/>
      <c r="IOD46" s="78"/>
      <c r="IOE46" s="78"/>
      <c r="IOF46" s="78"/>
      <c r="IOG46" s="78"/>
      <c r="IOH46" s="78"/>
      <c r="IOI46" s="78"/>
      <c r="IOJ46" s="78"/>
      <c r="IOK46" s="78"/>
      <c r="IOL46" s="78"/>
      <c r="IOM46" s="78"/>
      <c r="ION46" s="78"/>
      <c r="IOO46" s="78"/>
      <c r="IOP46" s="78"/>
      <c r="IOQ46" s="78"/>
      <c r="IOR46" s="78"/>
      <c r="IOS46" s="78"/>
      <c r="IOT46" s="78"/>
      <c r="IOU46" s="78"/>
      <c r="IOV46" s="78"/>
      <c r="IOW46" s="78"/>
      <c r="IOX46" s="78"/>
      <c r="IOY46" s="78"/>
      <c r="IOZ46" s="78"/>
      <c r="IPA46" s="78"/>
      <c r="IPB46" s="78"/>
      <c r="IPC46" s="78"/>
      <c r="IPD46" s="78"/>
      <c r="IPE46" s="78"/>
      <c r="IPF46" s="78"/>
      <c r="IPG46" s="78"/>
      <c r="IPH46" s="78"/>
      <c r="IPI46" s="78"/>
      <c r="IPJ46" s="78"/>
      <c r="IPK46" s="78"/>
      <c r="IPL46" s="78"/>
      <c r="IPM46" s="78"/>
      <c r="IPN46" s="78"/>
      <c r="IPO46" s="78"/>
      <c r="IPP46" s="78"/>
      <c r="IPQ46" s="78"/>
      <c r="IPR46" s="78"/>
      <c r="IPS46" s="78"/>
      <c r="IPT46" s="78"/>
      <c r="IPU46" s="78"/>
      <c r="IPV46" s="78"/>
      <c r="IPW46" s="78"/>
      <c r="IPX46" s="78"/>
      <c r="IPY46" s="78"/>
      <c r="IPZ46" s="78"/>
      <c r="IQA46" s="78"/>
      <c r="IQB46" s="78"/>
      <c r="IQC46" s="78"/>
      <c r="IQD46" s="78"/>
      <c r="IQE46" s="78"/>
      <c r="IQF46" s="78"/>
      <c r="IQG46" s="78"/>
      <c r="IQH46" s="78"/>
      <c r="IQI46" s="78"/>
      <c r="IQJ46" s="78"/>
      <c r="IQK46" s="78"/>
      <c r="IQL46" s="78"/>
      <c r="IQM46" s="78"/>
      <c r="IQN46" s="78"/>
      <c r="IQO46" s="78"/>
      <c r="IQP46" s="78"/>
      <c r="IQQ46" s="78"/>
      <c r="IQR46" s="78"/>
      <c r="IQS46" s="78"/>
      <c r="IQT46" s="78"/>
      <c r="IQU46" s="78"/>
      <c r="IQV46" s="78"/>
      <c r="IQW46" s="78"/>
      <c r="IQX46" s="78"/>
      <c r="IQY46" s="78"/>
      <c r="IQZ46" s="78"/>
      <c r="IRA46" s="78"/>
      <c r="IRB46" s="78"/>
      <c r="IRC46" s="78"/>
      <c r="IRD46" s="78"/>
      <c r="IRE46" s="78"/>
      <c r="IRF46" s="78"/>
      <c r="IRG46" s="78"/>
      <c r="IRH46" s="78"/>
      <c r="IRI46" s="78"/>
      <c r="IRJ46" s="78"/>
      <c r="IRK46" s="78"/>
      <c r="IRL46" s="78"/>
      <c r="IRM46" s="78"/>
      <c r="IRN46" s="78"/>
      <c r="IRO46" s="78"/>
      <c r="IRP46" s="78"/>
      <c r="IRQ46" s="78"/>
      <c r="IRR46" s="78"/>
      <c r="IRS46" s="78"/>
      <c r="IRT46" s="78"/>
      <c r="IRU46" s="78"/>
      <c r="IRV46" s="78"/>
      <c r="IRW46" s="78"/>
      <c r="IRX46" s="78"/>
      <c r="IRY46" s="78"/>
      <c r="IRZ46" s="78"/>
      <c r="ISA46" s="78"/>
      <c r="ISB46" s="78"/>
      <c r="ISC46" s="78"/>
      <c r="ISD46" s="78"/>
      <c r="ISE46" s="78"/>
      <c r="ISF46" s="78"/>
      <c r="ISG46" s="78"/>
      <c r="ISH46" s="78"/>
      <c r="ISI46" s="78"/>
      <c r="ISJ46" s="78"/>
      <c r="ISK46" s="78"/>
      <c r="ISL46" s="78"/>
      <c r="ISM46" s="78"/>
      <c r="ISN46" s="78"/>
      <c r="ISO46" s="78"/>
      <c r="ISP46" s="78"/>
      <c r="ISQ46" s="78"/>
      <c r="ISR46" s="78"/>
      <c r="ISS46" s="78"/>
      <c r="IST46" s="78"/>
      <c r="ISU46" s="78"/>
      <c r="ISV46" s="78"/>
      <c r="ISW46" s="78"/>
      <c r="ISX46" s="78"/>
      <c r="ISY46" s="78"/>
      <c r="ISZ46" s="78"/>
      <c r="ITA46" s="78"/>
      <c r="ITB46" s="78"/>
      <c r="ITC46" s="78"/>
      <c r="ITD46" s="78"/>
      <c r="ITE46" s="78"/>
      <c r="ITF46" s="78"/>
      <c r="ITG46" s="78"/>
      <c r="ITH46" s="78"/>
      <c r="ITI46" s="78"/>
      <c r="ITJ46" s="78"/>
      <c r="ITK46" s="78"/>
      <c r="ITL46" s="78"/>
      <c r="ITM46" s="78"/>
      <c r="ITN46" s="78"/>
      <c r="ITO46" s="78"/>
      <c r="ITP46" s="78"/>
      <c r="ITQ46" s="78"/>
      <c r="ITR46" s="78"/>
      <c r="ITS46" s="78"/>
      <c r="ITT46" s="78"/>
      <c r="ITU46" s="78"/>
      <c r="ITV46" s="78"/>
      <c r="ITW46" s="78"/>
      <c r="ITX46" s="78"/>
      <c r="ITY46" s="78"/>
      <c r="ITZ46" s="78"/>
      <c r="IUA46" s="78"/>
      <c r="IUB46" s="78"/>
      <c r="IUC46" s="78"/>
      <c r="IUD46" s="78"/>
      <c r="IUE46" s="78"/>
      <c r="IUF46" s="78"/>
      <c r="IUG46" s="78"/>
      <c r="IUH46" s="78"/>
      <c r="IUI46" s="78"/>
      <c r="IUJ46" s="78"/>
      <c r="IUK46" s="78"/>
      <c r="IUL46" s="78"/>
      <c r="IUM46" s="78"/>
      <c r="IUN46" s="78"/>
      <c r="IUO46" s="78"/>
      <c r="IUP46" s="78"/>
      <c r="IUQ46" s="78"/>
      <c r="IUR46" s="78"/>
      <c r="IUS46" s="78"/>
      <c r="IUT46" s="78"/>
      <c r="IUU46" s="78"/>
      <c r="IUV46" s="78"/>
      <c r="IUW46" s="78"/>
      <c r="IUX46" s="78"/>
      <c r="IUY46" s="78"/>
      <c r="IUZ46" s="78"/>
      <c r="IVA46" s="78"/>
      <c r="IVB46" s="78"/>
      <c r="IVC46" s="78"/>
      <c r="IVD46" s="78"/>
      <c r="IVE46" s="78"/>
      <c r="IVF46" s="78"/>
      <c r="IVG46" s="78"/>
      <c r="IVH46" s="78"/>
      <c r="IVI46" s="78"/>
      <c r="IVJ46" s="78"/>
      <c r="IVK46" s="78"/>
      <c r="IVL46" s="78"/>
      <c r="IVM46" s="78"/>
      <c r="IVN46" s="78"/>
      <c r="IVO46" s="78"/>
      <c r="IVP46" s="78"/>
      <c r="IVQ46" s="78"/>
      <c r="IVR46" s="78"/>
      <c r="IVS46" s="78"/>
      <c r="IVT46" s="78"/>
      <c r="IVU46" s="78"/>
      <c r="IVV46" s="78"/>
      <c r="IVW46" s="78"/>
      <c r="IVX46" s="78"/>
      <c r="IVY46" s="78"/>
      <c r="IVZ46" s="78"/>
      <c r="IWA46" s="78"/>
      <c r="IWB46" s="78"/>
      <c r="IWC46" s="78"/>
      <c r="IWD46" s="78"/>
      <c r="IWE46" s="78"/>
      <c r="IWF46" s="78"/>
      <c r="IWG46" s="78"/>
      <c r="IWH46" s="78"/>
      <c r="IWI46" s="78"/>
      <c r="IWJ46" s="78"/>
      <c r="IWK46" s="78"/>
      <c r="IWL46" s="78"/>
      <c r="IWM46" s="78"/>
      <c r="IWN46" s="78"/>
      <c r="IWO46" s="78"/>
      <c r="IWP46" s="78"/>
      <c r="IWQ46" s="78"/>
      <c r="IWR46" s="78"/>
      <c r="IWS46" s="78"/>
      <c r="IWT46" s="78"/>
      <c r="IWU46" s="78"/>
      <c r="IWV46" s="78"/>
      <c r="IWW46" s="78"/>
      <c r="IWX46" s="78"/>
      <c r="IWY46" s="78"/>
      <c r="IWZ46" s="78"/>
      <c r="IXA46" s="78"/>
      <c r="IXB46" s="78"/>
      <c r="IXC46" s="78"/>
      <c r="IXD46" s="78"/>
      <c r="IXE46" s="78"/>
      <c r="IXF46" s="78"/>
      <c r="IXG46" s="78"/>
      <c r="IXH46" s="78"/>
      <c r="IXI46" s="78"/>
      <c r="IXJ46" s="78"/>
      <c r="IXK46" s="78"/>
      <c r="IXL46" s="78"/>
      <c r="IXM46" s="78"/>
      <c r="IXN46" s="78"/>
      <c r="IXO46" s="78"/>
      <c r="IXP46" s="78"/>
      <c r="IXQ46" s="78"/>
      <c r="IXR46" s="78"/>
      <c r="IXS46" s="78"/>
      <c r="IXT46" s="78"/>
      <c r="IXU46" s="78"/>
      <c r="IXV46" s="78"/>
      <c r="IXW46" s="78"/>
      <c r="IXX46" s="78"/>
      <c r="IXY46" s="78"/>
      <c r="IXZ46" s="78"/>
      <c r="IYA46" s="78"/>
      <c r="IYB46" s="78"/>
      <c r="IYC46" s="78"/>
      <c r="IYD46" s="78"/>
      <c r="IYE46" s="78"/>
      <c r="IYF46" s="78"/>
      <c r="IYG46" s="78"/>
      <c r="IYH46" s="78"/>
      <c r="IYI46" s="78"/>
      <c r="IYJ46" s="78"/>
      <c r="IYK46" s="78"/>
      <c r="IYL46" s="78"/>
      <c r="IYM46" s="78"/>
      <c r="IYN46" s="78"/>
      <c r="IYO46" s="78"/>
      <c r="IYP46" s="78"/>
      <c r="IYQ46" s="78"/>
      <c r="IYR46" s="78"/>
      <c r="IYS46" s="78"/>
      <c r="IYT46" s="78"/>
      <c r="IYU46" s="78"/>
      <c r="IYV46" s="78"/>
      <c r="IYW46" s="78"/>
      <c r="IYX46" s="78"/>
      <c r="IYY46" s="78"/>
      <c r="IYZ46" s="78"/>
      <c r="IZA46" s="78"/>
      <c r="IZB46" s="78"/>
      <c r="IZC46" s="78"/>
      <c r="IZD46" s="78"/>
      <c r="IZE46" s="78"/>
      <c r="IZF46" s="78"/>
      <c r="IZG46" s="78"/>
      <c r="IZH46" s="78"/>
      <c r="IZI46" s="78"/>
      <c r="IZJ46" s="78"/>
      <c r="IZK46" s="78"/>
      <c r="IZL46" s="78"/>
      <c r="IZM46" s="78"/>
      <c r="IZN46" s="78"/>
      <c r="IZO46" s="78"/>
      <c r="IZP46" s="78"/>
      <c r="IZQ46" s="78"/>
      <c r="IZR46" s="78"/>
      <c r="IZS46" s="78"/>
      <c r="IZT46" s="78"/>
      <c r="IZU46" s="78"/>
      <c r="IZV46" s="78"/>
      <c r="IZW46" s="78"/>
      <c r="IZX46" s="78"/>
      <c r="IZY46" s="78"/>
      <c r="IZZ46" s="78"/>
      <c r="JAA46" s="78"/>
      <c r="JAB46" s="78"/>
      <c r="JAC46" s="78"/>
      <c r="JAD46" s="78"/>
      <c r="JAE46" s="78"/>
      <c r="JAF46" s="78"/>
      <c r="JAG46" s="78"/>
      <c r="JAH46" s="78"/>
      <c r="JAI46" s="78"/>
      <c r="JAJ46" s="78"/>
      <c r="JAK46" s="78"/>
      <c r="JAL46" s="78"/>
      <c r="JAM46" s="78"/>
      <c r="JAN46" s="78"/>
      <c r="JAO46" s="78"/>
      <c r="JAP46" s="78"/>
      <c r="JAQ46" s="78"/>
      <c r="JAR46" s="78"/>
      <c r="JAS46" s="78"/>
      <c r="JAT46" s="78"/>
      <c r="JAU46" s="78"/>
      <c r="JAV46" s="78"/>
      <c r="JAW46" s="78"/>
      <c r="JAX46" s="78"/>
      <c r="JAY46" s="78"/>
      <c r="JAZ46" s="78"/>
      <c r="JBA46" s="78"/>
      <c r="JBB46" s="78"/>
      <c r="JBC46" s="78"/>
      <c r="JBD46" s="78"/>
      <c r="JBE46" s="78"/>
      <c r="JBF46" s="78"/>
      <c r="JBG46" s="78"/>
      <c r="JBH46" s="78"/>
      <c r="JBI46" s="78"/>
      <c r="JBJ46" s="78"/>
      <c r="JBK46" s="78"/>
      <c r="JBL46" s="78"/>
      <c r="JBM46" s="78"/>
      <c r="JBN46" s="78"/>
      <c r="JBO46" s="78"/>
      <c r="JBP46" s="78"/>
      <c r="JBQ46" s="78"/>
      <c r="JBR46" s="78"/>
      <c r="JBS46" s="78"/>
      <c r="JBT46" s="78"/>
      <c r="JBU46" s="78"/>
      <c r="JBV46" s="78"/>
      <c r="JBW46" s="78"/>
      <c r="JBX46" s="78"/>
      <c r="JBY46" s="78"/>
      <c r="JBZ46" s="78"/>
      <c r="JCA46" s="78"/>
      <c r="JCB46" s="78"/>
      <c r="JCC46" s="78"/>
      <c r="JCD46" s="78"/>
      <c r="JCE46" s="78"/>
      <c r="JCF46" s="78"/>
      <c r="JCG46" s="78"/>
      <c r="JCH46" s="78"/>
      <c r="JCI46" s="78"/>
      <c r="JCJ46" s="78"/>
      <c r="JCK46" s="78"/>
      <c r="JCL46" s="78"/>
      <c r="JCM46" s="78"/>
      <c r="JCN46" s="78"/>
      <c r="JCO46" s="78"/>
      <c r="JCP46" s="78"/>
      <c r="JCQ46" s="78"/>
      <c r="JCR46" s="78"/>
      <c r="JCS46" s="78"/>
      <c r="JCT46" s="78"/>
      <c r="JCU46" s="78"/>
      <c r="JCV46" s="78"/>
      <c r="JCW46" s="78"/>
      <c r="JCX46" s="78"/>
      <c r="JCY46" s="78"/>
      <c r="JCZ46" s="78"/>
      <c r="JDA46" s="78"/>
      <c r="JDB46" s="78"/>
      <c r="JDC46" s="78"/>
      <c r="JDD46" s="78"/>
      <c r="JDE46" s="78"/>
      <c r="JDF46" s="78"/>
      <c r="JDG46" s="78"/>
      <c r="JDH46" s="78"/>
      <c r="JDI46" s="78"/>
      <c r="JDJ46" s="78"/>
      <c r="JDK46" s="78"/>
      <c r="JDL46" s="78"/>
      <c r="JDM46" s="78"/>
      <c r="JDN46" s="78"/>
      <c r="JDO46" s="78"/>
      <c r="JDP46" s="78"/>
      <c r="JDQ46" s="78"/>
      <c r="JDR46" s="78"/>
      <c r="JDS46" s="78"/>
      <c r="JDT46" s="78"/>
      <c r="JDU46" s="78"/>
      <c r="JDV46" s="78"/>
      <c r="JDW46" s="78"/>
      <c r="JDX46" s="78"/>
      <c r="JDY46" s="78"/>
      <c r="JDZ46" s="78"/>
      <c r="JEA46" s="78"/>
      <c r="JEB46" s="78"/>
      <c r="JEC46" s="78"/>
      <c r="JED46" s="78"/>
      <c r="JEE46" s="78"/>
      <c r="JEF46" s="78"/>
      <c r="JEG46" s="78"/>
      <c r="JEH46" s="78"/>
      <c r="JEI46" s="78"/>
      <c r="JEJ46" s="78"/>
      <c r="JEK46" s="78"/>
      <c r="JEL46" s="78"/>
      <c r="JEM46" s="78"/>
      <c r="JEN46" s="78"/>
      <c r="JEO46" s="78"/>
      <c r="JEP46" s="78"/>
      <c r="JEQ46" s="78"/>
      <c r="JER46" s="78"/>
      <c r="JES46" s="78"/>
      <c r="JET46" s="78"/>
      <c r="JEU46" s="78"/>
      <c r="JEV46" s="78"/>
      <c r="JEW46" s="78"/>
      <c r="JEX46" s="78"/>
      <c r="JEY46" s="78"/>
      <c r="JEZ46" s="78"/>
      <c r="JFA46" s="78"/>
      <c r="JFB46" s="78"/>
      <c r="JFC46" s="78"/>
      <c r="JFD46" s="78"/>
      <c r="JFE46" s="78"/>
      <c r="JFF46" s="78"/>
      <c r="JFG46" s="78"/>
      <c r="JFH46" s="78"/>
      <c r="JFI46" s="78"/>
      <c r="JFJ46" s="78"/>
      <c r="JFK46" s="78"/>
      <c r="JFL46" s="78"/>
      <c r="JFM46" s="78"/>
      <c r="JFN46" s="78"/>
      <c r="JFO46" s="78"/>
      <c r="JFP46" s="78"/>
      <c r="JFQ46" s="78"/>
      <c r="JFR46" s="78"/>
      <c r="JFS46" s="78"/>
      <c r="JFT46" s="78"/>
      <c r="JFU46" s="78"/>
      <c r="JFV46" s="78"/>
      <c r="JFW46" s="78"/>
      <c r="JFX46" s="78"/>
      <c r="JFY46" s="78"/>
      <c r="JFZ46" s="78"/>
      <c r="JGA46" s="78"/>
      <c r="JGB46" s="78"/>
      <c r="JGC46" s="78"/>
      <c r="JGD46" s="78"/>
      <c r="JGE46" s="78"/>
      <c r="JGF46" s="78"/>
      <c r="JGG46" s="78"/>
      <c r="JGH46" s="78"/>
      <c r="JGI46" s="78"/>
      <c r="JGJ46" s="78"/>
      <c r="JGK46" s="78"/>
      <c r="JGL46" s="78"/>
      <c r="JGM46" s="78"/>
      <c r="JGN46" s="78"/>
      <c r="JGO46" s="78"/>
      <c r="JGP46" s="78"/>
      <c r="JGQ46" s="78"/>
      <c r="JGR46" s="78"/>
      <c r="JGS46" s="78"/>
      <c r="JGT46" s="78"/>
      <c r="JGU46" s="78"/>
      <c r="JGV46" s="78"/>
      <c r="JGW46" s="78"/>
      <c r="JGX46" s="78"/>
      <c r="JGY46" s="78"/>
      <c r="JGZ46" s="78"/>
      <c r="JHA46" s="78"/>
      <c r="JHB46" s="78"/>
      <c r="JHC46" s="78"/>
      <c r="JHD46" s="78"/>
      <c r="JHE46" s="78"/>
      <c r="JHF46" s="78"/>
      <c r="JHG46" s="78"/>
      <c r="JHH46" s="78"/>
      <c r="JHI46" s="78"/>
      <c r="JHJ46" s="78"/>
      <c r="JHK46" s="78"/>
      <c r="JHL46" s="78"/>
      <c r="JHM46" s="78"/>
      <c r="JHN46" s="78"/>
      <c r="JHO46" s="78"/>
      <c r="JHP46" s="78"/>
      <c r="JHQ46" s="78"/>
      <c r="JHR46" s="78"/>
      <c r="JHS46" s="78"/>
      <c r="JHT46" s="78"/>
      <c r="JHU46" s="78"/>
      <c r="JHV46" s="78"/>
      <c r="JHW46" s="78"/>
      <c r="JHX46" s="78"/>
      <c r="JHY46" s="78"/>
      <c r="JHZ46" s="78"/>
      <c r="JIA46" s="78"/>
      <c r="JIB46" s="78"/>
      <c r="JIC46" s="78"/>
      <c r="JID46" s="78"/>
      <c r="JIE46" s="78"/>
      <c r="JIF46" s="78"/>
      <c r="JIG46" s="78"/>
      <c r="JIH46" s="78"/>
      <c r="JII46" s="78"/>
      <c r="JIJ46" s="78"/>
      <c r="JIK46" s="78"/>
      <c r="JIL46" s="78"/>
      <c r="JIM46" s="78"/>
      <c r="JIN46" s="78"/>
      <c r="JIO46" s="78"/>
      <c r="JIP46" s="78"/>
      <c r="JIQ46" s="78"/>
      <c r="JIR46" s="78"/>
      <c r="JIS46" s="78"/>
      <c r="JIT46" s="78"/>
      <c r="JIU46" s="78"/>
      <c r="JIV46" s="78"/>
      <c r="JIW46" s="78"/>
      <c r="JIX46" s="78"/>
      <c r="JIY46" s="78"/>
      <c r="JIZ46" s="78"/>
      <c r="JJA46" s="78"/>
      <c r="JJB46" s="78"/>
      <c r="JJC46" s="78"/>
      <c r="JJD46" s="78"/>
      <c r="JJE46" s="78"/>
      <c r="JJF46" s="78"/>
      <c r="JJG46" s="78"/>
      <c r="JJH46" s="78"/>
      <c r="JJI46" s="78"/>
      <c r="JJJ46" s="78"/>
      <c r="JJK46" s="78"/>
      <c r="JJL46" s="78"/>
      <c r="JJM46" s="78"/>
      <c r="JJN46" s="78"/>
      <c r="JJO46" s="78"/>
      <c r="JJP46" s="78"/>
      <c r="JJQ46" s="78"/>
      <c r="JJR46" s="78"/>
      <c r="JJS46" s="78"/>
      <c r="JJT46" s="78"/>
      <c r="JJU46" s="78"/>
      <c r="JJV46" s="78"/>
      <c r="JJW46" s="78"/>
      <c r="JJX46" s="78"/>
      <c r="JJY46" s="78"/>
      <c r="JJZ46" s="78"/>
      <c r="JKA46" s="78"/>
      <c r="JKB46" s="78"/>
      <c r="JKC46" s="78"/>
      <c r="JKD46" s="78"/>
      <c r="JKE46" s="78"/>
      <c r="JKF46" s="78"/>
      <c r="JKG46" s="78"/>
      <c r="JKH46" s="78"/>
      <c r="JKI46" s="78"/>
      <c r="JKJ46" s="78"/>
      <c r="JKK46" s="78"/>
      <c r="JKL46" s="78"/>
      <c r="JKM46" s="78"/>
      <c r="JKN46" s="78"/>
      <c r="JKO46" s="78"/>
      <c r="JKP46" s="78"/>
      <c r="JKQ46" s="78"/>
      <c r="JKR46" s="78"/>
      <c r="JKS46" s="78"/>
      <c r="JKT46" s="78"/>
      <c r="JKU46" s="78"/>
      <c r="JKV46" s="78"/>
      <c r="JKW46" s="78"/>
      <c r="JKX46" s="78"/>
      <c r="JKY46" s="78"/>
      <c r="JKZ46" s="78"/>
      <c r="JLA46" s="78"/>
      <c r="JLB46" s="78"/>
      <c r="JLC46" s="78"/>
      <c r="JLD46" s="78"/>
      <c r="JLE46" s="78"/>
      <c r="JLF46" s="78"/>
      <c r="JLG46" s="78"/>
      <c r="JLH46" s="78"/>
      <c r="JLI46" s="78"/>
      <c r="JLJ46" s="78"/>
      <c r="JLK46" s="78"/>
      <c r="JLL46" s="78"/>
      <c r="JLM46" s="78"/>
      <c r="JLN46" s="78"/>
      <c r="JLO46" s="78"/>
      <c r="JLP46" s="78"/>
      <c r="JLQ46" s="78"/>
      <c r="JLR46" s="78"/>
      <c r="JLS46" s="78"/>
      <c r="JLT46" s="78"/>
      <c r="JLU46" s="78"/>
      <c r="JLV46" s="78"/>
      <c r="JLW46" s="78"/>
      <c r="JLX46" s="78"/>
      <c r="JLY46" s="78"/>
      <c r="JLZ46" s="78"/>
      <c r="JMA46" s="78"/>
      <c r="JMB46" s="78"/>
      <c r="JMC46" s="78"/>
      <c r="JMD46" s="78"/>
      <c r="JME46" s="78"/>
      <c r="JMF46" s="78"/>
      <c r="JMG46" s="78"/>
      <c r="JMH46" s="78"/>
      <c r="JMI46" s="78"/>
      <c r="JMJ46" s="78"/>
      <c r="JMK46" s="78"/>
      <c r="JML46" s="78"/>
      <c r="JMM46" s="78"/>
      <c r="JMN46" s="78"/>
      <c r="JMO46" s="78"/>
      <c r="JMP46" s="78"/>
      <c r="JMQ46" s="78"/>
      <c r="JMR46" s="78"/>
      <c r="JMS46" s="78"/>
      <c r="JMT46" s="78"/>
      <c r="JMU46" s="78"/>
      <c r="JMV46" s="78"/>
      <c r="JMW46" s="78"/>
      <c r="JMX46" s="78"/>
      <c r="JMY46" s="78"/>
      <c r="JMZ46" s="78"/>
      <c r="JNA46" s="78"/>
      <c r="JNB46" s="78"/>
      <c r="JNC46" s="78"/>
      <c r="JND46" s="78"/>
      <c r="JNE46" s="78"/>
      <c r="JNF46" s="78"/>
      <c r="JNG46" s="78"/>
      <c r="JNH46" s="78"/>
      <c r="JNI46" s="78"/>
      <c r="JNJ46" s="78"/>
      <c r="JNK46" s="78"/>
      <c r="JNL46" s="78"/>
      <c r="JNM46" s="78"/>
      <c r="JNN46" s="78"/>
      <c r="JNO46" s="78"/>
      <c r="JNP46" s="78"/>
      <c r="JNQ46" s="78"/>
      <c r="JNR46" s="78"/>
      <c r="JNS46" s="78"/>
      <c r="JNT46" s="78"/>
      <c r="JNU46" s="78"/>
      <c r="JNV46" s="78"/>
      <c r="JNW46" s="78"/>
      <c r="JNX46" s="78"/>
      <c r="JNY46" s="78"/>
      <c r="JNZ46" s="78"/>
      <c r="JOA46" s="78"/>
      <c r="JOB46" s="78"/>
      <c r="JOC46" s="78"/>
      <c r="JOD46" s="78"/>
      <c r="JOE46" s="78"/>
      <c r="JOF46" s="78"/>
      <c r="JOG46" s="78"/>
      <c r="JOH46" s="78"/>
      <c r="JOI46" s="78"/>
      <c r="JOJ46" s="78"/>
      <c r="JOK46" s="78"/>
      <c r="JOL46" s="78"/>
      <c r="JOM46" s="78"/>
      <c r="JON46" s="78"/>
      <c r="JOO46" s="78"/>
      <c r="JOP46" s="78"/>
      <c r="JOQ46" s="78"/>
      <c r="JOR46" s="78"/>
      <c r="JOS46" s="78"/>
      <c r="JOT46" s="78"/>
      <c r="JOU46" s="78"/>
      <c r="JOV46" s="78"/>
      <c r="JOW46" s="78"/>
      <c r="JOX46" s="78"/>
      <c r="JOY46" s="78"/>
      <c r="JOZ46" s="78"/>
      <c r="JPA46" s="78"/>
      <c r="JPB46" s="78"/>
      <c r="JPC46" s="78"/>
      <c r="JPD46" s="78"/>
      <c r="JPE46" s="78"/>
      <c r="JPF46" s="78"/>
      <c r="JPG46" s="78"/>
      <c r="JPH46" s="78"/>
      <c r="JPI46" s="78"/>
      <c r="JPJ46" s="78"/>
      <c r="JPK46" s="78"/>
      <c r="JPL46" s="78"/>
      <c r="JPM46" s="78"/>
      <c r="JPN46" s="78"/>
      <c r="JPO46" s="78"/>
      <c r="JPP46" s="78"/>
      <c r="JPQ46" s="78"/>
      <c r="JPR46" s="78"/>
      <c r="JPS46" s="78"/>
      <c r="JPT46" s="78"/>
      <c r="JPU46" s="78"/>
      <c r="JPV46" s="78"/>
      <c r="JPW46" s="78"/>
      <c r="JPX46" s="78"/>
      <c r="JPY46" s="78"/>
      <c r="JPZ46" s="78"/>
      <c r="JQA46" s="78"/>
      <c r="JQB46" s="78"/>
      <c r="JQC46" s="78"/>
      <c r="JQD46" s="78"/>
      <c r="JQE46" s="78"/>
      <c r="JQF46" s="78"/>
      <c r="JQG46" s="78"/>
      <c r="JQH46" s="78"/>
      <c r="JQI46" s="78"/>
      <c r="JQJ46" s="78"/>
      <c r="JQK46" s="78"/>
      <c r="JQL46" s="78"/>
      <c r="JQM46" s="78"/>
      <c r="JQN46" s="78"/>
      <c r="JQO46" s="78"/>
      <c r="JQP46" s="78"/>
      <c r="JQQ46" s="78"/>
      <c r="JQR46" s="78"/>
      <c r="JQS46" s="78"/>
      <c r="JQT46" s="78"/>
      <c r="JQU46" s="78"/>
      <c r="JQV46" s="78"/>
      <c r="JQW46" s="78"/>
      <c r="JQX46" s="78"/>
      <c r="JQY46" s="78"/>
      <c r="JQZ46" s="78"/>
      <c r="JRA46" s="78"/>
      <c r="JRB46" s="78"/>
      <c r="JRC46" s="78"/>
      <c r="JRD46" s="78"/>
      <c r="JRE46" s="78"/>
      <c r="JRF46" s="78"/>
      <c r="JRG46" s="78"/>
      <c r="JRH46" s="78"/>
      <c r="JRI46" s="78"/>
      <c r="JRJ46" s="78"/>
      <c r="JRK46" s="78"/>
      <c r="JRL46" s="78"/>
      <c r="JRM46" s="78"/>
      <c r="JRN46" s="78"/>
      <c r="JRO46" s="78"/>
      <c r="JRP46" s="78"/>
      <c r="JRQ46" s="78"/>
      <c r="JRR46" s="78"/>
      <c r="JRS46" s="78"/>
      <c r="JRT46" s="78"/>
      <c r="JRU46" s="78"/>
      <c r="JRV46" s="78"/>
      <c r="JRW46" s="78"/>
      <c r="JRX46" s="78"/>
      <c r="JRY46" s="78"/>
      <c r="JRZ46" s="78"/>
      <c r="JSA46" s="78"/>
      <c r="JSB46" s="78"/>
      <c r="JSC46" s="78"/>
      <c r="JSD46" s="78"/>
      <c r="JSE46" s="78"/>
      <c r="JSF46" s="78"/>
      <c r="JSG46" s="78"/>
      <c r="JSH46" s="78"/>
      <c r="JSI46" s="78"/>
      <c r="JSJ46" s="78"/>
      <c r="JSK46" s="78"/>
      <c r="JSL46" s="78"/>
      <c r="JSM46" s="78"/>
      <c r="JSN46" s="78"/>
      <c r="JSO46" s="78"/>
      <c r="JSP46" s="78"/>
      <c r="JSQ46" s="78"/>
      <c r="JSR46" s="78"/>
      <c r="JSS46" s="78"/>
      <c r="JST46" s="78"/>
      <c r="JSU46" s="78"/>
      <c r="JSV46" s="78"/>
      <c r="JSW46" s="78"/>
      <c r="JSX46" s="78"/>
      <c r="JSY46" s="78"/>
      <c r="JSZ46" s="78"/>
      <c r="JTA46" s="78"/>
      <c r="JTB46" s="78"/>
      <c r="JTC46" s="78"/>
      <c r="JTD46" s="78"/>
      <c r="JTE46" s="78"/>
      <c r="JTF46" s="78"/>
      <c r="JTG46" s="78"/>
      <c r="JTH46" s="78"/>
      <c r="JTI46" s="78"/>
      <c r="JTJ46" s="78"/>
      <c r="JTK46" s="78"/>
      <c r="JTL46" s="78"/>
      <c r="JTM46" s="78"/>
      <c r="JTN46" s="78"/>
      <c r="JTO46" s="78"/>
      <c r="JTP46" s="78"/>
      <c r="JTQ46" s="78"/>
      <c r="JTR46" s="78"/>
      <c r="JTS46" s="78"/>
      <c r="JTT46" s="78"/>
      <c r="JTU46" s="78"/>
      <c r="JTV46" s="78"/>
      <c r="JTW46" s="78"/>
      <c r="JTX46" s="78"/>
      <c r="JTY46" s="78"/>
      <c r="JTZ46" s="78"/>
      <c r="JUA46" s="78"/>
      <c r="JUB46" s="78"/>
      <c r="JUC46" s="78"/>
      <c r="JUD46" s="78"/>
      <c r="JUE46" s="78"/>
      <c r="JUF46" s="78"/>
      <c r="JUG46" s="78"/>
      <c r="JUH46" s="78"/>
      <c r="JUI46" s="78"/>
      <c r="JUJ46" s="78"/>
      <c r="JUK46" s="78"/>
      <c r="JUL46" s="78"/>
      <c r="JUM46" s="78"/>
      <c r="JUN46" s="78"/>
      <c r="JUO46" s="78"/>
      <c r="JUP46" s="78"/>
      <c r="JUQ46" s="78"/>
      <c r="JUR46" s="78"/>
      <c r="JUS46" s="78"/>
      <c r="JUT46" s="78"/>
      <c r="JUU46" s="78"/>
      <c r="JUV46" s="78"/>
      <c r="JUW46" s="78"/>
      <c r="JUX46" s="78"/>
      <c r="JUY46" s="78"/>
      <c r="JUZ46" s="78"/>
      <c r="JVA46" s="78"/>
      <c r="JVB46" s="78"/>
      <c r="JVC46" s="78"/>
      <c r="JVD46" s="78"/>
      <c r="JVE46" s="78"/>
      <c r="JVF46" s="78"/>
      <c r="JVG46" s="78"/>
      <c r="JVH46" s="78"/>
      <c r="JVI46" s="78"/>
      <c r="JVJ46" s="78"/>
      <c r="JVK46" s="78"/>
      <c r="JVL46" s="78"/>
      <c r="JVM46" s="78"/>
      <c r="JVN46" s="78"/>
      <c r="JVO46" s="78"/>
      <c r="JVP46" s="78"/>
      <c r="JVQ46" s="78"/>
      <c r="JVR46" s="78"/>
      <c r="JVS46" s="78"/>
      <c r="JVT46" s="78"/>
      <c r="JVU46" s="78"/>
      <c r="JVV46" s="78"/>
      <c r="JVW46" s="78"/>
      <c r="JVX46" s="78"/>
      <c r="JVY46" s="78"/>
      <c r="JVZ46" s="78"/>
      <c r="JWA46" s="78"/>
      <c r="JWB46" s="78"/>
      <c r="JWC46" s="78"/>
      <c r="JWD46" s="78"/>
      <c r="JWE46" s="78"/>
      <c r="JWF46" s="78"/>
      <c r="JWG46" s="78"/>
      <c r="JWH46" s="78"/>
      <c r="JWI46" s="78"/>
      <c r="JWJ46" s="78"/>
      <c r="JWK46" s="78"/>
      <c r="JWL46" s="78"/>
      <c r="JWM46" s="78"/>
      <c r="JWN46" s="78"/>
      <c r="JWO46" s="78"/>
      <c r="JWP46" s="78"/>
      <c r="JWQ46" s="78"/>
      <c r="JWR46" s="78"/>
      <c r="JWS46" s="78"/>
      <c r="JWT46" s="78"/>
      <c r="JWU46" s="78"/>
      <c r="JWV46" s="78"/>
      <c r="JWW46" s="78"/>
      <c r="JWX46" s="78"/>
      <c r="JWY46" s="78"/>
      <c r="JWZ46" s="78"/>
      <c r="JXA46" s="78"/>
      <c r="JXB46" s="78"/>
      <c r="JXC46" s="78"/>
      <c r="JXD46" s="78"/>
      <c r="JXE46" s="78"/>
      <c r="JXF46" s="78"/>
      <c r="JXG46" s="78"/>
      <c r="JXH46" s="78"/>
      <c r="JXI46" s="78"/>
      <c r="JXJ46" s="78"/>
      <c r="JXK46" s="78"/>
      <c r="JXL46" s="78"/>
      <c r="JXM46" s="78"/>
      <c r="JXN46" s="78"/>
      <c r="JXO46" s="78"/>
      <c r="JXP46" s="78"/>
      <c r="JXQ46" s="78"/>
      <c r="JXR46" s="78"/>
      <c r="JXS46" s="78"/>
      <c r="JXT46" s="78"/>
      <c r="JXU46" s="78"/>
      <c r="JXV46" s="78"/>
      <c r="JXW46" s="78"/>
      <c r="JXX46" s="78"/>
      <c r="JXY46" s="78"/>
      <c r="JXZ46" s="78"/>
      <c r="JYA46" s="78"/>
      <c r="JYB46" s="78"/>
      <c r="JYC46" s="78"/>
      <c r="JYD46" s="78"/>
      <c r="JYE46" s="78"/>
      <c r="JYF46" s="78"/>
      <c r="JYG46" s="78"/>
      <c r="JYH46" s="78"/>
      <c r="JYI46" s="78"/>
      <c r="JYJ46" s="78"/>
      <c r="JYK46" s="78"/>
      <c r="JYL46" s="78"/>
      <c r="JYM46" s="78"/>
      <c r="JYN46" s="78"/>
      <c r="JYO46" s="78"/>
      <c r="JYP46" s="78"/>
      <c r="JYQ46" s="78"/>
      <c r="JYR46" s="78"/>
      <c r="JYS46" s="78"/>
      <c r="JYT46" s="78"/>
      <c r="JYU46" s="78"/>
      <c r="JYV46" s="78"/>
      <c r="JYW46" s="78"/>
      <c r="JYX46" s="78"/>
      <c r="JYY46" s="78"/>
      <c r="JYZ46" s="78"/>
      <c r="JZA46" s="78"/>
      <c r="JZB46" s="78"/>
      <c r="JZC46" s="78"/>
      <c r="JZD46" s="78"/>
      <c r="JZE46" s="78"/>
      <c r="JZF46" s="78"/>
      <c r="JZG46" s="78"/>
      <c r="JZH46" s="78"/>
      <c r="JZI46" s="78"/>
      <c r="JZJ46" s="78"/>
      <c r="JZK46" s="78"/>
      <c r="JZL46" s="78"/>
      <c r="JZM46" s="78"/>
      <c r="JZN46" s="78"/>
      <c r="JZO46" s="78"/>
      <c r="JZP46" s="78"/>
      <c r="JZQ46" s="78"/>
      <c r="JZR46" s="78"/>
      <c r="JZS46" s="78"/>
      <c r="JZT46" s="78"/>
      <c r="JZU46" s="78"/>
      <c r="JZV46" s="78"/>
      <c r="JZW46" s="78"/>
      <c r="JZX46" s="78"/>
      <c r="JZY46" s="78"/>
      <c r="JZZ46" s="78"/>
      <c r="KAA46" s="78"/>
      <c r="KAB46" s="78"/>
      <c r="KAC46" s="78"/>
      <c r="KAD46" s="78"/>
      <c r="KAE46" s="78"/>
      <c r="KAF46" s="78"/>
      <c r="KAG46" s="78"/>
      <c r="KAH46" s="78"/>
      <c r="KAI46" s="78"/>
      <c r="KAJ46" s="78"/>
      <c r="KAK46" s="78"/>
      <c r="KAL46" s="78"/>
      <c r="KAM46" s="78"/>
      <c r="KAN46" s="78"/>
      <c r="KAO46" s="78"/>
      <c r="KAP46" s="78"/>
      <c r="KAQ46" s="78"/>
      <c r="KAR46" s="78"/>
      <c r="KAS46" s="78"/>
      <c r="KAT46" s="78"/>
      <c r="KAU46" s="78"/>
      <c r="KAV46" s="78"/>
      <c r="KAW46" s="78"/>
      <c r="KAX46" s="78"/>
      <c r="KAY46" s="78"/>
      <c r="KAZ46" s="78"/>
      <c r="KBA46" s="78"/>
      <c r="KBB46" s="78"/>
      <c r="KBC46" s="78"/>
      <c r="KBD46" s="78"/>
      <c r="KBE46" s="78"/>
      <c r="KBF46" s="78"/>
      <c r="KBG46" s="78"/>
      <c r="KBH46" s="78"/>
      <c r="KBI46" s="78"/>
      <c r="KBJ46" s="78"/>
      <c r="KBK46" s="78"/>
      <c r="KBL46" s="78"/>
      <c r="KBM46" s="78"/>
      <c r="KBN46" s="78"/>
      <c r="KBO46" s="78"/>
      <c r="KBP46" s="78"/>
      <c r="KBQ46" s="78"/>
      <c r="KBR46" s="78"/>
      <c r="KBS46" s="78"/>
      <c r="KBT46" s="78"/>
      <c r="KBU46" s="78"/>
      <c r="KBV46" s="78"/>
      <c r="KBW46" s="78"/>
      <c r="KBX46" s="78"/>
      <c r="KBY46" s="78"/>
      <c r="KBZ46" s="78"/>
      <c r="KCA46" s="78"/>
      <c r="KCB46" s="78"/>
      <c r="KCC46" s="78"/>
      <c r="KCD46" s="78"/>
      <c r="KCE46" s="78"/>
      <c r="KCF46" s="78"/>
      <c r="KCG46" s="78"/>
      <c r="KCH46" s="78"/>
      <c r="KCI46" s="78"/>
      <c r="KCJ46" s="78"/>
      <c r="KCK46" s="78"/>
      <c r="KCL46" s="78"/>
      <c r="KCM46" s="78"/>
      <c r="KCN46" s="78"/>
      <c r="KCO46" s="78"/>
      <c r="KCP46" s="78"/>
      <c r="KCQ46" s="78"/>
      <c r="KCR46" s="78"/>
      <c r="KCS46" s="78"/>
      <c r="KCT46" s="78"/>
      <c r="KCU46" s="78"/>
      <c r="KCV46" s="78"/>
      <c r="KCW46" s="78"/>
      <c r="KCX46" s="78"/>
      <c r="KCY46" s="78"/>
      <c r="KCZ46" s="78"/>
      <c r="KDA46" s="78"/>
      <c r="KDB46" s="78"/>
      <c r="KDC46" s="78"/>
      <c r="KDD46" s="78"/>
      <c r="KDE46" s="78"/>
      <c r="KDF46" s="78"/>
      <c r="KDG46" s="78"/>
      <c r="KDH46" s="78"/>
      <c r="KDI46" s="78"/>
      <c r="KDJ46" s="78"/>
      <c r="KDK46" s="78"/>
      <c r="KDL46" s="78"/>
      <c r="KDM46" s="78"/>
      <c r="KDN46" s="78"/>
      <c r="KDO46" s="78"/>
      <c r="KDP46" s="78"/>
      <c r="KDQ46" s="78"/>
      <c r="KDR46" s="78"/>
      <c r="KDS46" s="78"/>
      <c r="KDT46" s="78"/>
      <c r="KDU46" s="78"/>
      <c r="KDV46" s="78"/>
      <c r="KDW46" s="78"/>
      <c r="KDX46" s="78"/>
      <c r="KDY46" s="78"/>
      <c r="KDZ46" s="78"/>
      <c r="KEA46" s="78"/>
      <c r="KEB46" s="78"/>
      <c r="KEC46" s="78"/>
      <c r="KED46" s="78"/>
      <c r="KEE46" s="78"/>
      <c r="KEF46" s="78"/>
      <c r="KEG46" s="78"/>
      <c r="KEH46" s="78"/>
      <c r="KEI46" s="78"/>
      <c r="KEJ46" s="78"/>
      <c r="KEK46" s="78"/>
      <c r="KEL46" s="78"/>
      <c r="KEM46" s="78"/>
      <c r="KEN46" s="78"/>
      <c r="KEO46" s="78"/>
      <c r="KEP46" s="78"/>
      <c r="KEQ46" s="78"/>
      <c r="KER46" s="78"/>
      <c r="KES46" s="78"/>
      <c r="KET46" s="78"/>
      <c r="KEU46" s="78"/>
      <c r="KEV46" s="78"/>
      <c r="KEW46" s="78"/>
      <c r="KEX46" s="78"/>
      <c r="KEY46" s="78"/>
      <c r="KEZ46" s="78"/>
      <c r="KFA46" s="78"/>
      <c r="KFB46" s="78"/>
      <c r="KFC46" s="78"/>
      <c r="KFD46" s="78"/>
      <c r="KFE46" s="78"/>
      <c r="KFF46" s="78"/>
      <c r="KFG46" s="78"/>
      <c r="KFH46" s="78"/>
      <c r="KFI46" s="78"/>
      <c r="KFJ46" s="78"/>
      <c r="KFK46" s="78"/>
      <c r="KFL46" s="78"/>
      <c r="KFM46" s="78"/>
      <c r="KFN46" s="78"/>
      <c r="KFO46" s="78"/>
      <c r="KFP46" s="78"/>
      <c r="KFQ46" s="78"/>
      <c r="KFR46" s="78"/>
      <c r="KFS46" s="78"/>
      <c r="KFT46" s="78"/>
      <c r="KFU46" s="78"/>
      <c r="KFV46" s="78"/>
      <c r="KFW46" s="78"/>
      <c r="KFX46" s="78"/>
      <c r="KFY46" s="78"/>
      <c r="KFZ46" s="78"/>
      <c r="KGA46" s="78"/>
      <c r="KGB46" s="78"/>
      <c r="KGC46" s="78"/>
      <c r="KGD46" s="78"/>
      <c r="KGE46" s="78"/>
      <c r="KGF46" s="78"/>
      <c r="KGG46" s="78"/>
      <c r="KGH46" s="78"/>
      <c r="KGI46" s="78"/>
      <c r="KGJ46" s="78"/>
      <c r="KGK46" s="78"/>
      <c r="KGL46" s="78"/>
      <c r="KGM46" s="78"/>
      <c r="KGN46" s="78"/>
      <c r="KGO46" s="78"/>
      <c r="KGP46" s="78"/>
      <c r="KGQ46" s="78"/>
      <c r="KGR46" s="78"/>
      <c r="KGS46" s="78"/>
      <c r="KGT46" s="78"/>
      <c r="KGU46" s="78"/>
      <c r="KGV46" s="78"/>
      <c r="KGW46" s="78"/>
      <c r="KGX46" s="78"/>
      <c r="KGY46" s="78"/>
      <c r="KGZ46" s="78"/>
      <c r="KHA46" s="78"/>
      <c r="KHB46" s="78"/>
      <c r="KHC46" s="78"/>
      <c r="KHD46" s="78"/>
      <c r="KHE46" s="78"/>
      <c r="KHF46" s="78"/>
      <c r="KHG46" s="78"/>
      <c r="KHH46" s="78"/>
      <c r="KHI46" s="78"/>
      <c r="KHJ46" s="78"/>
      <c r="KHK46" s="78"/>
      <c r="KHL46" s="78"/>
      <c r="KHM46" s="78"/>
      <c r="KHN46" s="78"/>
      <c r="KHO46" s="78"/>
      <c r="KHP46" s="78"/>
      <c r="KHQ46" s="78"/>
      <c r="KHR46" s="78"/>
      <c r="KHS46" s="78"/>
      <c r="KHT46" s="78"/>
      <c r="KHU46" s="78"/>
      <c r="KHV46" s="78"/>
      <c r="KHW46" s="78"/>
      <c r="KHX46" s="78"/>
      <c r="KHY46" s="78"/>
      <c r="KHZ46" s="78"/>
      <c r="KIA46" s="78"/>
      <c r="KIB46" s="78"/>
      <c r="KIC46" s="78"/>
      <c r="KID46" s="78"/>
      <c r="KIE46" s="78"/>
      <c r="KIF46" s="78"/>
      <c r="KIG46" s="78"/>
      <c r="KIH46" s="78"/>
      <c r="KII46" s="78"/>
      <c r="KIJ46" s="78"/>
      <c r="KIK46" s="78"/>
      <c r="KIL46" s="78"/>
      <c r="KIM46" s="78"/>
      <c r="KIN46" s="78"/>
      <c r="KIO46" s="78"/>
      <c r="KIP46" s="78"/>
      <c r="KIQ46" s="78"/>
      <c r="KIR46" s="78"/>
      <c r="KIS46" s="78"/>
      <c r="KIT46" s="78"/>
      <c r="KIU46" s="78"/>
      <c r="KIV46" s="78"/>
      <c r="KIW46" s="78"/>
      <c r="KIX46" s="78"/>
      <c r="KIY46" s="78"/>
      <c r="KIZ46" s="78"/>
      <c r="KJA46" s="78"/>
      <c r="KJB46" s="78"/>
      <c r="KJC46" s="78"/>
      <c r="KJD46" s="78"/>
      <c r="KJE46" s="78"/>
      <c r="KJF46" s="78"/>
      <c r="KJG46" s="78"/>
      <c r="KJH46" s="78"/>
      <c r="KJI46" s="78"/>
      <c r="KJJ46" s="78"/>
      <c r="KJK46" s="78"/>
      <c r="KJL46" s="78"/>
      <c r="KJM46" s="78"/>
      <c r="KJN46" s="78"/>
      <c r="KJO46" s="78"/>
      <c r="KJP46" s="78"/>
      <c r="KJQ46" s="78"/>
      <c r="KJR46" s="78"/>
      <c r="KJS46" s="78"/>
      <c r="KJT46" s="78"/>
      <c r="KJU46" s="78"/>
      <c r="KJV46" s="78"/>
      <c r="KJW46" s="78"/>
      <c r="KJX46" s="78"/>
      <c r="KJY46" s="78"/>
      <c r="KJZ46" s="78"/>
      <c r="KKA46" s="78"/>
      <c r="KKB46" s="78"/>
      <c r="KKC46" s="78"/>
      <c r="KKD46" s="78"/>
      <c r="KKE46" s="78"/>
      <c r="KKF46" s="78"/>
      <c r="KKG46" s="78"/>
      <c r="KKH46" s="78"/>
      <c r="KKI46" s="78"/>
      <c r="KKJ46" s="78"/>
      <c r="KKK46" s="78"/>
      <c r="KKL46" s="78"/>
      <c r="KKM46" s="78"/>
      <c r="KKN46" s="78"/>
      <c r="KKO46" s="78"/>
      <c r="KKP46" s="78"/>
      <c r="KKQ46" s="78"/>
      <c r="KKR46" s="78"/>
      <c r="KKS46" s="78"/>
      <c r="KKT46" s="78"/>
      <c r="KKU46" s="78"/>
      <c r="KKV46" s="78"/>
      <c r="KKW46" s="78"/>
      <c r="KKX46" s="78"/>
      <c r="KKY46" s="78"/>
      <c r="KKZ46" s="78"/>
      <c r="KLA46" s="78"/>
      <c r="KLB46" s="78"/>
      <c r="KLC46" s="78"/>
      <c r="KLD46" s="78"/>
      <c r="KLE46" s="78"/>
      <c r="KLF46" s="78"/>
      <c r="KLG46" s="78"/>
      <c r="KLH46" s="78"/>
      <c r="KLI46" s="78"/>
      <c r="KLJ46" s="78"/>
      <c r="KLK46" s="78"/>
      <c r="KLL46" s="78"/>
      <c r="KLM46" s="78"/>
      <c r="KLN46" s="78"/>
      <c r="KLO46" s="78"/>
      <c r="KLP46" s="78"/>
      <c r="KLQ46" s="78"/>
      <c r="KLR46" s="78"/>
      <c r="KLS46" s="78"/>
      <c r="KLT46" s="78"/>
      <c r="KLU46" s="78"/>
      <c r="KLV46" s="78"/>
      <c r="KLW46" s="78"/>
      <c r="KLX46" s="78"/>
      <c r="KLY46" s="78"/>
      <c r="KLZ46" s="78"/>
      <c r="KMA46" s="78"/>
      <c r="KMB46" s="78"/>
      <c r="KMC46" s="78"/>
      <c r="KMD46" s="78"/>
      <c r="KME46" s="78"/>
      <c r="KMF46" s="78"/>
      <c r="KMG46" s="78"/>
      <c r="KMH46" s="78"/>
      <c r="KMI46" s="78"/>
      <c r="KMJ46" s="78"/>
      <c r="KMK46" s="78"/>
      <c r="KML46" s="78"/>
      <c r="KMM46" s="78"/>
      <c r="KMN46" s="78"/>
      <c r="KMO46" s="78"/>
      <c r="KMP46" s="78"/>
      <c r="KMQ46" s="78"/>
      <c r="KMR46" s="78"/>
      <c r="KMS46" s="78"/>
      <c r="KMT46" s="78"/>
      <c r="KMU46" s="78"/>
      <c r="KMV46" s="78"/>
      <c r="KMW46" s="78"/>
      <c r="KMX46" s="78"/>
      <c r="KMY46" s="78"/>
      <c r="KMZ46" s="78"/>
      <c r="KNA46" s="78"/>
      <c r="KNB46" s="78"/>
      <c r="KNC46" s="78"/>
      <c r="KND46" s="78"/>
      <c r="KNE46" s="78"/>
      <c r="KNF46" s="78"/>
      <c r="KNG46" s="78"/>
      <c r="KNH46" s="78"/>
      <c r="KNI46" s="78"/>
      <c r="KNJ46" s="78"/>
      <c r="KNK46" s="78"/>
      <c r="KNL46" s="78"/>
      <c r="KNM46" s="78"/>
      <c r="KNN46" s="78"/>
      <c r="KNO46" s="78"/>
      <c r="KNP46" s="78"/>
      <c r="KNQ46" s="78"/>
      <c r="KNR46" s="78"/>
      <c r="KNS46" s="78"/>
      <c r="KNT46" s="78"/>
      <c r="KNU46" s="78"/>
      <c r="KNV46" s="78"/>
      <c r="KNW46" s="78"/>
      <c r="KNX46" s="78"/>
      <c r="KNY46" s="78"/>
      <c r="KNZ46" s="78"/>
      <c r="KOA46" s="78"/>
      <c r="KOB46" s="78"/>
      <c r="KOC46" s="78"/>
      <c r="KOD46" s="78"/>
      <c r="KOE46" s="78"/>
      <c r="KOF46" s="78"/>
      <c r="KOG46" s="78"/>
      <c r="KOH46" s="78"/>
      <c r="KOI46" s="78"/>
      <c r="KOJ46" s="78"/>
      <c r="KOK46" s="78"/>
      <c r="KOL46" s="78"/>
      <c r="KOM46" s="78"/>
      <c r="KON46" s="78"/>
      <c r="KOO46" s="78"/>
      <c r="KOP46" s="78"/>
      <c r="KOQ46" s="78"/>
      <c r="KOR46" s="78"/>
      <c r="KOS46" s="78"/>
      <c r="KOT46" s="78"/>
      <c r="KOU46" s="78"/>
      <c r="KOV46" s="78"/>
      <c r="KOW46" s="78"/>
      <c r="KOX46" s="78"/>
      <c r="KOY46" s="78"/>
      <c r="KOZ46" s="78"/>
      <c r="KPA46" s="78"/>
      <c r="KPB46" s="78"/>
      <c r="KPC46" s="78"/>
      <c r="KPD46" s="78"/>
      <c r="KPE46" s="78"/>
      <c r="KPF46" s="78"/>
      <c r="KPG46" s="78"/>
      <c r="KPH46" s="78"/>
      <c r="KPI46" s="78"/>
      <c r="KPJ46" s="78"/>
      <c r="KPK46" s="78"/>
      <c r="KPL46" s="78"/>
      <c r="KPM46" s="78"/>
      <c r="KPN46" s="78"/>
      <c r="KPO46" s="78"/>
      <c r="KPP46" s="78"/>
      <c r="KPQ46" s="78"/>
      <c r="KPR46" s="78"/>
      <c r="KPS46" s="78"/>
      <c r="KPT46" s="78"/>
      <c r="KPU46" s="78"/>
      <c r="KPV46" s="78"/>
      <c r="KPW46" s="78"/>
      <c r="KPX46" s="78"/>
      <c r="KPY46" s="78"/>
      <c r="KPZ46" s="78"/>
      <c r="KQA46" s="78"/>
      <c r="KQB46" s="78"/>
      <c r="KQC46" s="78"/>
      <c r="KQD46" s="78"/>
      <c r="KQE46" s="78"/>
      <c r="KQF46" s="78"/>
      <c r="KQG46" s="78"/>
      <c r="KQH46" s="78"/>
      <c r="KQI46" s="78"/>
      <c r="KQJ46" s="78"/>
      <c r="KQK46" s="78"/>
      <c r="KQL46" s="78"/>
      <c r="KQM46" s="78"/>
      <c r="KQN46" s="78"/>
      <c r="KQO46" s="78"/>
      <c r="KQP46" s="78"/>
      <c r="KQQ46" s="78"/>
      <c r="KQR46" s="78"/>
      <c r="KQS46" s="78"/>
      <c r="KQT46" s="78"/>
      <c r="KQU46" s="78"/>
      <c r="KQV46" s="78"/>
      <c r="KQW46" s="78"/>
      <c r="KQX46" s="78"/>
      <c r="KQY46" s="78"/>
      <c r="KQZ46" s="78"/>
      <c r="KRA46" s="78"/>
      <c r="KRB46" s="78"/>
      <c r="KRC46" s="78"/>
      <c r="KRD46" s="78"/>
      <c r="KRE46" s="78"/>
      <c r="KRF46" s="78"/>
      <c r="KRG46" s="78"/>
      <c r="KRH46" s="78"/>
      <c r="KRI46" s="78"/>
      <c r="KRJ46" s="78"/>
      <c r="KRK46" s="78"/>
      <c r="KRL46" s="78"/>
      <c r="KRM46" s="78"/>
      <c r="KRN46" s="78"/>
      <c r="KRO46" s="78"/>
      <c r="KRP46" s="78"/>
      <c r="KRQ46" s="78"/>
      <c r="KRR46" s="78"/>
      <c r="KRS46" s="78"/>
      <c r="KRT46" s="78"/>
      <c r="KRU46" s="78"/>
      <c r="KRV46" s="78"/>
      <c r="KRW46" s="78"/>
      <c r="KRX46" s="78"/>
      <c r="KRY46" s="78"/>
      <c r="KRZ46" s="78"/>
      <c r="KSA46" s="78"/>
      <c r="KSB46" s="78"/>
      <c r="KSC46" s="78"/>
      <c r="KSD46" s="78"/>
      <c r="KSE46" s="78"/>
      <c r="KSF46" s="78"/>
      <c r="KSG46" s="78"/>
      <c r="KSH46" s="78"/>
      <c r="KSI46" s="78"/>
      <c r="KSJ46" s="78"/>
      <c r="KSK46" s="78"/>
      <c r="KSL46" s="78"/>
      <c r="KSM46" s="78"/>
      <c r="KSN46" s="78"/>
      <c r="KSO46" s="78"/>
      <c r="KSP46" s="78"/>
      <c r="KSQ46" s="78"/>
      <c r="KSR46" s="78"/>
      <c r="KSS46" s="78"/>
      <c r="KST46" s="78"/>
      <c r="KSU46" s="78"/>
      <c r="KSV46" s="78"/>
      <c r="KSW46" s="78"/>
      <c r="KSX46" s="78"/>
      <c r="KSY46" s="78"/>
      <c r="KSZ46" s="78"/>
      <c r="KTA46" s="78"/>
      <c r="KTB46" s="78"/>
      <c r="KTC46" s="78"/>
      <c r="KTD46" s="78"/>
      <c r="KTE46" s="78"/>
      <c r="KTF46" s="78"/>
      <c r="KTG46" s="78"/>
      <c r="KTH46" s="78"/>
      <c r="KTI46" s="78"/>
      <c r="KTJ46" s="78"/>
      <c r="KTK46" s="78"/>
      <c r="KTL46" s="78"/>
      <c r="KTM46" s="78"/>
      <c r="KTN46" s="78"/>
      <c r="KTO46" s="78"/>
      <c r="KTP46" s="78"/>
      <c r="KTQ46" s="78"/>
      <c r="KTR46" s="78"/>
      <c r="KTS46" s="78"/>
      <c r="KTT46" s="78"/>
      <c r="KTU46" s="78"/>
      <c r="KTV46" s="78"/>
      <c r="KTW46" s="78"/>
      <c r="KTX46" s="78"/>
      <c r="KTY46" s="78"/>
      <c r="KTZ46" s="78"/>
      <c r="KUA46" s="78"/>
      <c r="KUB46" s="78"/>
      <c r="KUC46" s="78"/>
      <c r="KUD46" s="78"/>
      <c r="KUE46" s="78"/>
      <c r="KUF46" s="78"/>
      <c r="KUG46" s="78"/>
      <c r="KUH46" s="78"/>
      <c r="KUI46" s="78"/>
      <c r="KUJ46" s="78"/>
      <c r="KUK46" s="78"/>
      <c r="KUL46" s="78"/>
      <c r="KUM46" s="78"/>
      <c r="KUN46" s="78"/>
      <c r="KUO46" s="78"/>
      <c r="KUP46" s="78"/>
      <c r="KUQ46" s="78"/>
      <c r="KUR46" s="78"/>
      <c r="KUS46" s="78"/>
      <c r="KUT46" s="78"/>
      <c r="KUU46" s="78"/>
      <c r="KUV46" s="78"/>
      <c r="KUW46" s="78"/>
      <c r="KUX46" s="78"/>
      <c r="KUY46" s="78"/>
      <c r="KUZ46" s="78"/>
      <c r="KVA46" s="78"/>
      <c r="KVB46" s="78"/>
      <c r="KVC46" s="78"/>
      <c r="KVD46" s="78"/>
      <c r="KVE46" s="78"/>
      <c r="KVF46" s="78"/>
      <c r="KVG46" s="78"/>
      <c r="KVH46" s="78"/>
      <c r="KVI46" s="78"/>
      <c r="KVJ46" s="78"/>
      <c r="KVK46" s="78"/>
      <c r="KVL46" s="78"/>
      <c r="KVM46" s="78"/>
      <c r="KVN46" s="78"/>
      <c r="KVO46" s="78"/>
      <c r="KVP46" s="78"/>
      <c r="KVQ46" s="78"/>
      <c r="KVR46" s="78"/>
      <c r="KVS46" s="78"/>
      <c r="KVT46" s="78"/>
      <c r="KVU46" s="78"/>
      <c r="KVV46" s="78"/>
      <c r="KVW46" s="78"/>
      <c r="KVX46" s="78"/>
      <c r="KVY46" s="78"/>
      <c r="KVZ46" s="78"/>
      <c r="KWA46" s="78"/>
      <c r="KWB46" s="78"/>
      <c r="KWC46" s="78"/>
      <c r="KWD46" s="78"/>
      <c r="KWE46" s="78"/>
      <c r="KWF46" s="78"/>
      <c r="KWG46" s="78"/>
      <c r="KWH46" s="78"/>
      <c r="KWI46" s="78"/>
      <c r="KWJ46" s="78"/>
      <c r="KWK46" s="78"/>
      <c r="KWL46" s="78"/>
      <c r="KWM46" s="78"/>
      <c r="KWN46" s="78"/>
      <c r="KWO46" s="78"/>
      <c r="KWP46" s="78"/>
      <c r="KWQ46" s="78"/>
      <c r="KWR46" s="78"/>
      <c r="KWS46" s="78"/>
      <c r="KWT46" s="78"/>
      <c r="KWU46" s="78"/>
      <c r="KWV46" s="78"/>
      <c r="KWW46" s="78"/>
      <c r="KWX46" s="78"/>
      <c r="KWY46" s="78"/>
      <c r="KWZ46" s="78"/>
      <c r="KXA46" s="78"/>
      <c r="KXB46" s="78"/>
      <c r="KXC46" s="78"/>
      <c r="KXD46" s="78"/>
      <c r="KXE46" s="78"/>
      <c r="KXF46" s="78"/>
      <c r="KXG46" s="78"/>
      <c r="KXH46" s="78"/>
      <c r="KXI46" s="78"/>
      <c r="KXJ46" s="78"/>
      <c r="KXK46" s="78"/>
      <c r="KXL46" s="78"/>
      <c r="KXM46" s="78"/>
      <c r="KXN46" s="78"/>
      <c r="KXO46" s="78"/>
      <c r="KXP46" s="78"/>
      <c r="KXQ46" s="78"/>
      <c r="KXR46" s="78"/>
      <c r="KXS46" s="78"/>
      <c r="KXT46" s="78"/>
      <c r="KXU46" s="78"/>
      <c r="KXV46" s="78"/>
      <c r="KXW46" s="78"/>
      <c r="KXX46" s="78"/>
      <c r="KXY46" s="78"/>
      <c r="KXZ46" s="78"/>
      <c r="KYA46" s="78"/>
      <c r="KYB46" s="78"/>
      <c r="KYC46" s="78"/>
      <c r="KYD46" s="78"/>
      <c r="KYE46" s="78"/>
      <c r="KYF46" s="78"/>
      <c r="KYG46" s="78"/>
      <c r="KYH46" s="78"/>
      <c r="KYI46" s="78"/>
      <c r="KYJ46" s="78"/>
      <c r="KYK46" s="78"/>
      <c r="KYL46" s="78"/>
      <c r="KYM46" s="78"/>
      <c r="KYN46" s="78"/>
      <c r="KYO46" s="78"/>
      <c r="KYP46" s="78"/>
      <c r="KYQ46" s="78"/>
      <c r="KYR46" s="78"/>
      <c r="KYS46" s="78"/>
      <c r="KYT46" s="78"/>
      <c r="KYU46" s="78"/>
      <c r="KYV46" s="78"/>
      <c r="KYW46" s="78"/>
      <c r="KYX46" s="78"/>
      <c r="KYY46" s="78"/>
      <c r="KYZ46" s="78"/>
      <c r="KZA46" s="78"/>
      <c r="KZB46" s="78"/>
      <c r="KZC46" s="78"/>
      <c r="KZD46" s="78"/>
      <c r="KZE46" s="78"/>
      <c r="KZF46" s="78"/>
      <c r="KZG46" s="78"/>
      <c r="KZH46" s="78"/>
      <c r="KZI46" s="78"/>
      <c r="KZJ46" s="78"/>
      <c r="KZK46" s="78"/>
      <c r="KZL46" s="78"/>
      <c r="KZM46" s="78"/>
      <c r="KZN46" s="78"/>
      <c r="KZO46" s="78"/>
      <c r="KZP46" s="78"/>
      <c r="KZQ46" s="78"/>
      <c r="KZR46" s="78"/>
      <c r="KZS46" s="78"/>
      <c r="KZT46" s="78"/>
      <c r="KZU46" s="78"/>
      <c r="KZV46" s="78"/>
      <c r="KZW46" s="78"/>
      <c r="KZX46" s="78"/>
      <c r="KZY46" s="78"/>
      <c r="KZZ46" s="78"/>
      <c r="LAA46" s="78"/>
      <c r="LAB46" s="78"/>
      <c r="LAC46" s="78"/>
      <c r="LAD46" s="78"/>
      <c r="LAE46" s="78"/>
      <c r="LAF46" s="78"/>
      <c r="LAG46" s="78"/>
      <c r="LAH46" s="78"/>
      <c r="LAI46" s="78"/>
      <c r="LAJ46" s="78"/>
      <c r="LAK46" s="78"/>
      <c r="LAL46" s="78"/>
      <c r="LAM46" s="78"/>
      <c r="LAN46" s="78"/>
      <c r="LAO46" s="78"/>
      <c r="LAP46" s="78"/>
      <c r="LAQ46" s="78"/>
      <c r="LAR46" s="78"/>
      <c r="LAS46" s="78"/>
      <c r="LAT46" s="78"/>
      <c r="LAU46" s="78"/>
      <c r="LAV46" s="78"/>
      <c r="LAW46" s="78"/>
      <c r="LAX46" s="78"/>
      <c r="LAY46" s="78"/>
      <c r="LAZ46" s="78"/>
      <c r="LBA46" s="78"/>
      <c r="LBB46" s="78"/>
      <c r="LBC46" s="78"/>
      <c r="LBD46" s="78"/>
      <c r="LBE46" s="78"/>
      <c r="LBF46" s="78"/>
      <c r="LBG46" s="78"/>
      <c r="LBH46" s="78"/>
      <c r="LBI46" s="78"/>
      <c r="LBJ46" s="78"/>
      <c r="LBK46" s="78"/>
      <c r="LBL46" s="78"/>
      <c r="LBM46" s="78"/>
      <c r="LBN46" s="78"/>
      <c r="LBO46" s="78"/>
      <c r="LBP46" s="78"/>
      <c r="LBQ46" s="78"/>
      <c r="LBR46" s="78"/>
      <c r="LBS46" s="78"/>
      <c r="LBT46" s="78"/>
      <c r="LBU46" s="78"/>
      <c r="LBV46" s="78"/>
      <c r="LBW46" s="78"/>
      <c r="LBX46" s="78"/>
      <c r="LBY46" s="78"/>
      <c r="LBZ46" s="78"/>
      <c r="LCA46" s="78"/>
      <c r="LCB46" s="78"/>
      <c r="LCC46" s="78"/>
      <c r="LCD46" s="78"/>
      <c r="LCE46" s="78"/>
      <c r="LCF46" s="78"/>
      <c r="LCG46" s="78"/>
      <c r="LCH46" s="78"/>
      <c r="LCI46" s="78"/>
      <c r="LCJ46" s="78"/>
      <c r="LCK46" s="78"/>
      <c r="LCL46" s="78"/>
      <c r="LCM46" s="78"/>
      <c r="LCN46" s="78"/>
      <c r="LCO46" s="78"/>
      <c r="LCP46" s="78"/>
      <c r="LCQ46" s="78"/>
      <c r="LCR46" s="78"/>
      <c r="LCS46" s="78"/>
      <c r="LCT46" s="78"/>
      <c r="LCU46" s="78"/>
      <c r="LCV46" s="78"/>
      <c r="LCW46" s="78"/>
      <c r="LCX46" s="78"/>
      <c r="LCY46" s="78"/>
      <c r="LCZ46" s="78"/>
      <c r="LDA46" s="78"/>
      <c r="LDB46" s="78"/>
      <c r="LDC46" s="78"/>
      <c r="LDD46" s="78"/>
      <c r="LDE46" s="78"/>
      <c r="LDF46" s="78"/>
      <c r="LDG46" s="78"/>
      <c r="LDH46" s="78"/>
      <c r="LDI46" s="78"/>
      <c r="LDJ46" s="78"/>
      <c r="LDK46" s="78"/>
      <c r="LDL46" s="78"/>
      <c r="LDM46" s="78"/>
      <c r="LDN46" s="78"/>
      <c r="LDO46" s="78"/>
      <c r="LDP46" s="78"/>
      <c r="LDQ46" s="78"/>
      <c r="LDR46" s="78"/>
      <c r="LDS46" s="78"/>
      <c r="LDT46" s="78"/>
      <c r="LDU46" s="78"/>
      <c r="LDV46" s="78"/>
      <c r="LDW46" s="78"/>
      <c r="LDX46" s="78"/>
      <c r="LDY46" s="78"/>
      <c r="LDZ46" s="78"/>
      <c r="LEA46" s="78"/>
      <c r="LEB46" s="78"/>
      <c r="LEC46" s="78"/>
      <c r="LED46" s="78"/>
      <c r="LEE46" s="78"/>
      <c r="LEF46" s="78"/>
      <c r="LEG46" s="78"/>
      <c r="LEH46" s="78"/>
      <c r="LEI46" s="78"/>
      <c r="LEJ46" s="78"/>
      <c r="LEK46" s="78"/>
      <c r="LEL46" s="78"/>
      <c r="LEM46" s="78"/>
      <c r="LEN46" s="78"/>
      <c r="LEO46" s="78"/>
      <c r="LEP46" s="78"/>
      <c r="LEQ46" s="78"/>
      <c r="LER46" s="78"/>
      <c r="LES46" s="78"/>
      <c r="LET46" s="78"/>
      <c r="LEU46" s="78"/>
      <c r="LEV46" s="78"/>
      <c r="LEW46" s="78"/>
      <c r="LEX46" s="78"/>
      <c r="LEY46" s="78"/>
      <c r="LEZ46" s="78"/>
      <c r="LFA46" s="78"/>
      <c r="LFB46" s="78"/>
      <c r="LFC46" s="78"/>
      <c r="LFD46" s="78"/>
      <c r="LFE46" s="78"/>
      <c r="LFF46" s="78"/>
      <c r="LFG46" s="78"/>
      <c r="LFH46" s="78"/>
      <c r="LFI46" s="78"/>
      <c r="LFJ46" s="78"/>
      <c r="LFK46" s="78"/>
      <c r="LFL46" s="78"/>
      <c r="LFM46" s="78"/>
      <c r="LFN46" s="78"/>
      <c r="LFO46" s="78"/>
      <c r="LFP46" s="78"/>
      <c r="LFQ46" s="78"/>
      <c r="LFR46" s="78"/>
      <c r="LFS46" s="78"/>
      <c r="LFT46" s="78"/>
      <c r="LFU46" s="78"/>
      <c r="LFV46" s="78"/>
      <c r="LFW46" s="78"/>
      <c r="LFX46" s="78"/>
      <c r="LFY46" s="78"/>
      <c r="LFZ46" s="78"/>
      <c r="LGA46" s="78"/>
      <c r="LGB46" s="78"/>
      <c r="LGC46" s="78"/>
      <c r="LGD46" s="78"/>
      <c r="LGE46" s="78"/>
      <c r="LGF46" s="78"/>
      <c r="LGG46" s="78"/>
      <c r="LGH46" s="78"/>
      <c r="LGI46" s="78"/>
      <c r="LGJ46" s="78"/>
      <c r="LGK46" s="78"/>
      <c r="LGL46" s="78"/>
      <c r="LGM46" s="78"/>
      <c r="LGN46" s="78"/>
      <c r="LGO46" s="78"/>
      <c r="LGP46" s="78"/>
      <c r="LGQ46" s="78"/>
      <c r="LGR46" s="78"/>
      <c r="LGS46" s="78"/>
      <c r="LGT46" s="78"/>
      <c r="LGU46" s="78"/>
      <c r="LGV46" s="78"/>
      <c r="LGW46" s="78"/>
      <c r="LGX46" s="78"/>
      <c r="LGY46" s="78"/>
      <c r="LGZ46" s="78"/>
      <c r="LHA46" s="78"/>
      <c r="LHB46" s="78"/>
      <c r="LHC46" s="78"/>
      <c r="LHD46" s="78"/>
      <c r="LHE46" s="78"/>
      <c r="LHF46" s="78"/>
      <c r="LHG46" s="78"/>
      <c r="LHH46" s="78"/>
      <c r="LHI46" s="78"/>
      <c r="LHJ46" s="78"/>
      <c r="LHK46" s="78"/>
      <c r="LHL46" s="78"/>
      <c r="LHM46" s="78"/>
      <c r="LHN46" s="78"/>
      <c r="LHO46" s="78"/>
      <c r="LHP46" s="78"/>
      <c r="LHQ46" s="78"/>
      <c r="LHR46" s="78"/>
      <c r="LHS46" s="78"/>
      <c r="LHT46" s="78"/>
      <c r="LHU46" s="78"/>
      <c r="LHV46" s="78"/>
      <c r="LHW46" s="78"/>
      <c r="LHX46" s="78"/>
      <c r="LHY46" s="78"/>
      <c r="LHZ46" s="78"/>
      <c r="LIA46" s="78"/>
      <c r="LIB46" s="78"/>
      <c r="LIC46" s="78"/>
      <c r="LID46" s="78"/>
      <c r="LIE46" s="78"/>
      <c r="LIF46" s="78"/>
      <c r="LIG46" s="78"/>
      <c r="LIH46" s="78"/>
      <c r="LII46" s="78"/>
      <c r="LIJ46" s="78"/>
      <c r="LIK46" s="78"/>
      <c r="LIL46" s="78"/>
      <c r="LIM46" s="78"/>
      <c r="LIN46" s="78"/>
      <c r="LIO46" s="78"/>
      <c r="LIP46" s="78"/>
      <c r="LIQ46" s="78"/>
      <c r="LIR46" s="78"/>
      <c r="LIS46" s="78"/>
      <c r="LIT46" s="78"/>
      <c r="LIU46" s="78"/>
      <c r="LIV46" s="78"/>
      <c r="LIW46" s="78"/>
      <c r="LIX46" s="78"/>
      <c r="LIY46" s="78"/>
      <c r="LIZ46" s="78"/>
      <c r="LJA46" s="78"/>
      <c r="LJB46" s="78"/>
      <c r="LJC46" s="78"/>
      <c r="LJD46" s="78"/>
      <c r="LJE46" s="78"/>
      <c r="LJF46" s="78"/>
      <c r="LJG46" s="78"/>
      <c r="LJH46" s="78"/>
      <c r="LJI46" s="78"/>
      <c r="LJJ46" s="78"/>
      <c r="LJK46" s="78"/>
      <c r="LJL46" s="78"/>
      <c r="LJM46" s="78"/>
      <c r="LJN46" s="78"/>
      <c r="LJO46" s="78"/>
      <c r="LJP46" s="78"/>
      <c r="LJQ46" s="78"/>
      <c r="LJR46" s="78"/>
      <c r="LJS46" s="78"/>
      <c r="LJT46" s="78"/>
      <c r="LJU46" s="78"/>
      <c r="LJV46" s="78"/>
      <c r="LJW46" s="78"/>
      <c r="LJX46" s="78"/>
      <c r="LJY46" s="78"/>
      <c r="LJZ46" s="78"/>
      <c r="LKA46" s="78"/>
      <c r="LKB46" s="78"/>
      <c r="LKC46" s="78"/>
      <c r="LKD46" s="78"/>
      <c r="LKE46" s="78"/>
      <c r="LKF46" s="78"/>
      <c r="LKG46" s="78"/>
      <c r="LKH46" s="78"/>
      <c r="LKI46" s="78"/>
      <c r="LKJ46" s="78"/>
      <c r="LKK46" s="78"/>
      <c r="LKL46" s="78"/>
      <c r="LKM46" s="78"/>
      <c r="LKN46" s="78"/>
      <c r="LKO46" s="78"/>
      <c r="LKP46" s="78"/>
      <c r="LKQ46" s="78"/>
      <c r="LKR46" s="78"/>
      <c r="LKS46" s="78"/>
      <c r="LKT46" s="78"/>
      <c r="LKU46" s="78"/>
      <c r="LKV46" s="78"/>
      <c r="LKW46" s="78"/>
      <c r="LKX46" s="78"/>
      <c r="LKY46" s="78"/>
      <c r="LKZ46" s="78"/>
      <c r="LLA46" s="78"/>
      <c r="LLB46" s="78"/>
      <c r="LLC46" s="78"/>
      <c r="LLD46" s="78"/>
      <c r="LLE46" s="78"/>
      <c r="LLF46" s="78"/>
      <c r="LLG46" s="78"/>
      <c r="LLH46" s="78"/>
      <c r="LLI46" s="78"/>
      <c r="LLJ46" s="78"/>
      <c r="LLK46" s="78"/>
      <c r="LLL46" s="78"/>
      <c r="LLM46" s="78"/>
      <c r="LLN46" s="78"/>
      <c r="LLO46" s="78"/>
      <c r="LLP46" s="78"/>
      <c r="LLQ46" s="78"/>
      <c r="LLR46" s="78"/>
      <c r="LLS46" s="78"/>
      <c r="LLT46" s="78"/>
      <c r="LLU46" s="78"/>
      <c r="LLV46" s="78"/>
      <c r="LLW46" s="78"/>
      <c r="LLX46" s="78"/>
      <c r="LLY46" s="78"/>
      <c r="LLZ46" s="78"/>
      <c r="LMA46" s="78"/>
      <c r="LMB46" s="78"/>
      <c r="LMC46" s="78"/>
      <c r="LMD46" s="78"/>
      <c r="LME46" s="78"/>
      <c r="LMF46" s="78"/>
      <c r="LMG46" s="78"/>
      <c r="LMH46" s="78"/>
      <c r="LMI46" s="78"/>
      <c r="LMJ46" s="78"/>
      <c r="LMK46" s="78"/>
      <c r="LML46" s="78"/>
      <c r="LMM46" s="78"/>
      <c r="LMN46" s="78"/>
      <c r="LMO46" s="78"/>
      <c r="LMP46" s="78"/>
      <c r="LMQ46" s="78"/>
      <c r="LMR46" s="78"/>
      <c r="LMS46" s="78"/>
      <c r="LMT46" s="78"/>
      <c r="LMU46" s="78"/>
      <c r="LMV46" s="78"/>
      <c r="LMW46" s="78"/>
      <c r="LMX46" s="78"/>
      <c r="LMY46" s="78"/>
      <c r="LMZ46" s="78"/>
      <c r="LNA46" s="78"/>
      <c r="LNB46" s="78"/>
      <c r="LNC46" s="78"/>
      <c r="LND46" s="78"/>
      <c r="LNE46" s="78"/>
      <c r="LNF46" s="78"/>
      <c r="LNG46" s="78"/>
      <c r="LNH46" s="78"/>
      <c r="LNI46" s="78"/>
      <c r="LNJ46" s="78"/>
      <c r="LNK46" s="78"/>
      <c r="LNL46" s="78"/>
      <c r="LNM46" s="78"/>
      <c r="LNN46" s="78"/>
      <c r="LNO46" s="78"/>
      <c r="LNP46" s="78"/>
      <c r="LNQ46" s="78"/>
      <c r="LNR46" s="78"/>
      <c r="LNS46" s="78"/>
      <c r="LNT46" s="78"/>
      <c r="LNU46" s="78"/>
      <c r="LNV46" s="78"/>
      <c r="LNW46" s="78"/>
      <c r="LNX46" s="78"/>
      <c r="LNY46" s="78"/>
      <c r="LNZ46" s="78"/>
      <c r="LOA46" s="78"/>
      <c r="LOB46" s="78"/>
      <c r="LOC46" s="78"/>
      <c r="LOD46" s="78"/>
      <c r="LOE46" s="78"/>
      <c r="LOF46" s="78"/>
      <c r="LOG46" s="78"/>
      <c r="LOH46" s="78"/>
      <c r="LOI46" s="78"/>
      <c r="LOJ46" s="78"/>
      <c r="LOK46" s="78"/>
      <c r="LOL46" s="78"/>
      <c r="LOM46" s="78"/>
      <c r="LON46" s="78"/>
      <c r="LOO46" s="78"/>
      <c r="LOP46" s="78"/>
      <c r="LOQ46" s="78"/>
      <c r="LOR46" s="78"/>
      <c r="LOS46" s="78"/>
      <c r="LOT46" s="78"/>
      <c r="LOU46" s="78"/>
      <c r="LOV46" s="78"/>
      <c r="LOW46" s="78"/>
      <c r="LOX46" s="78"/>
      <c r="LOY46" s="78"/>
      <c r="LOZ46" s="78"/>
      <c r="LPA46" s="78"/>
      <c r="LPB46" s="78"/>
      <c r="LPC46" s="78"/>
      <c r="LPD46" s="78"/>
      <c r="LPE46" s="78"/>
      <c r="LPF46" s="78"/>
      <c r="LPG46" s="78"/>
      <c r="LPH46" s="78"/>
      <c r="LPI46" s="78"/>
      <c r="LPJ46" s="78"/>
      <c r="LPK46" s="78"/>
      <c r="LPL46" s="78"/>
      <c r="LPM46" s="78"/>
      <c r="LPN46" s="78"/>
      <c r="LPO46" s="78"/>
      <c r="LPP46" s="78"/>
      <c r="LPQ46" s="78"/>
      <c r="LPR46" s="78"/>
      <c r="LPS46" s="78"/>
      <c r="LPT46" s="78"/>
      <c r="LPU46" s="78"/>
      <c r="LPV46" s="78"/>
      <c r="LPW46" s="78"/>
      <c r="LPX46" s="78"/>
      <c r="LPY46" s="78"/>
      <c r="LPZ46" s="78"/>
      <c r="LQA46" s="78"/>
      <c r="LQB46" s="78"/>
      <c r="LQC46" s="78"/>
      <c r="LQD46" s="78"/>
      <c r="LQE46" s="78"/>
      <c r="LQF46" s="78"/>
      <c r="LQG46" s="78"/>
      <c r="LQH46" s="78"/>
      <c r="LQI46" s="78"/>
      <c r="LQJ46" s="78"/>
      <c r="LQK46" s="78"/>
      <c r="LQL46" s="78"/>
      <c r="LQM46" s="78"/>
      <c r="LQN46" s="78"/>
      <c r="LQO46" s="78"/>
      <c r="LQP46" s="78"/>
      <c r="LQQ46" s="78"/>
      <c r="LQR46" s="78"/>
      <c r="LQS46" s="78"/>
      <c r="LQT46" s="78"/>
      <c r="LQU46" s="78"/>
      <c r="LQV46" s="78"/>
      <c r="LQW46" s="78"/>
      <c r="LQX46" s="78"/>
      <c r="LQY46" s="78"/>
      <c r="LQZ46" s="78"/>
      <c r="LRA46" s="78"/>
      <c r="LRB46" s="78"/>
      <c r="LRC46" s="78"/>
      <c r="LRD46" s="78"/>
      <c r="LRE46" s="78"/>
      <c r="LRF46" s="78"/>
      <c r="LRG46" s="78"/>
      <c r="LRH46" s="78"/>
      <c r="LRI46" s="78"/>
      <c r="LRJ46" s="78"/>
      <c r="LRK46" s="78"/>
      <c r="LRL46" s="78"/>
      <c r="LRM46" s="78"/>
      <c r="LRN46" s="78"/>
      <c r="LRO46" s="78"/>
      <c r="LRP46" s="78"/>
      <c r="LRQ46" s="78"/>
      <c r="LRR46" s="78"/>
      <c r="LRS46" s="78"/>
      <c r="LRT46" s="78"/>
      <c r="LRU46" s="78"/>
      <c r="LRV46" s="78"/>
      <c r="LRW46" s="78"/>
      <c r="LRX46" s="78"/>
      <c r="LRY46" s="78"/>
      <c r="LRZ46" s="78"/>
      <c r="LSA46" s="78"/>
      <c r="LSB46" s="78"/>
      <c r="LSC46" s="78"/>
      <c r="LSD46" s="78"/>
      <c r="LSE46" s="78"/>
      <c r="LSF46" s="78"/>
      <c r="LSG46" s="78"/>
      <c r="LSH46" s="78"/>
      <c r="LSI46" s="78"/>
      <c r="LSJ46" s="78"/>
      <c r="LSK46" s="78"/>
      <c r="LSL46" s="78"/>
      <c r="LSM46" s="78"/>
      <c r="LSN46" s="78"/>
      <c r="LSO46" s="78"/>
      <c r="LSP46" s="78"/>
      <c r="LSQ46" s="78"/>
      <c r="LSR46" s="78"/>
      <c r="LSS46" s="78"/>
      <c r="LST46" s="78"/>
      <c r="LSU46" s="78"/>
      <c r="LSV46" s="78"/>
      <c r="LSW46" s="78"/>
      <c r="LSX46" s="78"/>
      <c r="LSY46" s="78"/>
      <c r="LSZ46" s="78"/>
      <c r="LTA46" s="78"/>
      <c r="LTB46" s="78"/>
      <c r="LTC46" s="78"/>
      <c r="LTD46" s="78"/>
      <c r="LTE46" s="78"/>
      <c r="LTF46" s="78"/>
      <c r="LTG46" s="78"/>
      <c r="LTH46" s="78"/>
      <c r="LTI46" s="78"/>
      <c r="LTJ46" s="78"/>
      <c r="LTK46" s="78"/>
      <c r="LTL46" s="78"/>
      <c r="LTM46" s="78"/>
      <c r="LTN46" s="78"/>
      <c r="LTO46" s="78"/>
      <c r="LTP46" s="78"/>
      <c r="LTQ46" s="78"/>
      <c r="LTR46" s="78"/>
      <c r="LTS46" s="78"/>
      <c r="LTT46" s="78"/>
      <c r="LTU46" s="78"/>
      <c r="LTV46" s="78"/>
      <c r="LTW46" s="78"/>
      <c r="LTX46" s="78"/>
      <c r="LTY46" s="78"/>
      <c r="LTZ46" s="78"/>
      <c r="LUA46" s="78"/>
      <c r="LUB46" s="78"/>
      <c r="LUC46" s="78"/>
      <c r="LUD46" s="78"/>
      <c r="LUE46" s="78"/>
      <c r="LUF46" s="78"/>
      <c r="LUG46" s="78"/>
      <c r="LUH46" s="78"/>
      <c r="LUI46" s="78"/>
      <c r="LUJ46" s="78"/>
      <c r="LUK46" s="78"/>
      <c r="LUL46" s="78"/>
      <c r="LUM46" s="78"/>
      <c r="LUN46" s="78"/>
      <c r="LUO46" s="78"/>
      <c r="LUP46" s="78"/>
      <c r="LUQ46" s="78"/>
      <c r="LUR46" s="78"/>
      <c r="LUS46" s="78"/>
      <c r="LUT46" s="78"/>
      <c r="LUU46" s="78"/>
      <c r="LUV46" s="78"/>
      <c r="LUW46" s="78"/>
      <c r="LUX46" s="78"/>
      <c r="LUY46" s="78"/>
      <c r="LUZ46" s="78"/>
      <c r="LVA46" s="78"/>
      <c r="LVB46" s="78"/>
      <c r="LVC46" s="78"/>
      <c r="LVD46" s="78"/>
      <c r="LVE46" s="78"/>
      <c r="LVF46" s="78"/>
      <c r="LVG46" s="78"/>
      <c r="LVH46" s="78"/>
      <c r="LVI46" s="78"/>
      <c r="LVJ46" s="78"/>
      <c r="LVK46" s="78"/>
      <c r="LVL46" s="78"/>
      <c r="LVM46" s="78"/>
      <c r="LVN46" s="78"/>
      <c r="LVO46" s="78"/>
      <c r="LVP46" s="78"/>
      <c r="LVQ46" s="78"/>
      <c r="LVR46" s="78"/>
      <c r="LVS46" s="78"/>
      <c r="LVT46" s="78"/>
      <c r="LVU46" s="78"/>
      <c r="LVV46" s="78"/>
      <c r="LVW46" s="78"/>
      <c r="LVX46" s="78"/>
      <c r="LVY46" s="78"/>
      <c r="LVZ46" s="78"/>
      <c r="LWA46" s="78"/>
      <c r="LWB46" s="78"/>
      <c r="LWC46" s="78"/>
      <c r="LWD46" s="78"/>
      <c r="LWE46" s="78"/>
      <c r="LWF46" s="78"/>
      <c r="LWG46" s="78"/>
      <c r="LWH46" s="78"/>
      <c r="LWI46" s="78"/>
      <c r="LWJ46" s="78"/>
      <c r="LWK46" s="78"/>
      <c r="LWL46" s="78"/>
      <c r="LWM46" s="78"/>
      <c r="LWN46" s="78"/>
      <c r="LWO46" s="78"/>
      <c r="LWP46" s="78"/>
      <c r="LWQ46" s="78"/>
      <c r="LWR46" s="78"/>
      <c r="LWS46" s="78"/>
      <c r="LWT46" s="78"/>
      <c r="LWU46" s="78"/>
      <c r="LWV46" s="78"/>
      <c r="LWW46" s="78"/>
      <c r="LWX46" s="78"/>
      <c r="LWY46" s="78"/>
      <c r="LWZ46" s="78"/>
      <c r="LXA46" s="78"/>
      <c r="LXB46" s="78"/>
      <c r="LXC46" s="78"/>
      <c r="LXD46" s="78"/>
      <c r="LXE46" s="78"/>
      <c r="LXF46" s="78"/>
      <c r="LXG46" s="78"/>
      <c r="LXH46" s="78"/>
      <c r="LXI46" s="78"/>
      <c r="LXJ46" s="78"/>
      <c r="LXK46" s="78"/>
      <c r="LXL46" s="78"/>
      <c r="LXM46" s="78"/>
      <c r="LXN46" s="78"/>
      <c r="LXO46" s="78"/>
      <c r="LXP46" s="78"/>
      <c r="LXQ46" s="78"/>
      <c r="LXR46" s="78"/>
      <c r="LXS46" s="78"/>
      <c r="LXT46" s="78"/>
      <c r="LXU46" s="78"/>
      <c r="LXV46" s="78"/>
      <c r="LXW46" s="78"/>
      <c r="LXX46" s="78"/>
      <c r="LXY46" s="78"/>
      <c r="LXZ46" s="78"/>
      <c r="LYA46" s="78"/>
      <c r="LYB46" s="78"/>
      <c r="LYC46" s="78"/>
      <c r="LYD46" s="78"/>
      <c r="LYE46" s="78"/>
      <c r="LYF46" s="78"/>
      <c r="LYG46" s="78"/>
      <c r="LYH46" s="78"/>
      <c r="LYI46" s="78"/>
      <c r="LYJ46" s="78"/>
      <c r="LYK46" s="78"/>
      <c r="LYL46" s="78"/>
      <c r="LYM46" s="78"/>
      <c r="LYN46" s="78"/>
      <c r="LYO46" s="78"/>
      <c r="LYP46" s="78"/>
      <c r="LYQ46" s="78"/>
      <c r="LYR46" s="78"/>
      <c r="LYS46" s="78"/>
      <c r="LYT46" s="78"/>
      <c r="LYU46" s="78"/>
      <c r="LYV46" s="78"/>
      <c r="LYW46" s="78"/>
      <c r="LYX46" s="78"/>
      <c r="LYY46" s="78"/>
      <c r="LYZ46" s="78"/>
      <c r="LZA46" s="78"/>
      <c r="LZB46" s="78"/>
      <c r="LZC46" s="78"/>
      <c r="LZD46" s="78"/>
      <c r="LZE46" s="78"/>
      <c r="LZF46" s="78"/>
      <c r="LZG46" s="78"/>
      <c r="LZH46" s="78"/>
      <c r="LZI46" s="78"/>
      <c r="LZJ46" s="78"/>
      <c r="LZK46" s="78"/>
      <c r="LZL46" s="78"/>
      <c r="LZM46" s="78"/>
      <c r="LZN46" s="78"/>
      <c r="LZO46" s="78"/>
      <c r="LZP46" s="78"/>
      <c r="LZQ46" s="78"/>
      <c r="LZR46" s="78"/>
      <c r="LZS46" s="78"/>
      <c r="LZT46" s="78"/>
      <c r="LZU46" s="78"/>
      <c r="LZV46" s="78"/>
      <c r="LZW46" s="78"/>
      <c r="LZX46" s="78"/>
      <c r="LZY46" s="78"/>
      <c r="LZZ46" s="78"/>
      <c r="MAA46" s="78"/>
      <c r="MAB46" s="78"/>
      <c r="MAC46" s="78"/>
      <c r="MAD46" s="78"/>
      <c r="MAE46" s="78"/>
      <c r="MAF46" s="78"/>
      <c r="MAG46" s="78"/>
      <c r="MAH46" s="78"/>
      <c r="MAI46" s="78"/>
      <c r="MAJ46" s="78"/>
      <c r="MAK46" s="78"/>
      <c r="MAL46" s="78"/>
      <c r="MAM46" s="78"/>
      <c r="MAN46" s="78"/>
      <c r="MAO46" s="78"/>
      <c r="MAP46" s="78"/>
      <c r="MAQ46" s="78"/>
      <c r="MAR46" s="78"/>
      <c r="MAS46" s="78"/>
      <c r="MAT46" s="78"/>
      <c r="MAU46" s="78"/>
      <c r="MAV46" s="78"/>
      <c r="MAW46" s="78"/>
      <c r="MAX46" s="78"/>
      <c r="MAY46" s="78"/>
      <c r="MAZ46" s="78"/>
      <c r="MBA46" s="78"/>
      <c r="MBB46" s="78"/>
      <c r="MBC46" s="78"/>
      <c r="MBD46" s="78"/>
      <c r="MBE46" s="78"/>
      <c r="MBF46" s="78"/>
      <c r="MBG46" s="78"/>
      <c r="MBH46" s="78"/>
      <c r="MBI46" s="78"/>
      <c r="MBJ46" s="78"/>
      <c r="MBK46" s="78"/>
      <c r="MBL46" s="78"/>
      <c r="MBM46" s="78"/>
      <c r="MBN46" s="78"/>
      <c r="MBO46" s="78"/>
      <c r="MBP46" s="78"/>
      <c r="MBQ46" s="78"/>
      <c r="MBR46" s="78"/>
      <c r="MBS46" s="78"/>
      <c r="MBT46" s="78"/>
      <c r="MBU46" s="78"/>
      <c r="MBV46" s="78"/>
      <c r="MBW46" s="78"/>
      <c r="MBX46" s="78"/>
      <c r="MBY46" s="78"/>
      <c r="MBZ46" s="78"/>
      <c r="MCA46" s="78"/>
      <c r="MCB46" s="78"/>
      <c r="MCC46" s="78"/>
      <c r="MCD46" s="78"/>
      <c r="MCE46" s="78"/>
      <c r="MCF46" s="78"/>
      <c r="MCG46" s="78"/>
      <c r="MCH46" s="78"/>
      <c r="MCI46" s="78"/>
      <c r="MCJ46" s="78"/>
      <c r="MCK46" s="78"/>
      <c r="MCL46" s="78"/>
      <c r="MCM46" s="78"/>
      <c r="MCN46" s="78"/>
      <c r="MCO46" s="78"/>
      <c r="MCP46" s="78"/>
      <c r="MCQ46" s="78"/>
      <c r="MCR46" s="78"/>
      <c r="MCS46" s="78"/>
      <c r="MCT46" s="78"/>
      <c r="MCU46" s="78"/>
      <c r="MCV46" s="78"/>
      <c r="MCW46" s="78"/>
      <c r="MCX46" s="78"/>
      <c r="MCY46" s="78"/>
      <c r="MCZ46" s="78"/>
      <c r="MDA46" s="78"/>
      <c r="MDB46" s="78"/>
      <c r="MDC46" s="78"/>
      <c r="MDD46" s="78"/>
      <c r="MDE46" s="78"/>
      <c r="MDF46" s="78"/>
      <c r="MDG46" s="78"/>
      <c r="MDH46" s="78"/>
      <c r="MDI46" s="78"/>
      <c r="MDJ46" s="78"/>
      <c r="MDK46" s="78"/>
      <c r="MDL46" s="78"/>
      <c r="MDM46" s="78"/>
      <c r="MDN46" s="78"/>
      <c r="MDO46" s="78"/>
      <c r="MDP46" s="78"/>
      <c r="MDQ46" s="78"/>
      <c r="MDR46" s="78"/>
      <c r="MDS46" s="78"/>
      <c r="MDT46" s="78"/>
      <c r="MDU46" s="78"/>
      <c r="MDV46" s="78"/>
      <c r="MDW46" s="78"/>
      <c r="MDX46" s="78"/>
      <c r="MDY46" s="78"/>
      <c r="MDZ46" s="78"/>
      <c r="MEA46" s="78"/>
      <c r="MEB46" s="78"/>
      <c r="MEC46" s="78"/>
      <c r="MED46" s="78"/>
      <c r="MEE46" s="78"/>
      <c r="MEF46" s="78"/>
      <c r="MEG46" s="78"/>
      <c r="MEH46" s="78"/>
      <c r="MEI46" s="78"/>
      <c r="MEJ46" s="78"/>
      <c r="MEK46" s="78"/>
      <c r="MEL46" s="78"/>
      <c r="MEM46" s="78"/>
      <c r="MEN46" s="78"/>
      <c r="MEO46" s="78"/>
      <c r="MEP46" s="78"/>
      <c r="MEQ46" s="78"/>
      <c r="MER46" s="78"/>
      <c r="MES46" s="78"/>
      <c r="MET46" s="78"/>
      <c r="MEU46" s="78"/>
      <c r="MEV46" s="78"/>
      <c r="MEW46" s="78"/>
      <c r="MEX46" s="78"/>
      <c r="MEY46" s="78"/>
      <c r="MEZ46" s="78"/>
      <c r="MFA46" s="78"/>
      <c r="MFB46" s="78"/>
      <c r="MFC46" s="78"/>
      <c r="MFD46" s="78"/>
      <c r="MFE46" s="78"/>
      <c r="MFF46" s="78"/>
      <c r="MFG46" s="78"/>
      <c r="MFH46" s="78"/>
      <c r="MFI46" s="78"/>
      <c r="MFJ46" s="78"/>
      <c r="MFK46" s="78"/>
      <c r="MFL46" s="78"/>
      <c r="MFM46" s="78"/>
      <c r="MFN46" s="78"/>
      <c r="MFO46" s="78"/>
      <c r="MFP46" s="78"/>
      <c r="MFQ46" s="78"/>
      <c r="MFR46" s="78"/>
      <c r="MFS46" s="78"/>
      <c r="MFT46" s="78"/>
      <c r="MFU46" s="78"/>
      <c r="MFV46" s="78"/>
      <c r="MFW46" s="78"/>
      <c r="MFX46" s="78"/>
      <c r="MFY46" s="78"/>
      <c r="MFZ46" s="78"/>
      <c r="MGA46" s="78"/>
      <c r="MGB46" s="78"/>
      <c r="MGC46" s="78"/>
      <c r="MGD46" s="78"/>
      <c r="MGE46" s="78"/>
      <c r="MGF46" s="78"/>
      <c r="MGG46" s="78"/>
      <c r="MGH46" s="78"/>
      <c r="MGI46" s="78"/>
      <c r="MGJ46" s="78"/>
      <c r="MGK46" s="78"/>
      <c r="MGL46" s="78"/>
      <c r="MGM46" s="78"/>
      <c r="MGN46" s="78"/>
      <c r="MGO46" s="78"/>
      <c r="MGP46" s="78"/>
      <c r="MGQ46" s="78"/>
      <c r="MGR46" s="78"/>
      <c r="MGS46" s="78"/>
      <c r="MGT46" s="78"/>
      <c r="MGU46" s="78"/>
      <c r="MGV46" s="78"/>
      <c r="MGW46" s="78"/>
      <c r="MGX46" s="78"/>
      <c r="MGY46" s="78"/>
      <c r="MGZ46" s="78"/>
      <c r="MHA46" s="78"/>
      <c r="MHB46" s="78"/>
      <c r="MHC46" s="78"/>
      <c r="MHD46" s="78"/>
      <c r="MHE46" s="78"/>
      <c r="MHF46" s="78"/>
      <c r="MHG46" s="78"/>
      <c r="MHH46" s="78"/>
      <c r="MHI46" s="78"/>
      <c r="MHJ46" s="78"/>
      <c r="MHK46" s="78"/>
      <c r="MHL46" s="78"/>
      <c r="MHM46" s="78"/>
      <c r="MHN46" s="78"/>
      <c r="MHO46" s="78"/>
      <c r="MHP46" s="78"/>
      <c r="MHQ46" s="78"/>
      <c r="MHR46" s="78"/>
      <c r="MHS46" s="78"/>
      <c r="MHT46" s="78"/>
      <c r="MHU46" s="78"/>
      <c r="MHV46" s="78"/>
      <c r="MHW46" s="78"/>
      <c r="MHX46" s="78"/>
      <c r="MHY46" s="78"/>
      <c r="MHZ46" s="78"/>
      <c r="MIA46" s="78"/>
      <c r="MIB46" s="78"/>
      <c r="MIC46" s="78"/>
      <c r="MID46" s="78"/>
      <c r="MIE46" s="78"/>
      <c r="MIF46" s="78"/>
      <c r="MIG46" s="78"/>
      <c r="MIH46" s="78"/>
      <c r="MII46" s="78"/>
      <c r="MIJ46" s="78"/>
      <c r="MIK46" s="78"/>
      <c r="MIL46" s="78"/>
      <c r="MIM46" s="78"/>
      <c r="MIN46" s="78"/>
      <c r="MIO46" s="78"/>
      <c r="MIP46" s="78"/>
      <c r="MIQ46" s="78"/>
      <c r="MIR46" s="78"/>
      <c r="MIS46" s="78"/>
      <c r="MIT46" s="78"/>
      <c r="MIU46" s="78"/>
      <c r="MIV46" s="78"/>
      <c r="MIW46" s="78"/>
      <c r="MIX46" s="78"/>
      <c r="MIY46" s="78"/>
      <c r="MIZ46" s="78"/>
      <c r="MJA46" s="78"/>
      <c r="MJB46" s="78"/>
      <c r="MJC46" s="78"/>
      <c r="MJD46" s="78"/>
      <c r="MJE46" s="78"/>
      <c r="MJF46" s="78"/>
      <c r="MJG46" s="78"/>
      <c r="MJH46" s="78"/>
      <c r="MJI46" s="78"/>
      <c r="MJJ46" s="78"/>
      <c r="MJK46" s="78"/>
      <c r="MJL46" s="78"/>
      <c r="MJM46" s="78"/>
      <c r="MJN46" s="78"/>
      <c r="MJO46" s="78"/>
      <c r="MJP46" s="78"/>
      <c r="MJQ46" s="78"/>
      <c r="MJR46" s="78"/>
      <c r="MJS46" s="78"/>
      <c r="MJT46" s="78"/>
      <c r="MJU46" s="78"/>
      <c r="MJV46" s="78"/>
      <c r="MJW46" s="78"/>
      <c r="MJX46" s="78"/>
      <c r="MJY46" s="78"/>
      <c r="MJZ46" s="78"/>
      <c r="MKA46" s="78"/>
      <c r="MKB46" s="78"/>
      <c r="MKC46" s="78"/>
      <c r="MKD46" s="78"/>
      <c r="MKE46" s="78"/>
      <c r="MKF46" s="78"/>
      <c r="MKG46" s="78"/>
      <c r="MKH46" s="78"/>
      <c r="MKI46" s="78"/>
      <c r="MKJ46" s="78"/>
      <c r="MKK46" s="78"/>
      <c r="MKL46" s="78"/>
      <c r="MKM46" s="78"/>
      <c r="MKN46" s="78"/>
      <c r="MKO46" s="78"/>
      <c r="MKP46" s="78"/>
      <c r="MKQ46" s="78"/>
      <c r="MKR46" s="78"/>
      <c r="MKS46" s="78"/>
      <c r="MKT46" s="78"/>
      <c r="MKU46" s="78"/>
      <c r="MKV46" s="78"/>
      <c r="MKW46" s="78"/>
      <c r="MKX46" s="78"/>
      <c r="MKY46" s="78"/>
      <c r="MKZ46" s="78"/>
      <c r="MLA46" s="78"/>
      <c r="MLB46" s="78"/>
      <c r="MLC46" s="78"/>
      <c r="MLD46" s="78"/>
      <c r="MLE46" s="78"/>
      <c r="MLF46" s="78"/>
      <c r="MLG46" s="78"/>
      <c r="MLH46" s="78"/>
      <c r="MLI46" s="78"/>
      <c r="MLJ46" s="78"/>
      <c r="MLK46" s="78"/>
      <c r="MLL46" s="78"/>
      <c r="MLM46" s="78"/>
      <c r="MLN46" s="78"/>
      <c r="MLO46" s="78"/>
      <c r="MLP46" s="78"/>
      <c r="MLQ46" s="78"/>
      <c r="MLR46" s="78"/>
      <c r="MLS46" s="78"/>
      <c r="MLT46" s="78"/>
      <c r="MLU46" s="78"/>
      <c r="MLV46" s="78"/>
      <c r="MLW46" s="78"/>
      <c r="MLX46" s="78"/>
      <c r="MLY46" s="78"/>
      <c r="MLZ46" s="78"/>
      <c r="MMA46" s="78"/>
      <c r="MMB46" s="78"/>
      <c r="MMC46" s="78"/>
      <c r="MMD46" s="78"/>
      <c r="MME46" s="78"/>
      <c r="MMF46" s="78"/>
      <c r="MMG46" s="78"/>
      <c r="MMH46" s="78"/>
      <c r="MMI46" s="78"/>
      <c r="MMJ46" s="78"/>
      <c r="MMK46" s="78"/>
      <c r="MML46" s="78"/>
      <c r="MMM46" s="78"/>
      <c r="MMN46" s="78"/>
      <c r="MMO46" s="78"/>
      <c r="MMP46" s="78"/>
      <c r="MMQ46" s="78"/>
      <c r="MMR46" s="78"/>
      <c r="MMS46" s="78"/>
      <c r="MMT46" s="78"/>
      <c r="MMU46" s="78"/>
      <c r="MMV46" s="78"/>
      <c r="MMW46" s="78"/>
      <c r="MMX46" s="78"/>
      <c r="MMY46" s="78"/>
      <c r="MMZ46" s="78"/>
      <c r="MNA46" s="78"/>
      <c r="MNB46" s="78"/>
      <c r="MNC46" s="78"/>
      <c r="MND46" s="78"/>
      <c r="MNE46" s="78"/>
      <c r="MNF46" s="78"/>
      <c r="MNG46" s="78"/>
      <c r="MNH46" s="78"/>
      <c r="MNI46" s="78"/>
      <c r="MNJ46" s="78"/>
      <c r="MNK46" s="78"/>
      <c r="MNL46" s="78"/>
      <c r="MNM46" s="78"/>
      <c r="MNN46" s="78"/>
      <c r="MNO46" s="78"/>
      <c r="MNP46" s="78"/>
      <c r="MNQ46" s="78"/>
      <c r="MNR46" s="78"/>
      <c r="MNS46" s="78"/>
      <c r="MNT46" s="78"/>
      <c r="MNU46" s="78"/>
      <c r="MNV46" s="78"/>
      <c r="MNW46" s="78"/>
      <c r="MNX46" s="78"/>
      <c r="MNY46" s="78"/>
      <c r="MNZ46" s="78"/>
      <c r="MOA46" s="78"/>
      <c r="MOB46" s="78"/>
      <c r="MOC46" s="78"/>
      <c r="MOD46" s="78"/>
      <c r="MOE46" s="78"/>
      <c r="MOF46" s="78"/>
      <c r="MOG46" s="78"/>
      <c r="MOH46" s="78"/>
      <c r="MOI46" s="78"/>
      <c r="MOJ46" s="78"/>
      <c r="MOK46" s="78"/>
      <c r="MOL46" s="78"/>
      <c r="MOM46" s="78"/>
      <c r="MON46" s="78"/>
      <c r="MOO46" s="78"/>
      <c r="MOP46" s="78"/>
      <c r="MOQ46" s="78"/>
      <c r="MOR46" s="78"/>
      <c r="MOS46" s="78"/>
      <c r="MOT46" s="78"/>
      <c r="MOU46" s="78"/>
      <c r="MOV46" s="78"/>
      <c r="MOW46" s="78"/>
      <c r="MOX46" s="78"/>
      <c r="MOY46" s="78"/>
      <c r="MOZ46" s="78"/>
      <c r="MPA46" s="78"/>
      <c r="MPB46" s="78"/>
      <c r="MPC46" s="78"/>
      <c r="MPD46" s="78"/>
      <c r="MPE46" s="78"/>
      <c r="MPF46" s="78"/>
      <c r="MPG46" s="78"/>
      <c r="MPH46" s="78"/>
      <c r="MPI46" s="78"/>
      <c r="MPJ46" s="78"/>
      <c r="MPK46" s="78"/>
      <c r="MPL46" s="78"/>
      <c r="MPM46" s="78"/>
      <c r="MPN46" s="78"/>
      <c r="MPO46" s="78"/>
      <c r="MPP46" s="78"/>
      <c r="MPQ46" s="78"/>
      <c r="MPR46" s="78"/>
      <c r="MPS46" s="78"/>
      <c r="MPT46" s="78"/>
      <c r="MPU46" s="78"/>
      <c r="MPV46" s="78"/>
      <c r="MPW46" s="78"/>
      <c r="MPX46" s="78"/>
      <c r="MPY46" s="78"/>
      <c r="MPZ46" s="78"/>
      <c r="MQA46" s="78"/>
      <c r="MQB46" s="78"/>
      <c r="MQC46" s="78"/>
      <c r="MQD46" s="78"/>
      <c r="MQE46" s="78"/>
      <c r="MQF46" s="78"/>
      <c r="MQG46" s="78"/>
      <c r="MQH46" s="78"/>
      <c r="MQI46" s="78"/>
      <c r="MQJ46" s="78"/>
      <c r="MQK46" s="78"/>
      <c r="MQL46" s="78"/>
      <c r="MQM46" s="78"/>
      <c r="MQN46" s="78"/>
      <c r="MQO46" s="78"/>
      <c r="MQP46" s="78"/>
      <c r="MQQ46" s="78"/>
      <c r="MQR46" s="78"/>
      <c r="MQS46" s="78"/>
      <c r="MQT46" s="78"/>
      <c r="MQU46" s="78"/>
      <c r="MQV46" s="78"/>
      <c r="MQW46" s="78"/>
      <c r="MQX46" s="78"/>
      <c r="MQY46" s="78"/>
      <c r="MQZ46" s="78"/>
      <c r="MRA46" s="78"/>
      <c r="MRB46" s="78"/>
      <c r="MRC46" s="78"/>
      <c r="MRD46" s="78"/>
      <c r="MRE46" s="78"/>
      <c r="MRF46" s="78"/>
      <c r="MRG46" s="78"/>
      <c r="MRH46" s="78"/>
      <c r="MRI46" s="78"/>
      <c r="MRJ46" s="78"/>
      <c r="MRK46" s="78"/>
      <c r="MRL46" s="78"/>
      <c r="MRM46" s="78"/>
      <c r="MRN46" s="78"/>
      <c r="MRO46" s="78"/>
      <c r="MRP46" s="78"/>
      <c r="MRQ46" s="78"/>
      <c r="MRR46" s="78"/>
      <c r="MRS46" s="78"/>
      <c r="MRT46" s="78"/>
      <c r="MRU46" s="78"/>
      <c r="MRV46" s="78"/>
      <c r="MRW46" s="78"/>
      <c r="MRX46" s="78"/>
      <c r="MRY46" s="78"/>
      <c r="MRZ46" s="78"/>
      <c r="MSA46" s="78"/>
      <c r="MSB46" s="78"/>
      <c r="MSC46" s="78"/>
      <c r="MSD46" s="78"/>
      <c r="MSE46" s="78"/>
      <c r="MSF46" s="78"/>
      <c r="MSG46" s="78"/>
      <c r="MSH46" s="78"/>
      <c r="MSI46" s="78"/>
      <c r="MSJ46" s="78"/>
      <c r="MSK46" s="78"/>
      <c r="MSL46" s="78"/>
      <c r="MSM46" s="78"/>
      <c r="MSN46" s="78"/>
      <c r="MSO46" s="78"/>
      <c r="MSP46" s="78"/>
      <c r="MSQ46" s="78"/>
      <c r="MSR46" s="78"/>
      <c r="MSS46" s="78"/>
      <c r="MST46" s="78"/>
      <c r="MSU46" s="78"/>
      <c r="MSV46" s="78"/>
      <c r="MSW46" s="78"/>
      <c r="MSX46" s="78"/>
      <c r="MSY46" s="78"/>
      <c r="MSZ46" s="78"/>
      <c r="MTA46" s="78"/>
      <c r="MTB46" s="78"/>
      <c r="MTC46" s="78"/>
      <c r="MTD46" s="78"/>
      <c r="MTE46" s="78"/>
      <c r="MTF46" s="78"/>
      <c r="MTG46" s="78"/>
      <c r="MTH46" s="78"/>
      <c r="MTI46" s="78"/>
      <c r="MTJ46" s="78"/>
      <c r="MTK46" s="78"/>
      <c r="MTL46" s="78"/>
      <c r="MTM46" s="78"/>
      <c r="MTN46" s="78"/>
      <c r="MTO46" s="78"/>
      <c r="MTP46" s="78"/>
      <c r="MTQ46" s="78"/>
      <c r="MTR46" s="78"/>
      <c r="MTS46" s="78"/>
      <c r="MTT46" s="78"/>
      <c r="MTU46" s="78"/>
      <c r="MTV46" s="78"/>
      <c r="MTW46" s="78"/>
      <c r="MTX46" s="78"/>
      <c r="MTY46" s="78"/>
      <c r="MTZ46" s="78"/>
      <c r="MUA46" s="78"/>
      <c r="MUB46" s="78"/>
      <c r="MUC46" s="78"/>
      <c r="MUD46" s="78"/>
      <c r="MUE46" s="78"/>
      <c r="MUF46" s="78"/>
      <c r="MUG46" s="78"/>
      <c r="MUH46" s="78"/>
      <c r="MUI46" s="78"/>
      <c r="MUJ46" s="78"/>
      <c r="MUK46" s="78"/>
      <c r="MUL46" s="78"/>
      <c r="MUM46" s="78"/>
      <c r="MUN46" s="78"/>
      <c r="MUO46" s="78"/>
      <c r="MUP46" s="78"/>
      <c r="MUQ46" s="78"/>
      <c r="MUR46" s="78"/>
      <c r="MUS46" s="78"/>
      <c r="MUT46" s="78"/>
      <c r="MUU46" s="78"/>
      <c r="MUV46" s="78"/>
      <c r="MUW46" s="78"/>
      <c r="MUX46" s="78"/>
      <c r="MUY46" s="78"/>
      <c r="MUZ46" s="78"/>
      <c r="MVA46" s="78"/>
      <c r="MVB46" s="78"/>
      <c r="MVC46" s="78"/>
      <c r="MVD46" s="78"/>
      <c r="MVE46" s="78"/>
      <c r="MVF46" s="78"/>
      <c r="MVG46" s="78"/>
      <c r="MVH46" s="78"/>
      <c r="MVI46" s="78"/>
      <c r="MVJ46" s="78"/>
      <c r="MVK46" s="78"/>
      <c r="MVL46" s="78"/>
      <c r="MVM46" s="78"/>
      <c r="MVN46" s="78"/>
      <c r="MVO46" s="78"/>
      <c r="MVP46" s="78"/>
      <c r="MVQ46" s="78"/>
      <c r="MVR46" s="78"/>
      <c r="MVS46" s="78"/>
      <c r="MVT46" s="78"/>
      <c r="MVU46" s="78"/>
      <c r="MVV46" s="78"/>
      <c r="MVW46" s="78"/>
      <c r="MVX46" s="78"/>
      <c r="MVY46" s="78"/>
      <c r="MVZ46" s="78"/>
      <c r="MWA46" s="78"/>
      <c r="MWB46" s="78"/>
      <c r="MWC46" s="78"/>
      <c r="MWD46" s="78"/>
      <c r="MWE46" s="78"/>
      <c r="MWF46" s="78"/>
      <c r="MWG46" s="78"/>
      <c r="MWH46" s="78"/>
      <c r="MWI46" s="78"/>
      <c r="MWJ46" s="78"/>
      <c r="MWK46" s="78"/>
      <c r="MWL46" s="78"/>
      <c r="MWM46" s="78"/>
      <c r="MWN46" s="78"/>
      <c r="MWO46" s="78"/>
      <c r="MWP46" s="78"/>
      <c r="MWQ46" s="78"/>
      <c r="MWR46" s="78"/>
      <c r="MWS46" s="78"/>
      <c r="MWT46" s="78"/>
      <c r="MWU46" s="78"/>
      <c r="MWV46" s="78"/>
      <c r="MWW46" s="78"/>
      <c r="MWX46" s="78"/>
      <c r="MWY46" s="78"/>
      <c r="MWZ46" s="78"/>
      <c r="MXA46" s="78"/>
      <c r="MXB46" s="78"/>
      <c r="MXC46" s="78"/>
      <c r="MXD46" s="78"/>
      <c r="MXE46" s="78"/>
      <c r="MXF46" s="78"/>
      <c r="MXG46" s="78"/>
      <c r="MXH46" s="78"/>
      <c r="MXI46" s="78"/>
      <c r="MXJ46" s="78"/>
      <c r="MXK46" s="78"/>
      <c r="MXL46" s="78"/>
      <c r="MXM46" s="78"/>
      <c r="MXN46" s="78"/>
      <c r="MXO46" s="78"/>
      <c r="MXP46" s="78"/>
      <c r="MXQ46" s="78"/>
      <c r="MXR46" s="78"/>
      <c r="MXS46" s="78"/>
      <c r="MXT46" s="78"/>
      <c r="MXU46" s="78"/>
      <c r="MXV46" s="78"/>
      <c r="MXW46" s="78"/>
      <c r="MXX46" s="78"/>
      <c r="MXY46" s="78"/>
      <c r="MXZ46" s="78"/>
      <c r="MYA46" s="78"/>
      <c r="MYB46" s="78"/>
      <c r="MYC46" s="78"/>
      <c r="MYD46" s="78"/>
      <c r="MYE46" s="78"/>
      <c r="MYF46" s="78"/>
      <c r="MYG46" s="78"/>
      <c r="MYH46" s="78"/>
      <c r="MYI46" s="78"/>
      <c r="MYJ46" s="78"/>
      <c r="MYK46" s="78"/>
      <c r="MYL46" s="78"/>
      <c r="MYM46" s="78"/>
      <c r="MYN46" s="78"/>
      <c r="MYO46" s="78"/>
      <c r="MYP46" s="78"/>
      <c r="MYQ46" s="78"/>
      <c r="MYR46" s="78"/>
      <c r="MYS46" s="78"/>
      <c r="MYT46" s="78"/>
      <c r="MYU46" s="78"/>
      <c r="MYV46" s="78"/>
      <c r="MYW46" s="78"/>
      <c r="MYX46" s="78"/>
      <c r="MYY46" s="78"/>
      <c r="MYZ46" s="78"/>
      <c r="MZA46" s="78"/>
      <c r="MZB46" s="78"/>
      <c r="MZC46" s="78"/>
      <c r="MZD46" s="78"/>
      <c r="MZE46" s="78"/>
      <c r="MZF46" s="78"/>
      <c r="MZG46" s="78"/>
      <c r="MZH46" s="78"/>
      <c r="MZI46" s="78"/>
      <c r="MZJ46" s="78"/>
      <c r="MZK46" s="78"/>
      <c r="MZL46" s="78"/>
      <c r="MZM46" s="78"/>
      <c r="MZN46" s="78"/>
      <c r="MZO46" s="78"/>
      <c r="MZP46" s="78"/>
      <c r="MZQ46" s="78"/>
      <c r="MZR46" s="78"/>
      <c r="MZS46" s="78"/>
      <c r="MZT46" s="78"/>
      <c r="MZU46" s="78"/>
      <c r="MZV46" s="78"/>
      <c r="MZW46" s="78"/>
      <c r="MZX46" s="78"/>
      <c r="MZY46" s="78"/>
      <c r="MZZ46" s="78"/>
      <c r="NAA46" s="78"/>
      <c r="NAB46" s="78"/>
      <c r="NAC46" s="78"/>
      <c r="NAD46" s="78"/>
      <c r="NAE46" s="78"/>
      <c r="NAF46" s="78"/>
      <c r="NAG46" s="78"/>
      <c r="NAH46" s="78"/>
      <c r="NAI46" s="78"/>
      <c r="NAJ46" s="78"/>
      <c r="NAK46" s="78"/>
      <c r="NAL46" s="78"/>
      <c r="NAM46" s="78"/>
      <c r="NAN46" s="78"/>
      <c r="NAO46" s="78"/>
      <c r="NAP46" s="78"/>
      <c r="NAQ46" s="78"/>
      <c r="NAR46" s="78"/>
      <c r="NAS46" s="78"/>
      <c r="NAT46" s="78"/>
      <c r="NAU46" s="78"/>
      <c r="NAV46" s="78"/>
      <c r="NAW46" s="78"/>
      <c r="NAX46" s="78"/>
      <c r="NAY46" s="78"/>
      <c r="NAZ46" s="78"/>
      <c r="NBA46" s="78"/>
      <c r="NBB46" s="78"/>
      <c r="NBC46" s="78"/>
      <c r="NBD46" s="78"/>
      <c r="NBE46" s="78"/>
      <c r="NBF46" s="78"/>
      <c r="NBG46" s="78"/>
      <c r="NBH46" s="78"/>
      <c r="NBI46" s="78"/>
      <c r="NBJ46" s="78"/>
      <c r="NBK46" s="78"/>
      <c r="NBL46" s="78"/>
      <c r="NBM46" s="78"/>
      <c r="NBN46" s="78"/>
      <c r="NBO46" s="78"/>
      <c r="NBP46" s="78"/>
      <c r="NBQ46" s="78"/>
      <c r="NBR46" s="78"/>
      <c r="NBS46" s="78"/>
      <c r="NBT46" s="78"/>
      <c r="NBU46" s="78"/>
      <c r="NBV46" s="78"/>
      <c r="NBW46" s="78"/>
      <c r="NBX46" s="78"/>
      <c r="NBY46" s="78"/>
      <c r="NBZ46" s="78"/>
      <c r="NCA46" s="78"/>
      <c r="NCB46" s="78"/>
      <c r="NCC46" s="78"/>
      <c r="NCD46" s="78"/>
      <c r="NCE46" s="78"/>
      <c r="NCF46" s="78"/>
      <c r="NCG46" s="78"/>
      <c r="NCH46" s="78"/>
      <c r="NCI46" s="78"/>
      <c r="NCJ46" s="78"/>
      <c r="NCK46" s="78"/>
      <c r="NCL46" s="78"/>
      <c r="NCM46" s="78"/>
      <c r="NCN46" s="78"/>
      <c r="NCO46" s="78"/>
      <c r="NCP46" s="78"/>
      <c r="NCQ46" s="78"/>
      <c r="NCR46" s="78"/>
      <c r="NCS46" s="78"/>
      <c r="NCT46" s="78"/>
      <c r="NCU46" s="78"/>
      <c r="NCV46" s="78"/>
      <c r="NCW46" s="78"/>
      <c r="NCX46" s="78"/>
      <c r="NCY46" s="78"/>
      <c r="NCZ46" s="78"/>
      <c r="NDA46" s="78"/>
      <c r="NDB46" s="78"/>
      <c r="NDC46" s="78"/>
      <c r="NDD46" s="78"/>
      <c r="NDE46" s="78"/>
      <c r="NDF46" s="78"/>
      <c r="NDG46" s="78"/>
      <c r="NDH46" s="78"/>
      <c r="NDI46" s="78"/>
      <c r="NDJ46" s="78"/>
      <c r="NDK46" s="78"/>
      <c r="NDL46" s="78"/>
      <c r="NDM46" s="78"/>
      <c r="NDN46" s="78"/>
      <c r="NDO46" s="78"/>
      <c r="NDP46" s="78"/>
      <c r="NDQ46" s="78"/>
      <c r="NDR46" s="78"/>
      <c r="NDS46" s="78"/>
      <c r="NDT46" s="78"/>
      <c r="NDU46" s="78"/>
      <c r="NDV46" s="78"/>
      <c r="NDW46" s="78"/>
      <c r="NDX46" s="78"/>
      <c r="NDY46" s="78"/>
      <c r="NDZ46" s="78"/>
      <c r="NEA46" s="78"/>
      <c r="NEB46" s="78"/>
      <c r="NEC46" s="78"/>
      <c r="NED46" s="78"/>
      <c r="NEE46" s="78"/>
      <c r="NEF46" s="78"/>
      <c r="NEG46" s="78"/>
      <c r="NEH46" s="78"/>
      <c r="NEI46" s="78"/>
      <c r="NEJ46" s="78"/>
      <c r="NEK46" s="78"/>
      <c r="NEL46" s="78"/>
      <c r="NEM46" s="78"/>
      <c r="NEN46" s="78"/>
      <c r="NEO46" s="78"/>
      <c r="NEP46" s="78"/>
      <c r="NEQ46" s="78"/>
      <c r="NER46" s="78"/>
      <c r="NES46" s="78"/>
      <c r="NET46" s="78"/>
      <c r="NEU46" s="78"/>
      <c r="NEV46" s="78"/>
      <c r="NEW46" s="78"/>
      <c r="NEX46" s="78"/>
      <c r="NEY46" s="78"/>
      <c r="NEZ46" s="78"/>
      <c r="NFA46" s="78"/>
      <c r="NFB46" s="78"/>
      <c r="NFC46" s="78"/>
      <c r="NFD46" s="78"/>
      <c r="NFE46" s="78"/>
      <c r="NFF46" s="78"/>
      <c r="NFG46" s="78"/>
      <c r="NFH46" s="78"/>
      <c r="NFI46" s="78"/>
      <c r="NFJ46" s="78"/>
      <c r="NFK46" s="78"/>
      <c r="NFL46" s="78"/>
      <c r="NFM46" s="78"/>
      <c r="NFN46" s="78"/>
      <c r="NFO46" s="78"/>
      <c r="NFP46" s="78"/>
      <c r="NFQ46" s="78"/>
      <c r="NFR46" s="78"/>
      <c r="NFS46" s="78"/>
      <c r="NFT46" s="78"/>
      <c r="NFU46" s="78"/>
      <c r="NFV46" s="78"/>
      <c r="NFW46" s="78"/>
      <c r="NFX46" s="78"/>
      <c r="NFY46" s="78"/>
      <c r="NFZ46" s="78"/>
      <c r="NGA46" s="78"/>
      <c r="NGB46" s="78"/>
      <c r="NGC46" s="78"/>
      <c r="NGD46" s="78"/>
      <c r="NGE46" s="78"/>
      <c r="NGF46" s="78"/>
      <c r="NGG46" s="78"/>
      <c r="NGH46" s="78"/>
      <c r="NGI46" s="78"/>
      <c r="NGJ46" s="78"/>
      <c r="NGK46" s="78"/>
      <c r="NGL46" s="78"/>
      <c r="NGM46" s="78"/>
      <c r="NGN46" s="78"/>
      <c r="NGO46" s="78"/>
      <c r="NGP46" s="78"/>
      <c r="NGQ46" s="78"/>
      <c r="NGR46" s="78"/>
      <c r="NGS46" s="78"/>
      <c r="NGT46" s="78"/>
      <c r="NGU46" s="78"/>
      <c r="NGV46" s="78"/>
      <c r="NGW46" s="78"/>
      <c r="NGX46" s="78"/>
      <c r="NGY46" s="78"/>
      <c r="NGZ46" s="78"/>
      <c r="NHA46" s="78"/>
      <c r="NHB46" s="78"/>
      <c r="NHC46" s="78"/>
      <c r="NHD46" s="78"/>
      <c r="NHE46" s="78"/>
      <c r="NHF46" s="78"/>
      <c r="NHG46" s="78"/>
      <c r="NHH46" s="78"/>
      <c r="NHI46" s="78"/>
      <c r="NHJ46" s="78"/>
      <c r="NHK46" s="78"/>
      <c r="NHL46" s="78"/>
      <c r="NHM46" s="78"/>
      <c r="NHN46" s="78"/>
      <c r="NHO46" s="78"/>
      <c r="NHP46" s="78"/>
      <c r="NHQ46" s="78"/>
      <c r="NHR46" s="78"/>
      <c r="NHS46" s="78"/>
      <c r="NHT46" s="78"/>
      <c r="NHU46" s="78"/>
      <c r="NHV46" s="78"/>
      <c r="NHW46" s="78"/>
      <c r="NHX46" s="78"/>
      <c r="NHY46" s="78"/>
      <c r="NHZ46" s="78"/>
      <c r="NIA46" s="78"/>
      <c r="NIB46" s="78"/>
      <c r="NIC46" s="78"/>
      <c r="NID46" s="78"/>
      <c r="NIE46" s="78"/>
      <c r="NIF46" s="78"/>
      <c r="NIG46" s="78"/>
      <c r="NIH46" s="78"/>
      <c r="NII46" s="78"/>
      <c r="NIJ46" s="78"/>
      <c r="NIK46" s="78"/>
      <c r="NIL46" s="78"/>
      <c r="NIM46" s="78"/>
      <c r="NIN46" s="78"/>
      <c r="NIO46" s="78"/>
      <c r="NIP46" s="78"/>
      <c r="NIQ46" s="78"/>
      <c r="NIR46" s="78"/>
      <c r="NIS46" s="78"/>
      <c r="NIT46" s="78"/>
      <c r="NIU46" s="78"/>
      <c r="NIV46" s="78"/>
      <c r="NIW46" s="78"/>
      <c r="NIX46" s="78"/>
      <c r="NIY46" s="78"/>
      <c r="NIZ46" s="78"/>
      <c r="NJA46" s="78"/>
      <c r="NJB46" s="78"/>
      <c r="NJC46" s="78"/>
      <c r="NJD46" s="78"/>
      <c r="NJE46" s="78"/>
      <c r="NJF46" s="78"/>
      <c r="NJG46" s="78"/>
      <c r="NJH46" s="78"/>
      <c r="NJI46" s="78"/>
      <c r="NJJ46" s="78"/>
      <c r="NJK46" s="78"/>
      <c r="NJL46" s="78"/>
      <c r="NJM46" s="78"/>
      <c r="NJN46" s="78"/>
      <c r="NJO46" s="78"/>
      <c r="NJP46" s="78"/>
      <c r="NJQ46" s="78"/>
      <c r="NJR46" s="78"/>
      <c r="NJS46" s="78"/>
      <c r="NJT46" s="78"/>
      <c r="NJU46" s="78"/>
      <c r="NJV46" s="78"/>
      <c r="NJW46" s="78"/>
      <c r="NJX46" s="78"/>
      <c r="NJY46" s="78"/>
      <c r="NJZ46" s="78"/>
      <c r="NKA46" s="78"/>
      <c r="NKB46" s="78"/>
      <c r="NKC46" s="78"/>
      <c r="NKD46" s="78"/>
      <c r="NKE46" s="78"/>
      <c r="NKF46" s="78"/>
      <c r="NKG46" s="78"/>
      <c r="NKH46" s="78"/>
      <c r="NKI46" s="78"/>
      <c r="NKJ46" s="78"/>
      <c r="NKK46" s="78"/>
      <c r="NKL46" s="78"/>
      <c r="NKM46" s="78"/>
      <c r="NKN46" s="78"/>
      <c r="NKO46" s="78"/>
      <c r="NKP46" s="78"/>
      <c r="NKQ46" s="78"/>
      <c r="NKR46" s="78"/>
      <c r="NKS46" s="78"/>
      <c r="NKT46" s="78"/>
      <c r="NKU46" s="78"/>
      <c r="NKV46" s="78"/>
      <c r="NKW46" s="78"/>
      <c r="NKX46" s="78"/>
      <c r="NKY46" s="78"/>
      <c r="NKZ46" s="78"/>
      <c r="NLA46" s="78"/>
      <c r="NLB46" s="78"/>
      <c r="NLC46" s="78"/>
      <c r="NLD46" s="78"/>
      <c r="NLE46" s="78"/>
      <c r="NLF46" s="78"/>
      <c r="NLG46" s="78"/>
      <c r="NLH46" s="78"/>
      <c r="NLI46" s="78"/>
      <c r="NLJ46" s="78"/>
      <c r="NLK46" s="78"/>
      <c r="NLL46" s="78"/>
      <c r="NLM46" s="78"/>
      <c r="NLN46" s="78"/>
      <c r="NLO46" s="78"/>
      <c r="NLP46" s="78"/>
      <c r="NLQ46" s="78"/>
      <c r="NLR46" s="78"/>
      <c r="NLS46" s="78"/>
      <c r="NLT46" s="78"/>
      <c r="NLU46" s="78"/>
      <c r="NLV46" s="78"/>
      <c r="NLW46" s="78"/>
      <c r="NLX46" s="78"/>
      <c r="NLY46" s="78"/>
      <c r="NLZ46" s="78"/>
      <c r="NMA46" s="78"/>
      <c r="NMB46" s="78"/>
      <c r="NMC46" s="78"/>
      <c r="NMD46" s="78"/>
      <c r="NME46" s="78"/>
      <c r="NMF46" s="78"/>
      <c r="NMG46" s="78"/>
      <c r="NMH46" s="78"/>
      <c r="NMI46" s="78"/>
      <c r="NMJ46" s="78"/>
      <c r="NMK46" s="78"/>
      <c r="NML46" s="78"/>
      <c r="NMM46" s="78"/>
      <c r="NMN46" s="78"/>
      <c r="NMO46" s="78"/>
      <c r="NMP46" s="78"/>
      <c r="NMQ46" s="78"/>
      <c r="NMR46" s="78"/>
      <c r="NMS46" s="78"/>
      <c r="NMT46" s="78"/>
      <c r="NMU46" s="78"/>
      <c r="NMV46" s="78"/>
      <c r="NMW46" s="78"/>
      <c r="NMX46" s="78"/>
      <c r="NMY46" s="78"/>
      <c r="NMZ46" s="78"/>
      <c r="NNA46" s="78"/>
      <c r="NNB46" s="78"/>
      <c r="NNC46" s="78"/>
      <c r="NND46" s="78"/>
      <c r="NNE46" s="78"/>
      <c r="NNF46" s="78"/>
      <c r="NNG46" s="78"/>
      <c r="NNH46" s="78"/>
      <c r="NNI46" s="78"/>
      <c r="NNJ46" s="78"/>
      <c r="NNK46" s="78"/>
      <c r="NNL46" s="78"/>
      <c r="NNM46" s="78"/>
      <c r="NNN46" s="78"/>
      <c r="NNO46" s="78"/>
      <c r="NNP46" s="78"/>
      <c r="NNQ46" s="78"/>
      <c r="NNR46" s="78"/>
      <c r="NNS46" s="78"/>
      <c r="NNT46" s="78"/>
      <c r="NNU46" s="78"/>
      <c r="NNV46" s="78"/>
      <c r="NNW46" s="78"/>
      <c r="NNX46" s="78"/>
      <c r="NNY46" s="78"/>
      <c r="NNZ46" s="78"/>
      <c r="NOA46" s="78"/>
      <c r="NOB46" s="78"/>
      <c r="NOC46" s="78"/>
      <c r="NOD46" s="78"/>
      <c r="NOE46" s="78"/>
      <c r="NOF46" s="78"/>
      <c r="NOG46" s="78"/>
      <c r="NOH46" s="78"/>
      <c r="NOI46" s="78"/>
      <c r="NOJ46" s="78"/>
      <c r="NOK46" s="78"/>
      <c r="NOL46" s="78"/>
      <c r="NOM46" s="78"/>
      <c r="NON46" s="78"/>
      <c r="NOO46" s="78"/>
      <c r="NOP46" s="78"/>
      <c r="NOQ46" s="78"/>
      <c r="NOR46" s="78"/>
      <c r="NOS46" s="78"/>
      <c r="NOT46" s="78"/>
      <c r="NOU46" s="78"/>
      <c r="NOV46" s="78"/>
      <c r="NOW46" s="78"/>
      <c r="NOX46" s="78"/>
      <c r="NOY46" s="78"/>
      <c r="NOZ46" s="78"/>
      <c r="NPA46" s="78"/>
      <c r="NPB46" s="78"/>
      <c r="NPC46" s="78"/>
      <c r="NPD46" s="78"/>
      <c r="NPE46" s="78"/>
      <c r="NPF46" s="78"/>
      <c r="NPG46" s="78"/>
      <c r="NPH46" s="78"/>
      <c r="NPI46" s="78"/>
      <c r="NPJ46" s="78"/>
      <c r="NPK46" s="78"/>
      <c r="NPL46" s="78"/>
      <c r="NPM46" s="78"/>
      <c r="NPN46" s="78"/>
      <c r="NPO46" s="78"/>
      <c r="NPP46" s="78"/>
      <c r="NPQ46" s="78"/>
      <c r="NPR46" s="78"/>
      <c r="NPS46" s="78"/>
      <c r="NPT46" s="78"/>
      <c r="NPU46" s="78"/>
      <c r="NPV46" s="78"/>
      <c r="NPW46" s="78"/>
      <c r="NPX46" s="78"/>
      <c r="NPY46" s="78"/>
      <c r="NPZ46" s="78"/>
      <c r="NQA46" s="78"/>
      <c r="NQB46" s="78"/>
      <c r="NQC46" s="78"/>
      <c r="NQD46" s="78"/>
      <c r="NQE46" s="78"/>
      <c r="NQF46" s="78"/>
      <c r="NQG46" s="78"/>
      <c r="NQH46" s="78"/>
      <c r="NQI46" s="78"/>
      <c r="NQJ46" s="78"/>
      <c r="NQK46" s="78"/>
      <c r="NQL46" s="78"/>
      <c r="NQM46" s="78"/>
      <c r="NQN46" s="78"/>
      <c r="NQO46" s="78"/>
      <c r="NQP46" s="78"/>
      <c r="NQQ46" s="78"/>
      <c r="NQR46" s="78"/>
      <c r="NQS46" s="78"/>
      <c r="NQT46" s="78"/>
      <c r="NQU46" s="78"/>
      <c r="NQV46" s="78"/>
      <c r="NQW46" s="78"/>
      <c r="NQX46" s="78"/>
      <c r="NQY46" s="78"/>
      <c r="NQZ46" s="78"/>
      <c r="NRA46" s="78"/>
      <c r="NRB46" s="78"/>
      <c r="NRC46" s="78"/>
      <c r="NRD46" s="78"/>
      <c r="NRE46" s="78"/>
      <c r="NRF46" s="78"/>
      <c r="NRG46" s="78"/>
      <c r="NRH46" s="78"/>
      <c r="NRI46" s="78"/>
      <c r="NRJ46" s="78"/>
      <c r="NRK46" s="78"/>
      <c r="NRL46" s="78"/>
      <c r="NRM46" s="78"/>
      <c r="NRN46" s="78"/>
      <c r="NRO46" s="78"/>
      <c r="NRP46" s="78"/>
      <c r="NRQ46" s="78"/>
      <c r="NRR46" s="78"/>
      <c r="NRS46" s="78"/>
      <c r="NRT46" s="78"/>
      <c r="NRU46" s="78"/>
      <c r="NRV46" s="78"/>
      <c r="NRW46" s="78"/>
      <c r="NRX46" s="78"/>
      <c r="NRY46" s="78"/>
      <c r="NRZ46" s="78"/>
      <c r="NSA46" s="78"/>
      <c r="NSB46" s="78"/>
      <c r="NSC46" s="78"/>
      <c r="NSD46" s="78"/>
      <c r="NSE46" s="78"/>
      <c r="NSF46" s="78"/>
      <c r="NSG46" s="78"/>
      <c r="NSH46" s="78"/>
      <c r="NSI46" s="78"/>
      <c r="NSJ46" s="78"/>
      <c r="NSK46" s="78"/>
      <c r="NSL46" s="78"/>
      <c r="NSM46" s="78"/>
      <c r="NSN46" s="78"/>
      <c r="NSO46" s="78"/>
      <c r="NSP46" s="78"/>
      <c r="NSQ46" s="78"/>
      <c r="NSR46" s="78"/>
      <c r="NSS46" s="78"/>
      <c r="NST46" s="78"/>
      <c r="NSU46" s="78"/>
      <c r="NSV46" s="78"/>
      <c r="NSW46" s="78"/>
      <c r="NSX46" s="78"/>
      <c r="NSY46" s="78"/>
      <c r="NSZ46" s="78"/>
      <c r="NTA46" s="78"/>
      <c r="NTB46" s="78"/>
      <c r="NTC46" s="78"/>
      <c r="NTD46" s="78"/>
      <c r="NTE46" s="78"/>
      <c r="NTF46" s="78"/>
      <c r="NTG46" s="78"/>
      <c r="NTH46" s="78"/>
      <c r="NTI46" s="78"/>
      <c r="NTJ46" s="78"/>
      <c r="NTK46" s="78"/>
      <c r="NTL46" s="78"/>
      <c r="NTM46" s="78"/>
      <c r="NTN46" s="78"/>
      <c r="NTO46" s="78"/>
      <c r="NTP46" s="78"/>
      <c r="NTQ46" s="78"/>
      <c r="NTR46" s="78"/>
      <c r="NTS46" s="78"/>
      <c r="NTT46" s="78"/>
      <c r="NTU46" s="78"/>
      <c r="NTV46" s="78"/>
      <c r="NTW46" s="78"/>
      <c r="NTX46" s="78"/>
      <c r="NTY46" s="78"/>
      <c r="NTZ46" s="78"/>
      <c r="NUA46" s="78"/>
      <c r="NUB46" s="78"/>
      <c r="NUC46" s="78"/>
      <c r="NUD46" s="78"/>
      <c r="NUE46" s="78"/>
      <c r="NUF46" s="78"/>
      <c r="NUG46" s="78"/>
      <c r="NUH46" s="78"/>
      <c r="NUI46" s="78"/>
      <c r="NUJ46" s="78"/>
      <c r="NUK46" s="78"/>
      <c r="NUL46" s="78"/>
      <c r="NUM46" s="78"/>
      <c r="NUN46" s="78"/>
      <c r="NUO46" s="78"/>
      <c r="NUP46" s="78"/>
      <c r="NUQ46" s="78"/>
      <c r="NUR46" s="78"/>
      <c r="NUS46" s="78"/>
      <c r="NUT46" s="78"/>
      <c r="NUU46" s="78"/>
      <c r="NUV46" s="78"/>
      <c r="NUW46" s="78"/>
      <c r="NUX46" s="78"/>
      <c r="NUY46" s="78"/>
      <c r="NUZ46" s="78"/>
      <c r="NVA46" s="78"/>
      <c r="NVB46" s="78"/>
      <c r="NVC46" s="78"/>
      <c r="NVD46" s="78"/>
      <c r="NVE46" s="78"/>
      <c r="NVF46" s="78"/>
      <c r="NVG46" s="78"/>
      <c r="NVH46" s="78"/>
      <c r="NVI46" s="78"/>
      <c r="NVJ46" s="78"/>
      <c r="NVK46" s="78"/>
      <c r="NVL46" s="78"/>
      <c r="NVM46" s="78"/>
      <c r="NVN46" s="78"/>
      <c r="NVO46" s="78"/>
      <c r="NVP46" s="78"/>
      <c r="NVQ46" s="78"/>
      <c r="NVR46" s="78"/>
      <c r="NVS46" s="78"/>
      <c r="NVT46" s="78"/>
      <c r="NVU46" s="78"/>
      <c r="NVV46" s="78"/>
      <c r="NVW46" s="78"/>
      <c r="NVX46" s="78"/>
      <c r="NVY46" s="78"/>
      <c r="NVZ46" s="78"/>
      <c r="NWA46" s="78"/>
      <c r="NWB46" s="78"/>
      <c r="NWC46" s="78"/>
      <c r="NWD46" s="78"/>
      <c r="NWE46" s="78"/>
      <c r="NWF46" s="78"/>
      <c r="NWG46" s="78"/>
      <c r="NWH46" s="78"/>
      <c r="NWI46" s="78"/>
      <c r="NWJ46" s="78"/>
      <c r="NWK46" s="78"/>
      <c r="NWL46" s="78"/>
      <c r="NWM46" s="78"/>
      <c r="NWN46" s="78"/>
      <c r="NWO46" s="78"/>
      <c r="NWP46" s="78"/>
      <c r="NWQ46" s="78"/>
      <c r="NWR46" s="78"/>
      <c r="NWS46" s="78"/>
      <c r="NWT46" s="78"/>
      <c r="NWU46" s="78"/>
      <c r="NWV46" s="78"/>
      <c r="NWW46" s="78"/>
      <c r="NWX46" s="78"/>
      <c r="NWY46" s="78"/>
      <c r="NWZ46" s="78"/>
      <c r="NXA46" s="78"/>
      <c r="NXB46" s="78"/>
      <c r="NXC46" s="78"/>
      <c r="NXD46" s="78"/>
      <c r="NXE46" s="78"/>
      <c r="NXF46" s="78"/>
      <c r="NXG46" s="78"/>
      <c r="NXH46" s="78"/>
      <c r="NXI46" s="78"/>
      <c r="NXJ46" s="78"/>
      <c r="NXK46" s="78"/>
      <c r="NXL46" s="78"/>
      <c r="NXM46" s="78"/>
      <c r="NXN46" s="78"/>
      <c r="NXO46" s="78"/>
      <c r="NXP46" s="78"/>
      <c r="NXQ46" s="78"/>
      <c r="NXR46" s="78"/>
      <c r="NXS46" s="78"/>
      <c r="NXT46" s="78"/>
      <c r="NXU46" s="78"/>
      <c r="NXV46" s="78"/>
      <c r="NXW46" s="78"/>
      <c r="NXX46" s="78"/>
      <c r="NXY46" s="78"/>
      <c r="NXZ46" s="78"/>
      <c r="NYA46" s="78"/>
      <c r="NYB46" s="78"/>
      <c r="NYC46" s="78"/>
      <c r="NYD46" s="78"/>
      <c r="NYE46" s="78"/>
      <c r="NYF46" s="78"/>
      <c r="NYG46" s="78"/>
      <c r="NYH46" s="78"/>
      <c r="NYI46" s="78"/>
      <c r="NYJ46" s="78"/>
      <c r="NYK46" s="78"/>
      <c r="NYL46" s="78"/>
      <c r="NYM46" s="78"/>
      <c r="NYN46" s="78"/>
      <c r="NYO46" s="78"/>
      <c r="NYP46" s="78"/>
      <c r="NYQ46" s="78"/>
      <c r="NYR46" s="78"/>
      <c r="NYS46" s="78"/>
      <c r="NYT46" s="78"/>
      <c r="NYU46" s="78"/>
      <c r="NYV46" s="78"/>
      <c r="NYW46" s="78"/>
      <c r="NYX46" s="78"/>
      <c r="NYY46" s="78"/>
      <c r="NYZ46" s="78"/>
      <c r="NZA46" s="78"/>
      <c r="NZB46" s="78"/>
      <c r="NZC46" s="78"/>
      <c r="NZD46" s="78"/>
      <c r="NZE46" s="78"/>
      <c r="NZF46" s="78"/>
      <c r="NZG46" s="78"/>
      <c r="NZH46" s="78"/>
      <c r="NZI46" s="78"/>
      <c r="NZJ46" s="78"/>
      <c r="NZK46" s="78"/>
      <c r="NZL46" s="78"/>
      <c r="NZM46" s="78"/>
      <c r="NZN46" s="78"/>
      <c r="NZO46" s="78"/>
      <c r="NZP46" s="78"/>
      <c r="NZQ46" s="78"/>
      <c r="NZR46" s="78"/>
      <c r="NZS46" s="78"/>
      <c r="NZT46" s="78"/>
      <c r="NZU46" s="78"/>
      <c r="NZV46" s="78"/>
      <c r="NZW46" s="78"/>
      <c r="NZX46" s="78"/>
      <c r="NZY46" s="78"/>
      <c r="NZZ46" s="78"/>
      <c r="OAA46" s="78"/>
      <c r="OAB46" s="78"/>
      <c r="OAC46" s="78"/>
      <c r="OAD46" s="78"/>
      <c r="OAE46" s="78"/>
      <c r="OAF46" s="78"/>
      <c r="OAG46" s="78"/>
      <c r="OAH46" s="78"/>
      <c r="OAI46" s="78"/>
      <c r="OAJ46" s="78"/>
      <c r="OAK46" s="78"/>
      <c r="OAL46" s="78"/>
      <c r="OAM46" s="78"/>
      <c r="OAN46" s="78"/>
      <c r="OAO46" s="78"/>
      <c r="OAP46" s="78"/>
      <c r="OAQ46" s="78"/>
      <c r="OAR46" s="78"/>
      <c r="OAS46" s="78"/>
      <c r="OAT46" s="78"/>
      <c r="OAU46" s="78"/>
      <c r="OAV46" s="78"/>
      <c r="OAW46" s="78"/>
      <c r="OAX46" s="78"/>
      <c r="OAY46" s="78"/>
      <c r="OAZ46" s="78"/>
      <c r="OBA46" s="78"/>
      <c r="OBB46" s="78"/>
      <c r="OBC46" s="78"/>
      <c r="OBD46" s="78"/>
      <c r="OBE46" s="78"/>
      <c r="OBF46" s="78"/>
      <c r="OBG46" s="78"/>
      <c r="OBH46" s="78"/>
      <c r="OBI46" s="78"/>
      <c r="OBJ46" s="78"/>
      <c r="OBK46" s="78"/>
      <c r="OBL46" s="78"/>
      <c r="OBM46" s="78"/>
      <c r="OBN46" s="78"/>
      <c r="OBO46" s="78"/>
      <c r="OBP46" s="78"/>
      <c r="OBQ46" s="78"/>
      <c r="OBR46" s="78"/>
      <c r="OBS46" s="78"/>
      <c r="OBT46" s="78"/>
      <c r="OBU46" s="78"/>
      <c r="OBV46" s="78"/>
      <c r="OBW46" s="78"/>
      <c r="OBX46" s="78"/>
      <c r="OBY46" s="78"/>
      <c r="OBZ46" s="78"/>
      <c r="OCA46" s="78"/>
      <c r="OCB46" s="78"/>
      <c r="OCC46" s="78"/>
      <c r="OCD46" s="78"/>
      <c r="OCE46" s="78"/>
      <c r="OCF46" s="78"/>
      <c r="OCG46" s="78"/>
      <c r="OCH46" s="78"/>
      <c r="OCI46" s="78"/>
      <c r="OCJ46" s="78"/>
      <c r="OCK46" s="78"/>
      <c r="OCL46" s="78"/>
      <c r="OCM46" s="78"/>
      <c r="OCN46" s="78"/>
      <c r="OCO46" s="78"/>
      <c r="OCP46" s="78"/>
      <c r="OCQ46" s="78"/>
      <c r="OCR46" s="78"/>
      <c r="OCS46" s="78"/>
      <c r="OCT46" s="78"/>
      <c r="OCU46" s="78"/>
      <c r="OCV46" s="78"/>
      <c r="OCW46" s="78"/>
      <c r="OCX46" s="78"/>
      <c r="OCY46" s="78"/>
      <c r="OCZ46" s="78"/>
      <c r="ODA46" s="78"/>
      <c r="ODB46" s="78"/>
      <c r="ODC46" s="78"/>
      <c r="ODD46" s="78"/>
      <c r="ODE46" s="78"/>
      <c r="ODF46" s="78"/>
      <c r="ODG46" s="78"/>
      <c r="ODH46" s="78"/>
      <c r="ODI46" s="78"/>
      <c r="ODJ46" s="78"/>
      <c r="ODK46" s="78"/>
      <c r="ODL46" s="78"/>
      <c r="ODM46" s="78"/>
      <c r="ODN46" s="78"/>
      <c r="ODO46" s="78"/>
      <c r="ODP46" s="78"/>
      <c r="ODQ46" s="78"/>
      <c r="ODR46" s="78"/>
      <c r="ODS46" s="78"/>
      <c r="ODT46" s="78"/>
      <c r="ODU46" s="78"/>
      <c r="ODV46" s="78"/>
      <c r="ODW46" s="78"/>
      <c r="ODX46" s="78"/>
      <c r="ODY46" s="78"/>
      <c r="ODZ46" s="78"/>
      <c r="OEA46" s="78"/>
      <c r="OEB46" s="78"/>
      <c r="OEC46" s="78"/>
      <c r="OED46" s="78"/>
      <c r="OEE46" s="78"/>
      <c r="OEF46" s="78"/>
      <c r="OEG46" s="78"/>
      <c r="OEH46" s="78"/>
      <c r="OEI46" s="78"/>
      <c r="OEJ46" s="78"/>
      <c r="OEK46" s="78"/>
      <c r="OEL46" s="78"/>
      <c r="OEM46" s="78"/>
      <c r="OEN46" s="78"/>
      <c r="OEO46" s="78"/>
      <c r="OEP46" s="78"/>
      <c r="OEQ46" s="78"/>
      <c r="OER46" s="78"/>
      <c r="OES46" s="78"/>
      <c r="OET46" s="78"/>
      <c r="OEU46" s="78"/>
      <c r="OEV46" s="78"/>
      <c r="OEW46" s="78"/>
      <c r="OEX46" s="78"/>
      <c r="OEY46" s="78"/>
      <c r="OEZ46" s="78"/>
      <c r="OFA46" s="78"/>
      <c r="OFB46" s="78"/>
      <c r="OFC46" s="78"/>
      <c r="OFD46" s="78"/>
      <c r="OFE46" s="78"/>
      <c r="OFF46" s="78"/>
      <c r="OFG46" s="78"/>
      <c r="OFH46" s="78"/>
      <c r="OFI46" s="78"/>
      <c r="OFJ46" s="78"/>
      <c r="OFK46" s="78"/>
      <c r="OFL46" s="78"/>
      <c r="OFM46" s="78"/>
      <c r="OFN46" s="78"/>
      <c r="OFO46" s="78"/>
      <c r="OFP46" s="78"/>
      <c r="OFQ46" s="78"/>
      <c r="OFR46" s="78"/>
      <c r="OFS46" s="78"/>
      <c r="OFT46" s="78"/>
      <c r="OFU46" s="78"/>
      <c r="OFV46" s="78"/>
      <c r="OFW46" s="78"/>
      <c r="OFX46" s="78"/>
      <c r="OFY46" s="78"/>
      <c r="OFZ46" s="78"/>
      <c r="OGA46" s="78"/>
      <c r="OGB46" s="78"/>
      <c r="OGC46" s="78"/>
      <c r="OGD46" s="78"/>
      <c r="OGE46" s="78"/>
      <c r="OGF46" s="78"/>
      <c r="OGG46" s="78"/>
      <c r="OGH46" s="78"/>
      <c r="OGI46" s="78"/>
      <c r="OGJ46" s="78"/>
      <c r="OGK46" s="78"/>
      <c r="OGL46" s="78"/>
      <c r="OGM46" s="78"/>
      <c r="OGN46" s="78"/>
      <c r="OGO46" s="78"/>
      <c r="OGP46" s="78"/>
      <c r="OGQ46" s="78"/>
      <c r="OGR46" s="78"/>
      <c r="OGS46" s="78"/>
      <c r="OGT46" s="78"/>
      <c r="OGU46" s="78"/>
      <c r="OGV46" s="78"/>
      <c r="OGW46" s="78"/>
      <c r="OGX46" s="78"/>
      <c r="OGY46" s="78"/>
      <c r="OGZ46" s="78"/>
      <c r="OHA46" s="78"/>
      <c r="OHB46" s="78"/>
      <c r="OHC46" s="78"/>
      <c r="OHD46" s="78"/>
      <c r="OHE46" s="78"/>
      <c r="OHF46" s="78"/>
      <c r="OHG46" s="78"/>
      <c r="OHH46" s="78"/>
      <c r="OHI46" s="78"/>
      <c r="OHJ46" s="78"/>
      <c r="OHK46" s="78"/>
      <c r="OHL46" s="78"/>
      <c r="OHM46" s="78"/>
      <c r="OHN46" s="78"/>
      <c r="OHO46" s="78"/>
      <c r="OHP46" s="78"/>
      <c r="OHQ46" s="78"/>
      <c r="OHR46" s="78"/>
      <c r="OHS46" s="78"/>
      <c r="OHT46" s="78"/>
      <c r="OHU46" s="78"/>
      <c r="OHV46" s="78"/>
      <c r="OHW46" s="78"/>
      <c r="OHX46" s="78"/>
      <c r="OHY46" s="78"/>
      <c r="OHZ46" s="78"/>
      <c r="OIA46" s="78"/>
      <c r="OIB46" s="78"/>
      <c r="OIC46" s="78"/>
      <c r="OID46" s="78"/>
      <c r="OIE46" s="78"/>
      <c r="OIF46" s="78"/>
      <c r="OIG46" s="78"/>
      <c r="OIH46" s="78"/>
      <c r="OII46" s="78"/>
      <c r="OIJ46" s="78"/>
      <c r="OIK46" s="78"/>
      <c r="OIL46" s="78"/>
      <c r="OIM46" s="78"/>
      <c r="OIN46" s="78"/>
      <c r="OIO46" s="78"/>
      <c r="OIP46" s="78"/>
      <c r="OIQ46" s="78"/>
      <c r="OIR46" s="78"/>
      <c r="OIS46" s="78"/>
      <c r="OIT46" s="78"/>
      <c r="OIU46" s="78"/>
      <c r="OIV46" s="78"/>
      <c r="OIW46" s="78"/>
      <c r="OIX46" s="78"/>
      <c r="OIY46" s="78"/>
      <c r="OIZ46" s="78"/>
      <c r="OJA46" s="78"/>
      <c r="OJB46" s="78"/>
      <c r="OJC46" s="78"/>
      <c r="OJD46" s="78"/>
      <c r="OJE46" s="78"/>
      <c r="OJF46" s="78"/>
      <c r="OJG46" s="78"/>
      <c r="OJH46" s="78"/>
      <c r="OJI46" s="78"/>
      <c r="OJJ46" s="78"/>
      <c r="OJK46" s="78"/>
      <c r="OJL46" s="78"/>
      <c r="OJM46" s="78"/>
      <c r="OJN46" s="78"/>
      <c r="OJO46" s="78"/>
      <c r="OJP46" s="78"/>
      <c r="OJQ46" s="78"/>
      <c r="OJR46" s="78"/>
      <c r="OJS46" s="78"/>
      <c r="OJT46" s="78"/>
      <c r="OJU46" s="78"/>
      <c r="OJV46" s="78"/>
      <c r="OJW46" s="78"/>
      <c r="OJX46" s="78"/>
      <c r="OJY46" s="78"/>
      <c r="OJZ46" s="78"/>
      <c r="OKA46" s="78"/>
      <c r="OKB46" s="78"/>
      <c r="OKC46" s="78"/>
      <c r="OKD46" s="78"/>
      <c r="OKE46" s="78"/>
      <c r="OKF46" s="78"/>
      <c r="OKG46" s="78"/>
      <c r="OKH46" s="78"/>
      <c r="OKI46" s="78"/>
      <c r="OKJ46" s="78"/>
      <c r="OKK46" s="78"/>
      <c r="OKL46" s="78"/>
      <c r="OKM46" s="78"/>
      <c r="OKN46" s="78"/>
      <c r="OKO46" s="78"/>
      <c r="OKP46" s="78"/>
      <c r="OKQ46" s="78"/>
      <c r="OKR46" s="78"/>
      <c r="OKS46" s="78"/>
      <c r="OKT46" s="78"/>
      <c r="OKU46" s="78"/>
      <c r="OKV46" s="78"/>
      <c r="OKW46" s="78"/>
      <c r="OKX46" s="78"/>
      <c r="OKY46" s="78"/>
      <c r="OKZ46" s="78"/>
      <c r="OLA46" s="78"/>
      <c r="OLB46" s="78"/>
      <c r="OLC46" s="78"/>
      <c r="OLD46" s="78"/>
      <c r="OLE46" s="78"/>
      <c r="OLF46" s="78"/>
      <c r="OLG46" s="78"/>
      <c r="OLH46" s="78"/>
      <c r="OLI46" s="78"/>
      <c r="OLJ46" s="78"/>
      <c r="OLK46" s="78"/>
      <c r="OLL46" s="78"/>
      <c r="OLM46" s="78"/>
      <c r="OLN46" s="78"/>
      <c r="OLO46" s="78"/>
      <c r="OLP46" s="78"/>
      <c r="OLQ46" s="78"/>
      <c r="OLR46" s="78"/>
      <c r="OLS46" s="78"/>
      <c r="OLT46" s="78"/>
      <c r="OLU46" s="78"/>
      <c r="OLV46" s="78"/>
      <c r="OLW46" s="78"/>
      <c r="OLX46" s="78"/>
      <c r="OLY46" s="78"/>
      <c r="OLZ46" s="78"/>
      <c r="OMA46" s="78"/>
      <c r="OMB46" s="78"/>
      <c r="OMC46" s="78"/>
      <c r="OMD46" s="78"/>
      <c r="OME46" s="78"/>
      <c r="OMF46" s="78"/>
      <c r="OMG46" s="78"/>
      <c r="OMH46" s="78"/>
      <c r="OMI46" s="78"/>
      <c r="OMJ46" s="78"/>
      <c r="OMK46" s="78"/>
      <c r="OML46" s="78"/>
      <c r="OMM46" s="78"/>
      <c r="OMN46" s="78"/>
      <c r="OMO46" s="78"/>
      <c r="OMP46" s="78"/>
      <c r="OMQ46" s="78"/>
      <c r="OMR46" s="78"/>
      <c r="OMS46" s="78"/>
      <c r="OMT46" s="78"/>
      <c r="OMU46" s="78"/>
      <c r="OMV46" s="78"/>
      <c r="OMW46" s="78"/>
      <c r="OMX46" s="78"/>
      <c r="OMY46" s="78"/>
      <c r="OMZ46" s="78"/>
      <c r="ONA46" s="78"/>
      <c r="ONB46" s="78"/>
      <c r="ONC46" s="78"/>
      <c r="OND46" s="78"/>
      <c r="ONE46" s="78"/>
      <c r="ONF46" s="78"/>
      <c r="ONG46" s="78"/>
      <c r="ONH46" s="78"/>
      <c r="ONI46" s="78"/>
      <c r="ONJ46" s="78"/>
      <c r="ONK46" s="78"/>
      <c r="ONL46" s="78"/>
      <c r="ONM46" s="78"/>
      <c r="ONN46" s="78"/>
      <c r="ONO46" s="78"/>
      <c r="ONP46" s="78"/>
      <c r="ONQ46" s="78"/>
      <c r="ONR46" s="78"/>
      <c r="ONS46" s="78"/>
      <c r="ONT46" s="78"/>
      <c r="ONU46" s="78"/>
      <c r="ONV46" s="78"/>
      <c r="ONW46" s="78"/>
      <c r="ONX46" s="78"/>
      <c r="ONY46" s="78"/>
      <c r="ONZ46" s="78"/>
      <c r="OOA46" s="78"/>
      <c r="OOB46" s="78"/>
      <c r="OOC46" s="78"/>
      <c r="OOD46" s="78"/>
      <c r="OOE46" s="78"/>
      <c r="OOF46" s="78"/>
      <c r="OOG46" s="78"/>
      <c r="OOH46" s="78"/>
      <c r="OOI46" s="78"/>
      <c r="OOJ46" s="78"/>
      <c r="OOK46" s="78"/>
      <c r="OOL46" s="78"/>
      <c r="OOM46" s="78"/>
      <c r="OON46" s="78"/>
      <c r="OOO46" s="78"/>
      <c r="OOP46" s="78"/>
      <c r="OOQ46" s="78"/>
      <c r="OOR46" s="78"/>
      <c r="OOS46" s="78"/>
      <c r="OOT46" s="78"/>
      <c r="OOU46" s="78"/>
      <c r="OOV46" s="78"/>
      <c r="OOW46" s="78"/>
      <c r="OOX46" s="78"/>
      <c r="OOY46" s="78"/>
      <c r="OOZ46" s="78"/>
      <c r="OPA46" s="78"/>
      <c r="OPB46" s="78"/>
      <c r="OPC46" s="78"/>
      <c r="OPD46" s="78"/>
      <c r="OPE46" s="78"/>
      <c r="OPF46" s="78"/>
      <c r="OPG46" s="78"/>
      <c r="OPH46" s="78"/>
      <c r="OPI46" s="78"/>
      <c r="OPJ46" s="78"/>
      <c r="OPK46" s="78"/>
      <c r="OPL46" s="78"/>
      <c r="OPM46" s="78"/>
      <c r="OPN46" s="78"/>
      <c r="OPO46" s="78"/>
      <c r="OPP46" s="78"/>
      <c r="OPQ46" s="78"/>
      <c r="OPR46" s="78"/>
      <c r="OPS46" s="78"/>
      <c r="OPT46" s="78"/>
      <c r="OPU46" s="78"/>
      <c r="OPV46" s="78"/>
      <c r="OPW46" s="78"/>
      <c r="OPX46" s="78"/>
      <c r="OPY46" s="78"/>
      <c r="OPZ46" s="78"/>
      <c r="OQA46" s="78"/>
      <c r="OQB46" s="78"/>
      <c r="OQC46" s="78"/>
      <c r="OQD46" s="78"/>
      <c r="OQE46" s="78"/>
      <c r="OQF46" s="78"/>
      <c r="OQG46" s="78"/>
      <c r="OQH46" s="78"/>
      <c r="OQI46" s="78"/>
      <c r="OQJ46" s="78"/>
      <c r="OQK46" s="78"/>
      <c r="OQL46" s="78"/>
      <c r="OQM46" s="78"/>
      <c r="OQN46" s="78"/>
      <c r="OQO46" s="78"/>
      <c r="OQP46" s="78"/>
      <c r="OQQ46" s="78"/>
      <c r="OQR46" s="78"/>
      <c r="OQS46" s="78"/>
      <c r="OQT46" s="78"/>
      <c r="OQU46" s="78"/>
      <c r="OQV46" s="78"/>
      <c r="OQW46" s="78"/>
      <c r="OQX46" s="78"/>
      <c r="OQY46" s="78"/>
      <c r="OQZ46" s="78"/>
      <c r="ORA46" s="78"/>
      <c r="ORB46" s="78"/>
      <c r="ORC46" s="78"/>
      <c r="ORD46" s="78"/>
      <c r="ORE46" s="78"/>
      <c r="ORF46" s="78"/>
      <c r="ORG46" s="78"/>
      <c r="ORH46" s="78"/>
      <c r="ORI46" s="78"/>
      <c r="ORJ46" s="78"/>
      <c r="ORK46" s="78"/>
      <c r="ORL46" s="78"/>
      <c r="ORM46" s="78"/>
      <c r="ORN46" s="78"/>
      <c r="ORO46" s="78"/>
      <c r="ORP46" s="78"/>
      <c r="ORQ46" s="78"/>
      <c r="ORR46" s="78"/>
      <c r="ORS46" s="78"/>
      <c r="ORT46" s="78"/>
      <c r="ORU46" s="78"/>
      <c r="ORV46" s="78"/>
      <c r="ORW46" s="78"/>
      <c r="ORX46" s="78"/>
      <c r="ORY46" s="78"/>
      <c r="ORZ46" s="78"/>
      <c r="OSA46" s="78"/>
      <c r="OSB46" s="78"/>
      <c r="OSC46" s="78"/>
      <c r="OSD46" s="78"/>
      <c r="OSE46" s="78"/>
      <c r="OSF46" s="78"/>
      <c r="OSG46" s="78"/>
      <c r="OSH46" s="78"/>
      <c r="OSI46" s="78"/>
      <c r="OSJ46" s="78"/>
      <c r="OSK46" s="78"/>
      <c r="OSL46" s="78"/>
      <c r="OSM46" s="78"/>
      <c r="OSN46" s="78"/>
      <c r="OSO46" s="78"/>
      <c r="OSP46" s="78"/>
      <c r="OSQ46" s="78"/>
      <c r="OSR46" s="78"/>
      <c r="OSS46" s="78"/>
      <c r="OST46" s="78"/>
      <c r="OSU46" s="78"/>
      <c r="OSV46" s="78"/>
      <c r="OSW46" s="78"/>
      <c r="OSX46" s="78"/>
      <c r="OSY46" s="78"/>
      <c r="OSZ46" s="78"/>
      <c r="OTA46" s="78"/>
      <c r="OTB46" s="78"/>
      <c r="OTC46" s="78"/>
      <c r="OTD46" s="78"/>
      <c r="OTE46" s="78"/>
      <c r="OTF46" s="78"/>
      <c r="OTG46" s="78"/>
      <c r="OTH46" s="78"/>
      <c r="OTI46" s="78"/>
      <c r="OTJ46" s="78"/>
      <c r="OTK46" s="78"/>
      <c r="OTL46" s="78"/>
      <c r="OTM46" s="78"/>
      <c r="OTN46" s="78"/>
      <c r="OTO46" s="78"/>
      <c r="OTP46" s="78"/>
      <c r="OTQ46" s="78"/>
      <c r="OTR46" s="78"/>
      <c r="OTS46" s="78"/>
      <c r="OTT46" s="78"/>
      <c r="OTU46" s="78"/>
      <c r="OTV46" s="78"/>
      <c r="OTW46" s="78"/>
      <c r="OTX46" s="78"/>
      <c r="OTY46" s="78"/>
      <c r="OTZ46" s="78"/>
      <c r="OUA46" s="78"/>
      <c r="OUB46" s="78"/>
      <c r="OUC46" s="78"/>
      <c r="OUD46" s="78"/>
      <c r="OUE46" s="78"/>
      <c r="OUF46" s="78"/>
      <c r="OUG46" s="78"/>
      <c r="OUH46" s="78"/>
      <c r="OUI46" s="78"/>
      <c r="OUJ46" s="78"/>
      <c r="OUK46" s="78"/>
      <c r="OUL46" s="78"/>
      <c r="OUM46" s="78"/>
      <c r="OUN46" s="78"/>
      <c r="OUO46" s="78"/>
      <c r="OUP46" s="78"/>
      <c r="OUQ46" s="78"/>
      <c r="OUR46" s="78"/>
      <c r="OUS46" s="78"/>
      <c r="OUT46" s="78"/>
      <c r="OUU46" s="78"/>
      <c r="OUV46" s="78"/>
      <c r="OUW46" s="78"/>
      <c r="OUX46" s="78"/>
      <c r="OUY46" s="78"/>
      <c r="OUZ46" s="78"/>
      <c r="OVA46" s="78"/>
      <c r="OVB46" s="78"/>
      <c r="OVC46" s="78"/>
      <c r="OVD46" s="78"/>
      <c r="OVE46" s="78"/>
      <c r="OVF46" s="78"/>
      <c r="OVG46" s="78"/>
      <c r="OVH46" s="78"/>
      <c r="OVI46" s="78"/>
      <c r="OVJ46" s="78"/>
      <c r="OVK46" s="78"/>
      <c r="OVL46" s="78"/>
      <c r="OVM46" s="78"/>
      <c r="OVN46" s="78"/>
      <c r="OVO46" s="78"/>
      <c r="OVP46" s="78"/>
      <c r="OVQ46" s="78"/>
      <c r="OVR46" s="78"/>
      <c r="OVS46" s="78"/>
      <c r="OVT46" s="78"/>
      <c r="OVU46" s="78"/>
      <c r="OVV46" s="78"/>
      <c r="OVW46" s="78"/>
      <c r="OVX46" s="78"/>
      <c r="OVY46" s="78"/>
      <c r="OVZ46" s="78"/>
      <c r="OWA46" s="78"/>
      <c r="OWB46" s="78"/>
      <c r="OWC46" s="78"/>
      <c r="OWD46" s="78"/>
      <c r="OWE46" s="78"/>
      <c r="OWF46" s="78"/>
      <c r="OWG46" s="78"/>
      <c r="OWH46" s="78"/>
      <c r="OWI46" s="78"/>
      <c r="OWJ46" s="78"/>
      <c r="OWK46" s="78"/>
      <c r="OWL46" s="78"/>
      <c r="OWM46" s="78"/>
      <c r="OWN46" s="78"/>
      <c r="OWO46" s="78"/>
      <c r="OWP46" s="78"/>
      <c r="OWQ46" s="78"/>
      <c r="OWR46" s="78"/>
      <c r="OWS46" s="78"/>
      <c r="OWT46" s="78"/>
      <c r="OWU46" s="78"/>
      <c r="OWV46" s="78"/>
      <c r="OWW46" s="78"/>
      <c r="OWX46" s="78"/>
      <c r="OWY46" s="78"/>
      <c r="OWZ46" s="78"/>
      <c r="OXA46" s="78"/>
      <c r="OXB46" s="78"/>
      <c r="OXC46" s="78"/>
      <c r="OXD46" s="78"/>
      <c r="OXE46" s="78"/>
      <c r="OXF46" s="78"/>
      <c r="OXG46" s="78"/>
      <c r="OXH46" s="78"/>
      <c r="OXI46" s="78"/>
      <c r="OXJ46" s="78"/>
      <c r="OXK46" s="78"/>
      <c r="OXL46" s="78"/>
      <c r="OXM46" s="78"/>
      <c r="OXN46" s="78"/>
      <c r="OXO46" s="78"/>
      <c r="OXP46" s="78"/>
      <c r="OXQ46" s="78"/>
      <c r="OXR46" s="78"/>
      <c r="OXS46" s="78"/>
      <c r="OXT46" s="78"/>
      <c r="OXU46" s="78"/>
      <c r="OXV46" s="78"/>
      <c r="OXW46" s="78"/>
      <c r="OXX46" s="78"/>
      <c r="OXY46" s="78"/>
      <c r="OXZ46" s="78"/>
      <c r="OYA46" s="78"/>
      <c r="OYB46" s="78"/>
      <c r="OYC46" s="78"/>
      <c r="OYD46" s="78"/>
      <c r="OYE46" s="78"/>
      <c r="OYF46" s="78"/>
      <c r="OYG46" s="78"/>
      <c r="OYH46" s="78"/>
      <c r="OYI46" s="78"/>
      <c r="OYJ46" s="78"/>
      <c r="OYK46" s="78"/>
      <c r="OYL46" s="78"/>
      <c r="OYM46" s="78"/>
      <c r="OYN46" s="78"/>
      <c r="OYO46" s="78"/>
      <c r="OYP46" s="78"/>
      <c r="OYQ46" s="78"/>
      <c r="OYR46" s="78"/>
      <c r="OYS46" s="78"/>
      <c r="OYT46" s="78"/>
      <c r="OYU46" s="78"/>
      <c r="OYV46" s="78"/>
      <c r="OYW46" s="78"/>
      <c r="OYX46" s="78"/>
      <c r="OYY46" s="78"/>
      <c r="OYZ46" s="78"/>
      <c r="OZA46" s="78"/>
      <c r="OZB46" s="78"/>
      <c r="OZC46" s="78"/>
      <c r="OZD46" s="78"/>
      <c r="OZE46" s="78"/>
      <c r="OZF46" s="78"/>
      <c r="OZG46" s="78"/>
      <c r="OZH46" s="78"/>
      <c r="OZI46" s="78"/>
      <c r="OZJ46" s="78"/>
      <c r="OZK46" s="78"/>
      <c r="OZL46" s="78"/>
      <c r="OZM46" s="78"/>
      <c r="OZN46" s="78"/>
      <c r="OZO46" s="78"/>
      <c r="OZP46" s="78"/>
      <c r="OZQ46" s="78"/>
      <c r="OZR46" s="78"/>
      <c r="OZS46" s="78"/>
      <c r="OZT46" s="78"/>
      <c r="OZU46" s="78"/>
      <c r="OZV46" s="78"/>
      <c r="OZW46" s="78"/>
      <c r="OZX46" s="78"/>
      <c r="OZY46" s="78"/>
      <c r="OZZ46" s="78"/>
      <c r="PAA46" s="78"/>
      <c r="PAB46" s="78"/>
      <c r="PAC46" s="78"/>
      <c r="PAD46" s="78"/>
      <c r="PAE46" s="78"/>
      <c r="PAF46" s="78"/>
      <c r="PAG46" s="78"/>
      <c r="PAH46" s="78"/>
      <c r="PAI46" s="78"/>
      <c r="PAJ46" s="78"/>
      <c r="PAK46" s="78"/>
      <c r="PAL46" s="78"/>
      <c r="PAM46" s="78"/>
      <c r="PAN46" s="78"/>
      <c r="PAO46" s="78"/>
      <c r="PAP46" s="78"/>
      <c r="PAQ46" s="78"/>
      <c r="PAR46" s="78"/>
      <c r="PAS46" s="78"/>
      <c r="PAT46" s="78"/>
      <c r="PAU46" s="78"/>
      <c r="PAV46" s="78"/>
      <c r="PAW46" s="78"/>
      <c r="PAX46" s="78"/>
      <c r="PAY46" s="78"/>
      <c r="PAZ46" s="78"/>
      <c r="PBA46" s="78"/>
      <c r="PBB46" s="78"/>
      <c r="PBC46" s="78"/>
      <c r="PBD46" s="78"/>
      <c r="PBE46" s="78"/>
      <c r="PBF46" s="78"/>
      <c r="PBG46" s="78"/>
      <c r="PBH46" s="78"/>
      <c r="PBI46" s="78"/>
      <c r="PBJ46" s="78"/>
      <c r="PBK46" s="78"/>
      <c r="PBL46" s="78"/>
      <c r="PBM46" s="78"/>
      <c r="PBN46" s="78"/>
      <c r="PBO46" s="78"/>
      <c r="PBP46" s="78"/>
      <c r="PBQ46" s="78"/>
      <c r="PBR46" s="78"/>
      <c r="PBS46" s="78"/>
      <c r="PBT46" s="78"/>
      <c r="PBU46" s="78"/>
      <c r="PBV46" s="78"/>
      <c r="PBW46" s="78"/>
      <c r="PBX46" s="78"/>
      <c r="PBY46" s="78"/>
      <c r="PBZ46" s="78"/>
      <c r="PCA46" s="78"/>
      <c r="PCB46" s="78"/>
      <c r="PCC46" s="78"/>
      <c r="PCD46" s="78"/>
      <c r="PCE46" s="78"/>
      <c r="PCF46" s="78"/>
      <c r="PCG46" s="78"/>
      <c r="PCH46" s="78"/>
      <c r="PCI46" s="78"/>
      <c r="PCJ46" s="78"/>
      <c r="PCK46" s="78"/>
      <c r="PCL46" s="78"/>
      <c r="PCM46" s="78"/>
      <c r="PCN46" s="78"/>
      <c r="PCO46" s="78"/>
      <c r="PCP46" s="78"/>
      <c r="PCQ46" s="78"/>
      <c r="PCR46" s="78"/>
      <c r="PCS46" s="78"/>
      <c r="PCT46" s="78"/>
      <c r="PCU46" s="78"/>
      <c r="PCV46" s="78"/>
      <c r="PCW46" s="78"/>
      <c r="PCX46" s="78"/>
      <c r="PCY46" s="78"/>
      <c r="PCZ46" s="78"/>
      <c r="PDA46" s="78"/>
      <c r="PDB46" s="78"/>
      <c r="PDC46" s="78"/>
      <c r="PDD46" s="78"/>
      <c r="PDE46" s="78"/>
      <c r="PDF46" s="78"/>
      <c r="PDG46" s="78"/>
      <c r="PDH46" s="78"/>
      <c r="PDI46" s="78"/>
      <c r="PDJ46" s="78"/>
      <c r="PDK46" s="78"/>
      <c r="PDL46" s="78"/>
      <c r="PDM46" s="78"/>
      <c r="PDN46" s="78"/>
      <c r="PDO46" s="78"/>
      <c r="PDP46" s="78"/>
      <c r="PDQ46" s="78"/>
      <c r="PDR46" s="78"/>
      <c r="PDS46" s="78"/>
      <c r="PDT46" s="78"/>
      <c r="PDU46" s="78"/>
      <c r="PDV46" s="78"/>
      <c r="PDW46" s="78"/>
      <c r="PDX46" s="78"/>
      <c r="PDY46" s="78"/>
      <c r="PDZ46" s="78"/>
      <c r="PEA46" s="78"/>
      <c r="PEB46" s="78"/>
      <c r="PEC46" s="78"/>
      <c r="PED46" s="78"/>
      <c r="PEE46" s="78"/>
      <c r="PEF46" s="78"/>
      <c r="PEG46" s="78"/>
      <c r="PEH46" s="78"/>
      <c r="PEI46" s="78"/>
      <c r="PEJ46" s="78"/>
      <c r="PEK46" s="78"/>
      <c r="PEL46" s="78"/>
      <c r="PEM46" s="78"/>
      <c r="PEN46" s="78"/>
      <c r="PEO46" s="78"/>
      <c r="PEP46" s="78"/>
      <c r="PEQ46" s="78"/>
      <c r="PER46" s="78"/>
      <c r="PES46" s="78"/>
      <c r="PET46" s="78"/>
      <c r="PEU46" s="78"/>
      <c r="PEV46" s="78"/>
      <c r="PEW46" s="78"/>
      <c r="PEX46" s="78"/>
      <c r="PEY46" s="78"/>
      <c r="PEZ46" s="78"/>
      <c r="PFA46" s="78"/>
      <c r="PFB46" s="78"/>
      <c r="PFC46" s="78"/>
      <c r="PFD46" s="78"/>
      <c r="PFE46" s="78"/>
      <c r="PFF46" s="78"/>
      <c r="PFG46" s="78"/>
      <c r="PFH46" s="78"/>
      <c r="PFI46" s="78"/>
      <c r="PFJ46" s="78"/>
      <c r="PFK46" s="78"/>
      <c r="PFL46" s="78"/>
      <c r="PFM46" s="78"/>
      <c r="PFN46" s="78"/>
      <c r="PFO46" s="78"/>
      <c r="PFP46" s="78"/>
      <c r="PFQ46" s="78"/>
      <c r="PFR46" s="78"/>
      <c r="PFS46" s="78"/>
      <c r="PFT46" s="78"/>
      <c r="PFU46" s="78"/>
      <c r="PFV46" s="78"/>
      <c r="PFW46" s="78"/>
      <c r="PFX46" s="78"/>
      <c r="PFY46" s="78"/>
      <c r="PFZ46" s="78"/>
      <c r="PGA46" s="78"/>
      <c r="PGB46" s="78"/>
      <c r="PGC46" s="78"/>
      <c r="PGD46" s="78"/>
      <c r="PGE46" s="78"/>
      <c r="PGF46" s="78"/>
      <c r="PGG46" s="78"/>
      <c r="PGH46" s="78"/>
      <c r="PGI46" s="78"/>
      <c r="PGJ46" s="78"/>
      <c r="PGK46" s="78"/>
      <c r="PGL46" s="78"/>
      <c r="PGM46" s="78"/>
      <c r="PGN46" s="78"/>
      <c r="PGO46" s="78"/>
      <c r="PGP46" s="78"/>
      <c r="PGQ46" s="78"/>
      <c r="PGR46" s="78"/>
      <c r="PGS46" s="78"/>
      <c r="PGT46" s="78"/>
      <c r="PGU46" s="78"/>
      <c r="PGV46" s="78"/>
      <c r="PGW46" s="78"/>
      <c r="PGX46" s="78"/>
      <c r="PGY46" s="78"/>
      <c r="PGZ46" s="78"/>
      <c r="PHA46" s="78"/>
      <c r="PHB46" s="78"/>
      <c r="PHC46" s="78"/>
      <c r="PHD46" s="78"/>
      <c r="PHE46" s="78"/>
      <c r="PHF46" s="78"/>
      <c r="PHG46" s="78"/>
      <c r="PHH46" s="78"/>
      <c r="PHI46" s="78"/>
      <c r="PHJ46" s="78"/>
      <c r="PHK46" s="78"/>
      <c r="PHL46" s="78"/>
      <c r="PHM46" s="78"/>
      <c r="PHN46" s="78"/>
      <c r="PHO46" s="78"/>
      <c r="PHP46" s="78"/>
      <c r="PHQ46" s="78"/>
      <c r="PHR46" s="78"/>
      <c r="PHS46" s="78"/>
      <c r="PHT46" s="78"/>
      <c r="PHU46" s="78"/>
      <c r="PHV46" s="78"/>
      <c r="PHW46" s="78"/>
      <c r="PHX46" s="78"/>
      <c r="PHY46" s="78"/>
      <c r="PHZ46" s="78"/>
      <c r="PIA46" s="78"/>
      <c r="PIB46" s="78"/>
      <c r="PIC46" s="78"/>
      <c r="PID46" s="78"/>
      <c r="PIE46" s="78"/>
      <c r="PIF46" s="78"/>
      <c r="PIG46" s="78"/>
      <c r="PIH46" s="78"/>
      <c r="PII46" s="78"/>
      <c r="PIJ46" s="78"/>
      <c r="PIK46" s="78"/>
      <c r="PIL46" s="78"/>
      <c r="PIM46" s="78"/>
      <c r="PIN46" s="78"/>
      <c r="PIO46" s="78"/>
      <c r="PIP46" s="78"/>
      <c r="PIQ46" s="78"/>
      <c r="PIR46" s="78"/>
      <c r="PIS46" s="78"/>
      <c r="PIT46" s="78"/>
      <c r="PIU46" s="78"/>
      <c r="PIV46" s="78"/>
      <c r="PIW46" s="78"/>
      <c r="PIX46" s="78"/>
      <c r="PIY46" s="78"/>
      <c r="PIZ46" s="78"/>
      <c r="PJA46" s="78"/>
      <c r="PJB46" s="78"/>
      <c r="PJC46" s="78"/>
      <c r="PJD46" s="78"/>
      <c r="PJE46" s="78"/>
      <c r="PJF46" s="78"/>
      <c r="PJG46" s="78"/>
      <c r="PJH46" s="78"/>
      <c r="PJI46" s="78"/>
      <c r="PJJ46" s="78"/>
      <c r="PJK46" s="78"/>
      <c r="PJL46" s="78"/>
      <c r="PJM46" s="78"/>
      <c r="PJN46" s="78"/>
      <c r="PJO46" s="78"/>
      <c r="PJP46" s="78"/>
      <c r="PJQ46" s="78"/>
      <c r="PJR46" s="78"/>
      <c r="PJS46" s="78"/>
      <c r="PJT46" s="78"/>
      <c r="PJU46" s="78"/>
      <c r="PJV46" s="78"/>
      <c r="PJW46" s="78"/>
      <c r="PJX46" s="78"/>
      <c r="PJY46" s="78"/>
      <c r="PJZ46" s="78"/>
      <c r="PKA46" s="78"/>
      <c r="PKB46" s="78"/>
      <c r="PKC46" s="78"/>
      <c r="PKD46" s="78"/>
      <c r="PKE46" s="78"/>
      <c r="PKF46" s="78"/>
      <c r="PKG46" s="78"/>
      <c r="PKH46" s="78"/>
      <c r="PKI46" s="78"/>
      <c r="PKJ46" s="78"/>
      <c r="PKK46" s="78"/>
      <c r="PKL46" s="78"/>
      <c r="PKM46" s="78"/>
      <c r="PKN46" s="78"/>
      <c r="PKO46" s="78"/>
      <c r="PKP46" s="78"/>
      <c r="PKQ46" s="78"/>
      <c r="PKR46" s="78"/>
      <c r="PKS46" s="78"/>
      <c r="PKT46" s="78"/>
      <c r="PKU46" s="78"/>
      <c r="PKV46" s="78"/>
      <c r="PKW46" s="78"/>
      <c r="PKX46" s="78"/>
      <c r="PKY46" s="78"/>
      <c r="PKZ46" s="78"/>
      <c r="PLA46" s="78"/>
      <c r="PLB46" s="78"/>
      <c r="PLC46" s="78"/>
      <c r="PLD46" s="78"/>
      <c r="PLE46" s="78"/>
      <c r="PLF46" s="78"/>
      <c r="PLG46" s="78"/>
      <c r="PLH46" s="78"/>
      <c r="PLI46" s="78"/>
      <c r="PLJ46" s="78"/>
      <c r="PLK46" s="78"/>
      <c r="PLL46" s="78"/>
      <c r="PLM46" s="78"/>
      <c r="PLN46" s="78"/>
      <c r="PLO46" s="78"/>
      <c r="PLP46" s="78"/>
      <c r="PLQ46" s="78"/>
      <c r="PLR46" s="78"/>
      <c r="PLS46" s="78"/>
      <c r="PLT46" s="78"/>
      <c r="PLU46" s="78"/>
      <c r="PLV46" s="78"/>
      <c r="PLW46" s="78"/>
      <c r="PLX46" s="78"/>
      <c r="PLY46" s="78"/>
      <c r="PLZ46" s="78"/>
      <c r="PMA46" s="78"/>
      <c r="PMB46" s="78"/>
      <c r="PMC46" s="78"/>
      <c r="PMD46" s="78"/>
      <c r="PME46" s="78"/>
      <c r="PMF46" s="78"/>
      <c r="PMG46" s="78"/>
      <c r="PMH46" s="78"/>
      <c r="PMI46" s="78"/>
      <c r="PMJ46" s="78"/>
      <c r="PMK46" s="78"/>
      <c r="PML46" s="78"/>
      <c r="PMM46" s="78"/>
      <c r="PMN46" s="78"/>
      <c r="PMO46" s="78"/>
      <c r="PMP46" s="78"/>
      <c r="PMQ46" s="78"/>
      <c r="PMR46" s="78"/>
      <c r="PMS46" s="78"/>
      <c r="PMT46" s="78"/>
      <c r="PMU46" s="78"/>
      <c r="PMV46" s="78"/>
      <c r="PMW46" s="78"/>
      <c r="PMX46" s="78"/>
      <c r="PMY46" s="78"/>
      <c r="PMZ46" s="78"/>
      <c r="PNA46" s="78"/>
      <c r="PNB46" s="78"/>
      <c r="PNC46" s="78"/>
      <c r="PND46" s="78"/>
      <c r="PNE46" s="78"/>
      <c r="PNF46" s="78"/>
      <c r="PNG46" s="78"/>
      <c r="PNH46" s="78"/>
      <c r="PNI46" s="78"/>
      <c r="PNJ46" s="78"/>
      <c r="PNK46" s="78"/>
      <c r="PNL46" s="78"/>
      <c r="PNM46" s="78"/>
      <c r="PNN46" s="78"/>
      <c r="PNO46" s="78"/>
      <c r="PNP46" s="78"/>
      <c r="PNQ46" s="78"/>
      <c r="PNR46" s="78"/>
      <c r="PNS46" s="78"/>
      <c r="PNT46" s="78"/>
      <c r="PNU46" s="78"/>
      <c r="PNV46" s="78"/>
      <c r="PNW46" s="78"/>
      <c r="PNX46" s="78"/>
      <c r="PNY46" s="78"/>
      <c r="PNZ46" s="78"/>
      <c r="POA46" s="78"/>
      <c r="POB46" s="78"/>
      <c r="POC46" s="78"/>
      <c r="POD46" s="78"/>
      <c r="POE46" s="78"/>
      <c r="POF46" s="78"/>
      <c r="POG46" s="78"/>
      <c r="POH46" s="78"/>
      <c r="POI46" s="78"/>
      <c r="POJ46" s="78"/>
      <c r="POK46" s="78"/>
      <c r="POL46" s="78"/>
      <c r="POM46" s="78"/>
      <c r="PON46" s="78"/>
      <c r="POO46" s="78"/>
      <c r="POP46" s="78"/>
      <c r="POQ46" s="78"/>
      <c r="POR46" s="78"/>
      <c r="POS46" s="78"/>
      <c r="POT46" s="78"/>
      <c r="POU46" s="78"/>
      <c r="POV46" s="78"/>
      <c r="POW46" s="78"/>
      <c r="POX46" s="78"/>
      <c r="POY46" s="78"/>
      <c r="POZ46" s="78"/>
      <c r="PPA46" s="78"/>
      <c r="PPB46" s="78"/>
      <c r="PPC46" s="78"/>
      <c r="PPD46" s="78"/>
      <c r="PPE46" s="78"/>
      <c r="PPF46" s="78"/>
      <c r="PPG46" s="78"/>
      <c r="PPH46" s="78"/>
      <c r="PPI46" s="78"/>
      <c r="PPJ46" s="78"/>
      <c r="PPK46" s="78"/>
      <c r="PPL46" s="78"/>
      <c r="PPM46" s="78"/>
      <c r="PPN46" s="78"/>
      <c r="PPO46" s="78"/>
      <c r="PPP46" s="78"/>
      <c r="PPQ46" s="78"/>
      <c r="PPR46" s="78"/>
      <c r="PPS46" s="78"/>
      <c r="PPT46" s="78"/>
      <c r="PPU46" s="78"/>
      <c r="PPV46" s="78"/>
      <c r="PPW46" s="78"/>
      <c r="PPX46" s="78"/>
      <c r="PPY46" s="78"/>
      <c r="PPZ46" s="78"/>
      <c r="PQA46" s="78"/>
      <c r="PQB46" s="78"/>
      <c r="PQC46" s="78"/>
      <c r="PQD46" s="78"/>
      <c r="PQE46" s="78"/>
      <c r="PQF46" s="78"/>
      <c r="PQG46" s="78"/>
      <c r="PQH46" s="78"/>
      <c r="PQI46" s="78"/>
      <c r="PQJ46" s="78"/>
      <c r="PQK46" s="78"/>
      <c r="PQL46" s="78"/>
      <c r="PQM46" s="78"/>
      <c r="PQN46" s="78"/>
      <c r="PQO46" s="78"/>
      <c r="PQP46" s="78"/>
      <c r="PQQ46" s="78"/>
      <c r="PQR46" s="78"/>
      <c r="PQS46" s="78"/>
      <c r="PQT46" s="78"/>
      <c r="PQU46" s="78"/>
      <c r="PQV46" s="78"/>
      <c r="PQW46" s="78"/>
      <c r="PQX46" s="78"/>
      <c r="PQY46" s="78"/>
      <c r="PQZ46" s="78"/>
      <c r="PRA46" s="78"/>
      <c r="PRB46" s="78"/>
      <c r="PRC46" s="78"/>
      <c r="PRD46" s="78"/>
      <c r="PRE46" s="78"/>
      <c r="PRF46" s="78"/>
      <c r="PRG46" s="78"/>
      <c r="PRH46" s="78"/>
      <c r="PRI46" s="78"/>
      <c r="PRJ46" s="78"/>
      <c r="PRK46" s="78"/>
      <c r="PRL46" s="78"/>
      <c r="PRM46" s="78"/>
      <c r="PRN46" s="78"/>
      <c r="PRO46" s="78"/>
      <c r="PRP46" s="78"/>
      <c r="PRQ46" s="78"/>
      <c r="PRR46" s="78"/>
      <c r="PRS46" s="78"/>
      <c r="PRT46" s="78"/>
      <c r="PRU46" s="78"/>
      <c r="PRV46" s="78"/>
      <c r="PRW46" s="78"/>
      <c r="PRX46" s="78"/>
      <c r="PRY46" s="78"/>
      <c r="PRZ46" s="78"/>
      <c r="PSA46" s="78"/>
      <c r="PSB46" s="78"/>
      <c r="PSC46" s="78"/>
      <c r="PSD46" s="78"/>
      <c r="PSE46" s="78"/>
      <c r="PSF46" s="78"/>
      <c r="PSG46" s="78"/>
      <c r="PSH46" s="78"/>
      <c r="PSI46" s="78"/>
      <c r="PSJ46" s="78"/>
      <c r="PSK46" s="78"/>
      <c r="PSL46" s="78"/>
      <c r="PSM46" s="78"/>
      <c r="PSN46" s="78"/>
      <c r="PSO46" s="78"/>
      <c r="PSP46" s="78"/>
      <c r="PSQ46" s="78"/>
      <c r="PSR46" s="78"/>
      <c r="PSS46" s="78"/>
      <c r="PST46" s="78"/>
      <c r="PSU46" s="78"/>
      <c r="PSV46" s="78"/>
      <c r="PSW46" s="78"/>
      <c r="PSX46" s="78"/>
      <c r="PSY46" s="78"/>
      <c r="PSZ46" s="78"/>
      <c r="PTA46" s="78"/>
      <c r="PTB46" s="78"/>
      <c r="PTC46" s="78"/>
      <c r="PTD46" s="78"/>
      <c r="PTE46" s="78"/>
      <c r="PTF46" s="78"/>
      <c r="PTG46" s="78"/>
      <c r="PTH46" s="78"/>
      <c r="PTI46" s="78"/>
      <c r="PTJ46" s="78"/>
      <c r="PTK46" s="78"/>
      <c r="PTL46" s="78"/>
      <c r="PTM46" s="78"/>
      <c r="PTN46" s="78"/>
      <c r="PTO46" s="78"/>
      <c r="PTP46" s="78"/>
      <c r="PTQ46" s="78"/>
      <c r="PTR46" s="78"/>
      <c r="PTS46" s="78"/>
      <c r="PTT46" s="78"/>
      <c r="PTU46" s="78"/>
      <c r="PTV46" s="78"/>
      <c r="PTW46" s="78"/>
      <c r="PTX46" s="78"/>
      <c r="PTY46" s="78"/>
      <c r="PTZ46" s="78"/>
      <c r="PUA46" s="78"/>
      <c r="PUB46" s="78"/>
      <c r="PUC46" s="78"/>
      <c r="PUD46" s="78"/>
      <c r="PUE46" s="78"/>
      <c r="PUF46" s="78"/>
      <c r="PUG46" s="78"/>
      <c r="PUH46" s="78"/>
      <c r="PUI46" s="78"/>
      <c r="PUJ46" s="78"/>
      <c r="PUK46" s="78"/>
      <c r="PUL46" s="78"/>
      <c r="PUM46" s="78"/>
      <c r="PUN46" s="78"/>
      <c r="PUO46" s="78"/>
      <c r="PUP46" s="78"/>
      <c r="PUQ46" s="78"/>
      <c r="PUR46" s="78"/>
      <c r="PUS46" s="78"/>
      <c r="PUT46" s="78"/>
      <c r="PUU46" s="78"/>
      <c r="PUV46" s="78"/>
      <c r="PUW46" s="78"/>
      <c r="PUX46" s="78"/>
      <c r="PUY46" s="78"/>
      <c r="PUZ46" s="78"/>
      <c r="PVA46" s="78"/>
      <c r="PVB46" s="78"/>
      <c r="PVC46" s="78"/>
      <c r="PVD46" s="78"/>
      <c r="PVE46" s="78"/>
      <c r="PVF46" s="78"/>
      <c r="PVG46" s="78"/>
      <c r="PVH46" s="78"/>
      <c r="PVI46" s="78"/>
      <c r="PVJ46" s="78"/>
      <c r="PVK46" s="78"/>
      <c r="PVL46" s="78"/>
      <c r="PVM46" s="78"/>
      <c r="PVN46" s="78"/>
      <c r="PVO46" s="78"/>
      <c r="PVP46" s="78"/>
      <c r="PVQ46" s="78"/>
      <c r="PVR46" s="78"/>
      <c r="PVS46" s="78"/>
      <c r="PVT46" s="78"/>
      <c r="PVU46" s="78"/>
      <c r="PVV46" s="78"/>
      <c r="PVW46" s="78"/>
      <c r="PVX46" s="78"/>
      <c r="PVY46" s="78"/>
      <c r="PVZ46" s="78"/>
      <c r="PWA46" s="78"/>
      <c r="PWB46" s="78"/>
      <c r="PWC46" s="78"/>
      <c r="PWD46" s="78"/>
      <c r="PWE46" s="78"/>
      <c r="PWF46" s="78"/>
      <c r="PWG46" s="78"/>
      <c r="PWH46" s="78"/>
      <c r="PWI46" s="78"/>
      <c r="PWJ46" s="78"/>
      <c r="PWK46" s="78"/>
      <c r="PWL46" s="78"/>
      <c r="PWM46" s="78"/>
      <c r="PWN46" s="78"/>
      <c r="PWO46" s="78"/>
      <c r="PWP46" s="78"/>
      <c r="PWQ46" s="78"/>
      <c r="PWR46" s="78"/>
      <c r="PWS46" s="78"/>
      <c r="PWT46" s="78"/>
      <c r="PWU46" s="78"/>
      <c r="PWV46" s="78"/>
      <c r="PWW46" s="78"/>
      <c r="PWX46" s="78"/>
      <c r="PWY46" s="78"/>
      <c r="PWZ46" s="78"/>
      <c r="PXA46" s="78"/>
      <c r="PXB46" s="78"/>
      <c r="PXC46" s="78"/>
      <c r="PXD46" s="78"/>
      <c r="PXE46" s="78"/>
      <c r="PXF46" s="78"/>
      <c r="PXG46" s="78"/>
      <c r="PXH46" s="78"/>
      <c r="PXI46" s="78"/>
      <c r="PXJ46" s="78"/>
      <c r="PXK46" s="78"/>
      <c r="PXL46" s="78"/>
      <c r="PXM46" s="78"/>
      <c r="PXN46" s="78"/>
      <c r="PXO46" s="78"/>
      <c r="PXP46" s="78"/>
      <c r="PXQ46" s="78"/>
      <c r="PXR46" s="78"/>
      <c r="PXS46" s="78"/>
      <c r="PXT46" s="78"/>
      <c r="PXU46" s="78"/>
      <c r="PXV46" s="78"/>
      <c r="PXW46" s="78"/>
      <c r="PXX46" s="78"/>
      <c r="PXY46" s="78"/>
      <c r="PXZ46" s="78"/>
      <c r="PYA46" s="78"/>
      <c r="PYB46" s="78"/>
      <c r="PYC46" s="78"/>
      <c r="PYD46" s="78"/>
      <c r="PYE46" s="78"/>
      <c r="PYF46" s="78"/>
      <c r="PYG46" s="78"/>
      <c r="PYH46" s="78"/>
      <c r="PYI46" s="78"/>
      <c r="PYJ46" s="78"/>
      <c r="PYK46" s="78"/>
      <c r="PYL46" s="78"/>
      <c r="PYM46" s="78"/>
      <c r="PYN46" s="78"/>
      <c r="PYO46" s="78"/>
      <c r="PYP46" s="78"/>
      <c r="PYQ46" s="78"/>
      <c r="PYR46" s="78"/>
      <c r="PYS46" s="78"/>
      <c r="PYT46" s="78"/>
      <c r="PYU46" s="78"/>
      <c r="PYV46" s="78"/>
      <c r="PYW46" s="78"/>
      <c r="PYX46" s="78"/>
      <c r="PYY46" s="78"/>
      <c r="PYZ46" s="78"/>
      <c r="PZA46" s="78"/>
      <c r="PZB46" s="78"/>
      <c r="PZC46" s="78"/>
      <c r="PZD46" s="78"/>
      <c r="PZE46" s="78"/>
      <c r="PZF46" s="78"/>
      <c r="PZG46" s="78"/>
      <c r="PZH46" s="78"/>
      <c r="PZI46" s="78"/>
      <c r="PZJ46" s="78"/>
      <c r="PZK46" s="78"/>
      <c r="PZL46" s="78"/>
      <c r="PZM46" s="78"/>
      <c r="PZN46" s="78"/>
      <c r="PZO46" s="78"/>
      <c r="PZP46" s="78"/>
      <c r="PZQ46" s="78"/>
      <c r="PZR46" s="78"/>
      <c r="PZS46" s="78"/>
      <c r="PZT46" s="78"/>
      <c r="PZU46" s="78"/>
      <c r="PZV46" s="78"/>
      <c r="PZW46" s="78"/>
      <c r="PZX46" s="78"/>
      <c r="PZY46" s="78"/>
      <c r="PZZ46" s="78"/>
      <c r="QAA46" s="78"/>
      <c r="QAB46" s="78"/>
      <c r="QAC46" s="78"/>
      <c r="QAD46" s="78"/>
      <c r="QAE46" s="78"/>
      <c r="QAF46" s="78"/>
      <c r="QAG46" s="78"/>
      <c r="QAH46" s="78"/>
      <c r="QAI46" s="78"/>
      <c r="QAJ46" s="78"/>
      <c r="QAK46" s="78"/>
      <c r="QAL46" s="78"/>
      <c r="QAM46" s="78"/>
      <c r="QAN46" s="78"/>
      <c r="QAO46" s="78"/>
      <c r="QAP46" s="78"/>
      <c r="QAQ46" s="78"/>
      <c r="QAR46" s="78"/>
      <c r="QAS46" s="78"/>
      <c r="QAT46" s="78"/>
      <c r="QAU46" s="78"/>
      <c r="QAV46" s="78"/>
      <c r="QAW46" s="78"/>
      <c r="QAX46" s="78"/>
      <c r="QAY46" s="78"/>
      <c r="QAZ46" s="78"/>
      <c r="QBA46" s="78"/>
      <c r="QBB46" s="78"/>
      <c r="QBC46" s="78"/>
      <c r="QBD46" s="78"/>
      <c r="QBE46" s="78"/>
      <c r="QBF46" s="78"/>
      <c r="QBG46" s="78"/>
      <c r="QBH46" s="78"/>
      <c r="QBI46" s="78"/>
      <c r="QBJ46" s="78"/>
      <c r="QBK46" s="78"/>
      <c r="QBL46" s="78"/>
      <c r="QBM46" s="78"/>
      <c r="QBN46" s="78"/>
      <c r="QBO46" s="78"/>
      <c r="QBP46" s="78"/>
      <c r="QBQ46" s="78"/>
      <c r="QBR46" s="78"/>
      <c r="QBS46" s="78"/>
      <c r="QBT46" s="78"/>
      <c r="QBU46" s="78"/>
      <c r="QBV46" s="78"/>
      <c r="QBW46" s="78"/>
      <c r="QBX46" s="78"/>
      <c r="QBY46" s="78"/>
      <c r="QBZ46" s="78"/>
      <c r="QCA46" s="78"/>
      <c r="QCB46" s="78"/>
      <c r="QCC46" s="78"/>
      <c r="QCD46" s="78"/>
      <c r="QCE46" s="78"/>
      <c r="QCF46" s="78"/>
      <c r="QCG46" s="78"/>
      <c r="QCH46" s="78"/>
      <c r="QCI46" s="78"/>
      <c r="QCJ46" s="78"/>
      <c r="QCK46" s="78"/>
      <c r="QCL46" s="78"/>
      <c r="QCM46" s="78"/>
      <c r="QCN46" s="78"/>
      <c r="QCO46" s="78"/>
      <c r="QCP46" s="78"/>
      <c r="QCQ46" s="78"/>
      <c r="QCR46" s="78"/>
      <c r="QCS46" s="78"/>
      <c r="QCT46" s="78"/>
      <c r="QCU46" s="78"/>
      <c r="QCV46" s="78"/>
      <c r="QCW46" s="78"/>
      <c r="QCX46" s="78"/>
      <c r="QCY46" s="78"/>
      <c r="QCZ46" s="78"/>
      <c r="QDA46" s="78"/>
      <c r="QDB46" s="78"/>
      <c r="QDC46" s="78"/>
      <c r="QDD46" s="78"/>
      <c r="QDE46" s="78"/>
      <c r="QDF46" s="78"/>
      <c r="QDG46" s="78"/>
      <c r="QDH46" s="78"/>
      <c r="QDI46" s="78"/>
      <c r="QDJ46" s="78"/>
      <c r="QDK46" s="78"/>
      <c r="QDL46" s="78"/>
      <c r="QDM46" s="78"/>
      <c r="QDN46" s="78"/>
      <c r="QDO46" s="78"/>
      <c r="QDP46" s="78"/>
      <c r="QDQ46" s="78"/>
      <c r="QDR46" s="78"/>
      <c r="QDS46" s="78"/>
      <c r="QDT46" s="78"/>
      <c r="QDU46" s="78"/>
      <c r="QDV46" s="78"/>
      <c r="QDW46" s="78"/>
      <c r="QDX46" s="78"/>
      <c r="QDY46" s="78"/>
      <c r="QDZ46" s="78"/>
      <c r="QEA46" s="78"/>
      <c r="QEB46" s="78"/>
      <c r="QEC46" s="78"/>
      <c r="QED46" s="78"/>
      <c r="QEE46" s="78"/>
      <c r="QEF46" s="78"/>
      <c r="QEG46" s="78"/>
      <c r="QEH46" s="78"/>
      <c r="QEI46" s="78"/>
      <c r="QEJ46" s="78"/>
      <c r="QEK46" s="78"/>
      <c r="QEL46" s="78"/>
      <c r="QEM46" s="78"/>
      <c r="QEN46" s="78"/>
      <c r="QEO46" s="78"/>
      <c r="QEP46" s="78"/>
      <c r="QEQ46" s="78"/>
      <c r="QER46" s="78"/>
      <c r="QES46" s="78"/>
      <c r="QET46" s="78"/>
      <c r="QEU46" s="78"/>
      <c r="QEV46" s="78"/>
      <c r="QEW46" s="78"/>
      <c r="QEX46" s="78"/>
      <c r="QEY46" s="78"/>
      <c r="QEZ46" s="78"/>
      <c r="QFA46" s="78"/>
      <c r="QFB46" s="78"/>
      <c r="QFC46" s="78"/>
      <c r="QFD46" s="78"/>
      <c r="QFE46" s="78"/>
      <c r="QFF46" s="78"/>
      <c r="QFG46" s="78"/>
      <c r="QFH46" s="78"/>
      <c r="QFI46" s="78"/>
      <c r="QFJ46" s="78"/>
      <c r="QFK46" s="78"/>
      <c r="QFL46" s="78"/>
      <c r="QFM46" s="78"/>
      <c r="QFN46" s="78"/>
      <c r="QFO46" s="78"/>
      <c r="QFP46" s="78"/>
      <c r="QFQ46" s="78"/>
      <c r="QFR46" s="78"/>
      <c r="QFS46" s="78"/>
      <c r="QFT46" s="78"/>
      <c r="QFU46" s="78"/>
      <c r="QFV46" s="78"/>
      <c r="QFW46" s="78"/>
      <c r="QFX46" s="78"/>
      <c r="QFY46" s="78"/>
      <c r="QFZ46" s="78"/>
      <c r="QGA46" s="78"/>
      <c r="QGB46" s="78"/>
      <c r="QGC46" s="78"/>
      <c r="QGD46" s="78"/>
      <c r="QGE46" s="78"/>
      <c r="QGF46" s="78"/>
      <c r="QGG46" s="78"/>
      <c r="QGH46" s="78"/>
      <c r="QGI46" s="78"/>
      <c r="QGJ46" s="78"/>
      <c r="QGK46" s="78"/>
      <c r="QGL46" s="78"/>
      <c r="QGM46" s="78"/>
      <c r="QGN46" s="78"/>
      <c r="QGO46" s="78"/>
      <c r="QGP46" s="78"/>
      <c r="QGQ46" s="78"/>
      <c r="QGR46" s="78"/>
      <c r="QGS46" s="78"/>
      <c r="QGT46" s="78"/>
      <c r="QGU46" s="78"/>
      <c r="QGV46" s="78"/>
      <c r="QGW46" s="78"/>
      <c r="QGX46" s="78"/>
      <c r="QGY46" s="78"/>
      <c r="QGZ46" s="78"/>
      <c r="QHA46" s="78"/>
      <c r="QHB46" s="78"/>
      <c r="QHC46" s="78"/>
      <c r="QHD46" s="78"/>
      <c r="QHE46" s="78"/>
      <c r="QHF46" s="78"/>
      <c r="QHG46" s="78"/>
      <c r="QHH46" s="78"/>
      <c r="QHI46" s="78"/>
      <c r="QHJ46" s="78"/>
      <c r="QHK46" s="78"/>
      <c r="QHL46" s="78"/>
      <c r="QHM46" s="78"/>
      <c r="QHN46" s="78"/>
      <c r="QHO46" s="78"/>
      <c r="QHP46" s="78"/>
      <c r="QHQ46" s="78"/>
      <c r="QHR46" s="78"/>
      <c r="QHS46" s="78"/>
      <c r="QHT46" s="78"/>
      <c r="QHU46" s="78"/>
      <c r="QHV46" s="78"/>
      <c r="QHW46" s="78"/>
      <c r="QHX46" s="78"/>
      <c r="QHY46" s="78"/>
      <c r="QHZ46" s="78"/>
      <c r="QIA46" s="78"/>
      <c r="QIB46" s="78"/>
      <c r="QIC46" s="78"/>
      <c r="QID46" s="78"/>
      <c r="QIE46" s="78"/>
      <c r="QIF46" s="78"/>
      <c r="QIG46" s="78"/>
      <c r="QIH46" s="78"/>
      <c r="QII46" s="78"/>
      <c r="QIJ46" s="78"/>
      <c r="QIK46" s="78"/>
      <c r="QIL46" s="78"/>
      <c r="QIM46" s="78"/>
      <c r="QIN46" s="78"/>
      <c r="QIO46" s="78"/>
      <c r="QIP46" s="78"/>
      <c r="QIQ46" s="78"/>
      <c r="QIR46" s="78"/>
      <c r="QIS46" s="78"/>
      <c r="QIT46" s="78"/>
      <c r="QIU46" s="78"/>
      <c r="QIV46" s="78"/>
      <c r="QIW46" s="78"/>
      <c r="QIX46" s="78"/>
      <c r="QIY46" s="78"/>
      <c r="QIZ46" s="78"/>
      <c r="QJA46" s="78"/>
      <c r="QJB46" s="78"/>
      <c r="QJC46" s="78"/>
      <c r="QJD46" s="78"/>
      <c r="QJE46" s="78"/>
      <c r="QJF46" s="78"/>
      <c r="QJG46" s="78"/>
      <c r="QJH46" s="78"/>
      <c r="QJI46" s="78"/>
      <c r="QJJ46" s="78"/>
      <c r="QJK46" s="78"/>
      <c r="QJL46" s="78"/>
      <c r="QJM46" s="78"/>
      <c r="QJN46" s="78"/>
      <c r="QJO46" s="78"/>
      <c r="QJP46" s="78"/>
      <c r="QJQ46" s="78"/>
      <c r="QJR46" s="78"/>
      <c r="QJS46" s="78"/>
      <c r="QJT46" s="78"/>
      <c r="QJU46" s="78"/>
      <c r="QJV46" s="78"/>
      <c r="QJW46" s="78"/>
      <c r="QJX46" s="78"/>
      <c r="QJY46" s="78"/>
      <c r="QJZ46" s="78"/>
      <c r="QKA46" s="78"/>
      <c r="QKB46" s="78"/>
      <c r="QKC46" s="78"/>
      <c r="QKD46" s="78"/>
      <c r="QKE46" s="78"/>
      <c r="QKF46" s="78"/>
      <c r="QKG46" s="78"/>
      <c r="QKH46" s="78"/>
      <c r="QKI46" s="78"/>
      <c r="QKJ46" s="78"/>
      <c r="QKK46" s="78"/>
      <c r="QKL46" s="78"/>
      <c r="QKM46" s="78"/>
      <c r="QKN46" s="78"/>
      <c r="QKO46" s="78"/>
      <c r="QKP46" s="78"/>
      <c r="QKQ46" s="78"/>
      <c r="QKR46" s="78"/>
      <c r="QKS46" s="78"/>
      <c r="QKT46" s="78"/>
      <c r="QKU46" s="78"/>
      <c r="QKV46" s="78"/>
      <c r="QKW46" s="78"/>
      <c r="QKX46" s="78"/>
      <c r="QKY46" s="78"/>
      <c r="QKZ46" s="78"/>
      <c r="QLA46" s="78"/>
      <c r="QLB46" s="78"/>
      <c r="QLC46" s="78"/>
      <c r="QLD46" s="78"/>
      <c r="QLE46" s="78"/>
      <c r="QLF46" s="78"/>
      <c r="QLG46" s="78"/>
      <c r="QLH46" s="78"/>
      <c r="QLI46" s="78"/>
      <c r="QLJ46" s="78"/>
      <c r="QLK46" s="78"/>
      <c r="QLL46" s="78"/>
      <c r="QLM46" s="78"/>
      <c r="QLN46" s="78"/>
      <c r="QLO46" s="78"/>
      <c r="QLP46" s="78"/>
      <c r="QLQ46" s="78"/>
      <c r="QLR46" s="78"/>
      <c r="QLS46" s="78"/>
      <c r="QLT46" s="78"/>
      <c r="QLU46" s="78"/>
      <c r="QLV46" s="78"/>
      <c r="QLW46" s="78"/>
      <c r="QLX46" s="78"/>
      <c r="QLY46" s="78"/>
      <c r="QLZ46" s="78"/>
      <c r="QMA46" s="78"/>
      <c r="QMB46" s="78"/>
      <c r="QMC46" s="78"/>
      <c r="QMD46" s="78"/>
      <c r="QME46" s="78"/>
      <c r="QMF46" s="78"/>
      <c r="QMG46" s="78"/>
      <c r="QMH46" s="78"/>
      <c r="QMI46" s="78"/>
      <c r="QMJ46" s="78"/>
      <c r="QMK46" s="78"/>
      <c r="QML46" s="78"/>
      <c r="QMM46" s="78"/>
      <c r="QMN46" s="78"/>
      <c r="QMO46" s="78"/>
      <c r="QMP46" s="78"/>
      <c r="QMQ46" s="78"/>
      <c r="QMR46" s="78"/>
      <c r="QMS46" s="78"/>
      <c r="QMT46" s="78"/>
      <c r="QMU46" s="78"/>
      <c r="QMV46" s="78"/>
      <c r="QMW46" s="78"/>
      <c r="QMX46" s="78"/>
      <c r="QMY46" s="78"/>
      <c r="QMZ46" s="78"/>
      <c r="QNA46" s="78"/>
      <c r="QNB46" s="78"/>
      <c r="QNC46" s="78"/>
      <c r="QND46" s="78"/>
      <c r="QNE46" s="78"/>
      <c r="QNF46" s="78"/>
      <c r="QNG46" s="78"/>
      <c r="QNH46" s="78"/>
      <c r="QNI46" s="78"/>
      <c r="QNJ46" s="78"/>
      <c r="QNK46" s="78"/>
      <c r="QNL46" s="78"/>
      <c r="QNM46" s="78"/>
      <c r="QNN46" s="78"/>
      <c r="QNO46" s="78"/>
      <c r="QNP46" s="78"/>
      <c r="QNQ46" s="78"/>
      <c r="QNR46" s="78"/>
      <c r="QNS46" s="78"/>
      <c r="QNT46" s="78"/>
      <c r="QNU46" s="78"/>
      <c r="QNV46" s="78"/>
      <c r="QNW46" s="78"/>
      <c r="QNX46" s="78"/>
      <c r="QNY46" s="78"/>
      <c r="QNZ46" s="78"/>
      <c r="QOA46" s="78"/>
      <c r="QOB46" s="78"/>
      <c r="QOC46" s="78"/>
      <c r="QOD46" s="78"/>
      <c r="QOE46" s="78"/>
      <c r="QOF46" s="78"/>
      <c r="QOG46" s="78"/>
      <c r="QOH46" s="78"/>
      <c r="QOI46" s="78"/>
      <c r="QOJ46" s="78"/>
      <c r="QOK46" s="78"/>
      <c r="QOL46" s="78"/>
      <c r="QOM46" s="78"/>
      <c r="QON46" s="78"/>
      <c r="QOO46" s="78"/>
      <c r="QOP46" s="78"/>
      <c r="QOQ46" s="78"/>
      <c r="QOR46" s="78"/>
      <c r="QOS46" s="78"/>
      <c r="QOT46" s="78"/>
      <c r="QOU46" s="78"/>
      <c r="QOV46" s="78"/>
      <c r="QOW46" s="78"/>
      <c r="QOX46" s="78"/>
      <c r="QOY46" s="78"/>
      <c r="QOZ46" s="78"/>
      <c r="QPA46" s="78"/>
      <c r="QPB46" s="78"/>
      <c r="QPC46" s="78"/>
      <c r="QPD46" s="78"/>
      <c r="QPE46" s="78"/>
      <c r="QPF46" s="78"/>
      <c r="QPG46" s="78"/>
      <c r="QPH46" s="78"/>
      <c r="QPI46" s="78"/>
      <c r="QPJ46" s="78"/>
      <c r="QPK46" s="78"/>
      <c r="QPL46" s="78"/>
      <c r="QPM46" s="78"/>
      <c r="QPN46" s="78"/>
      <c r="QPO46" s="78"/>
      <c r="QPP46" s="78"/>
      <c r="QPQ46" s="78"/>
      <c r="QPR46" s="78"/>
      <c r="QPS46" s="78"/>
      <c r="QPT46" s="78"/>
      <c r="QPU46" s="78"/>
      <c r="QPV46" s="78"/>
      <c r="QPW46" s="78"/>
      <c r="QPX46" s="78"/>
      <c r="QPY46" s="78"/>
      <c r="QPZ46" s="78"/>
      <c r="QQA46" s="78"/>
      <c r="QQB46" s="78"/>
      <c r="QQC46" s="78"/>
      <c r="QQD46" s="78"/>
      <c r="QQE46" s="78"/>
      <c r="QQF46" s="78"/>
      <c r="QQG46" s="78"/>
      <c r="QQH46" s="78"/>
      <c r="QQI46" s="78"/>
      <c r="QQJ46" s="78"/>
      <c r="QQK46" s="78"/>
      <c r="QQL46" s="78"/>
      <c r="QQM46" s="78"/>
      <c r="QQN46" s="78"/>
      <c r="QQO46" s="78"/>
      <c r="QQP46" s="78"/>
      <c r="QQQ46" s="78"/>
      <c r="QQR46" s="78"/>
      <c r="QQS46" s="78"/>
      <c r="QQT46" s="78"/>
      <c r="QQU46" s="78"/>
      <c r="QQV46" s="78"/>
      <c r="QQW46" s="78"/>
      <c r="QQX46" s="78"/>
      <c r="QQY46" s="78"/>
      <c r="QQZ46" s="78"/>
      <c r="QRA46" s="78"/>
      <c r="QRB46" s="78"/>
      <c r="QRC46" s="78"/>
      <c r="QRD46" s="78"/>
      <c r="QRE46" s="78"/>
      <c r="QRF46" s="78"/>
      <c r="QRG46" s="78"/>
      <c r="QRH46" s="78"/>
      <c r="QRI46" s="78"/>
      <c r="QRJ46" s="78"/>
      <c r="QRK46" s="78"/>
      <c r="QRL46" s="78"/>
      <c r="QRM46" s="78"/>
      <c r="QRN46" s="78"/>
      <c r="QRO46" s="78"/>
      <c r="QRP46" s="78"/>
      <c r="QRQ46" s="78"/>
      <c r="QRR46" s="78"/>
      <c r="QRS46" s="78"/>
      <c r="QRT46" s="78"/>
      <c r="QRU46" s="78"/>
      <c r="QRV46" s="78"/>
      <c r="QRW46" s="78"/>
      <c r="QRX46" s="78"/>
      <c r="QRY46" s="78"/>
      <c r="QRZ46" s="78"/>
      <c r="QSA46" s="78"/>
      <c r="QSB46" s="78"/>
      <c r="QSC46" s="78"/>
      <c r="QSD46" s="78"/>
      <c r="QSE46" s="78"/>
      <c r="QSF46" s="78"/>
      <c r="QSG46" s="78"/>
      <c r="QSH46" s="78"/>
      <c r="QSI46" s="78"/>
      <c r="QSJ46" s="78"/>
      <c r="QSK46" s="78"/>
      <c r="QSL46" s="78"/>
      <c r="QSM46" s="78"/>
      <c r="QSN46" s="78"/>
      <c r="QSO46" s="78"/>
      <c r="QSP46" s="78"/>
      <c r="QSQ46" s="78"/>
      <c r="QSR46" s="78"/>
      <c r="QSS46" s="78"/>
      <c r="QST46" s="78"/>
      <c r="QSU46" s="78"/>
      <c r="QSV46" s="78"/>
      <c r="QSW46" s="78"/>
      <c r="QSX46" s="78"/>
      <c r="QSY46" s="78"/>
      <c r="QSZ46" s="78"/>
      <c r="QTA46" s="78"/>
      <c r="QTB46" s="78"/>
      <c r="QTC46" s="78"/>
      <c r="QTD46" s="78"/>
      <c r="QTE46" s="78"/>
      <c r="QTF46" s="78"/>
      <c r="QTG46" s="78"/>
      <c r="QTH46" s="78"/>
      <c r="QTI46" s="78"/>
      <c r="QTJ46" s="78"/>
      <c r="QTK46" s="78"/>
      <c r="QTL46" s="78"/>
      <c r="QTM46" s="78"/>
      <c r="QTN46" s="78"/>
      <c r="QTO46" s="78"/>
      <c r="QTP46" s="78"/>
      <c r="QTQ46" s="78"/>
      <c r="QTR46" s="78"/>
      <c r="QTS46" s="78"/>
      <c r="QTT46" s="78"/>
      <c r="QTU46" s="78"/>
      <c r="QTV46" s="78"/>
      <c r="QTW46" s="78"/>
      <c r="QTX46" s="78"/>
      <c r="QTY46" s="78"/>
      <c r="QTZ46" s="78"/>
      <c r="QUA46" s="78"/>
      <c r="QUB46" s="78"/>
      <c r="QUC46" s="78"/>
      <c r="QUD46" s="78"/>
      <c r="QUE46" s="78"/>
      <c r="QUF46" s="78"/>
      <c r="QUG46" s="78"/>
      <c r="QUH46" s="78"/>
      <c r="QUI46" s="78"/>
      <c r="QUJ46" s="78"/>
      <c r="QUK46" s="78"/>
      <c r="QUL46" s="78"/>
      <c r="QUM46" s="78"/>
      <c r="QUN46" s="78"/>
      <c r="QUO46" s="78"/>
      <c r="QUP46" s="78"/>
      <c r="QUQ46" s="78"/>
      <c r="QUR46" s="78"/>
      <c r="QUS46" s="78"/>
      <c r="QUT46" s="78"/>
      <c r="QUU46" s="78"/>
      <c r="QUV46" s="78"/>
      <c r="QUW46" s="78"/>
      <c r="QUX46" s="78"/>
      <c r="QUY46" s="78"/>
      <c r="QUZ46" s="78"/>
      <c r="QVA46" s="78"/>
      <c r="QVB46" s="78"/>
      <c r="QVC46" s="78"/>
      <c r="QVD46" s="78"/>
      <c r="QVE46" s="78"/>
      <c r="QVF46" s="78"/>
      <c r="QVG46" s="78"/>
      <c r="QVH46" s="78"/>
      <c r="QVI46" s="78"/>
      <c r="QVJ46" s="78"/>
      <c r="QVK46" s="78"/>
      <c r="QVL46" s="78"/>
      <c r="QVM46" s="78"/>
      <c r="QVN46" s="78"/>
      <c r="QVO46" s="78"/>
      <c r="QVP46" s="78"/>
      <c r="QVQ46" s="78"/>
      <c r="QVR46" s="78"/>
      <c r="QVS46" s="78"/>
      <c r="QVT46" s="78"/>
      <c r="QVU46" s="78"/>
      <c r="QVV46" s="78"/>
      <c r="QVW46" s="78"/>
      <c r="QVX46" s="78"/>
      <c r="QVY46" s="78"/>
      <c r="QVZ46" s="78"/>
      <c r="QWA46" s="78"/>
      <c r="QWB46" s="78"/>
      <c r="QWC46" s="78"/>
      <c r="QWD46" s="78"/>
      <c r="QWE46" s="78"/>
      <c r="QWF46" s="78"/>
      <c r="QWG46" s="78"/>
      <c r="QWH46" s="78"/>
      <c r="QWI46" s="78"/>
      <c r="QWJ46" s="78"/>
      <c r="QWK46" s="78"/>
      <c r="QWL46" s="78"/>
      <c r="QWM46" s="78"/>
      <c r="QWN46" s="78"/>
      <c r="QWO46" s="78"/>
      <c r="QWP46" s="78"/>
      <c r="QWQ46" s="78"/>
      <c r="QWR46" s="78"/>
      <c r="QWS46" s="78"/>
      <c r="QWT46" s="78"/>
      <c r="QWU46" s="78"/>
      <c r="QWV46" s="78"/>
      <c r="QWW46" s="78"/>
      <c r="QWX46" s="78"/>
      <c r="QWY46" s="78"/>
      <c r="QWZ46" s="78"/>
      <c r="QXA46" s="78"/>
      <c r="QXB46" s="78"/>
      <c r="QXC46" s="78"/>
      <c r="QXD46" s="78"/>
      <c r="QXE46" s="78"/>
      <c r="QXF46" s="78"/>
      <c r="QXG46" s="78"/>
      <c r="QXH46" s="78"/>
      <c r="QXI46" s="78"/>
      <c r="QXJ46" s="78"/>
      <c r="QXK46" s="78"/>
      <c r="QXL46" s="78"/>
      <c r="QXM46" s="78"/>
      <c r="QXN46" s="78"/>
      <c r="QXO46" s="78"/>
      <c r="QXP46" s="78"/>
      <c r="QXQ46" s="78"/>
      <c r="QXR46" s="78"/>
      <c r="QXS46" s="78"/>
      <c r="QXT46" s="78"/>
      <c r="QXU46" s="78"/>
      <c r="QXV46" s="78"/>
      <c r="QXW46" s="78"/>
      <c r="QXX46" s="78"/>
      <c r="QXY46" s="78"/>
      <c r="QXZ46" s="78"/>
      <c r="QYA46" s="78"/>
      <c r="QYB46" s="78"/>
      <c r="QYC46" s="78"/>
      <c r="QYD46" s="78"/>
      <c r="QYE46" s="78"/>
      <c r="QYF46" s="78"/>
      <c r="QYG46" s="78"/>
      <c r="QYH46" s="78"/>
      <c r="QYI46" s="78"/>
      <c r="QYJ46" s="78"/>
      <c r="QYK46" s="78"/>
      <c r="QYL46" s="78"/>
      <c r="QYM46" s="78"/>
      <c r="QYN46" s="78"/>
      <c r="QYO46" s="78"/>
      <c r="QYP46" s="78"/>
      <c r="QYQ46" s="78"/>
      <c r="QYR46" s="78"/>
      <c r="QYS46" s="78"/>
      <c r="QYT46" s="78"/>
      <c r="QYU46" s="78"/>
      <c r="QYV46" s="78"/>
      <c r="QYW46" s="78"/>
      <c r="QYX46" s="78"/>
      <c r="QYY46" s="78"/>
      <c r="QYZ46" s="78"/>
      <c r="QZA46" s="78"/>
      <c r="QZB46" s="78"/>
      <c r="QZC46" s="78"/>
      <c r="QZD46" s="78"/>
      <c r="QZE46" s="78"/>
      <c r="QZF46" s="78"/>
      <c r="QZG46" s="78"/>
      <c r="QZH46" s="78"/>
      <c r="QZI46" s="78"/>
      <c r="QZJ46" s="78"/>
      <c r="QZK46" s="78"/>
      <c r="QZL46" s="78"/>
      <c r="QZM46" s="78"/>
      <c r="QZN46" s="78"/>
      <c r="QZO46" s="78"/>
      <c r="QZP46" s="78"/>
      <c r="QZQ46" s="78"/>
      <c r="QZR46" s="78"/>
      <c r="QZS46" s="78"/>
      <c r="QZT46" s="78"/>
      <c r="QZU46" s="78"/>
      <c r="QZV46" s="78"/>
      <c r="QZW46" s="78"/>
      <c r="QZX46" s="78"/>
      <c r="QZY46" s="78"/>
      <c r="QZZ46" s="78"/>
      <c r="RAA46" s="78"/>
      <c r="RAB46" s="78"/>
      <c r="RAC46" s="78"/>
      <c r="RAD46" s="78"/>
      <c r="RAE46" s="78"/>
      <c r="RAF46" s="78"/>
      <c r="RAG46" s="78"/>
      <c r="RAH46" s="78"/>
      <c r="RAI46" s="78"/>
      <c r="RAJ46" s="78"/>
      <c r="RAK46" s="78"/>
      <c r="RAL46" s="78"/>
      <c r="RAM46" s="78"/>
      <c r="RAN46" s="78"/>
      <c r="RAO46" s="78"/>
      <c r="RAP46" s="78"/>
      <c r="RAQ46" s="78"/>
      <c r="RAR46" s="78"/>
      <c r="RAS46" s="78"/>
      <c r="RAT46" s="78"/>
      <c r="RAU46" s="78"/>
      <c r="RAV46" s="78"/>
      <c r="RAW46" s="78"/>
      <c r="RAX46" s="78"/>
      <c r="RAY46" s="78"/>
      <c r="RAZ46" s="78"/>
      <c r="RBA46" s="78"/>
      <c r="RBB46" s="78"/>
      <c r="RBC46" s="78"/>
      <c r="RBD46" s="78"/>
      <c r="RBE46" s="78"/>
      <c r="RBF46" s="78"/>
      <c r="RBG46" s="78"/>
      <c r="RBH46" s="78"/>
      <c r="RBI46" s="78"/>
      <c r="RBJ46" s="78"/>
      <c r="RBK46" s="78"/>
      <c r="RBL46" s="78"/>
      <c r="RBM46" s="78"/>
      <c r="RBN46" s="78"/>
      <c r="RBO46" s="78"/>
      <c r="RBP46" s="78"/>
      <c r="RBQ46" s="78"/>
      <c r="RBR46" s="78"/>
      <c r="RBS46" s="78"/>
      <c r="RBT46" s="78"/>
      <c r="RBU46" s="78"/>
      <c r="RBV46" s="78"/>
      <c r="RBW46" s="78"/>
      <c r="RBX46" s="78"/>
      <c r="RBY46" s="78"/>
      <c r="RBZ46" s="78"/>
      <c r="RCA46" s="78"/>
      <c r="RCB46" s="78"/>
      <c r="RCC46" s="78"/>
      <c r="RCD46" s="78"/>
      <c r="RCE46" s="78"/>
      <c r="RCF46" s="78"/>
      <c r="RCG46" s="78"/>
      <c r="RCH46" s="78"/>
      <c r="RCI46" s="78"/>
      <c r="RCJ46" s="78"/>
      <c r="RCK46" s="78"/>
      <c r="RCL46" s="78"/>
      <c r="RCM46" s="78"/>
      <c r="RCN46" s="78"/>
      <c r="RCO46" s="78"/>
      <c r="RCP46" s="78"/>
      <c r="RCQ46" s="78"/>
      <c r="RCR46" s="78"/>
      <c r="RCS46" s="78"/>
      <c r="RCT46" s="78"/>
      <c r="RCU46" s="78"/>
      <c r="RCV46" s="78"/>
      <c r="RCW46" s="78"/>
      <c r="RCX46" s="78"/>
      <c r="RCY46" s="78"/>
      <c r="RCZ46" s="78"/>
      <c r="RDA46" s="78"/>
      <c r="RDB46" s="78"/>
      <c r="RDC46" s="78"/>
      <c r="RDD46" s="78"/>
      <c r="RDE46" s="78"/>
      <c r="RDF46" s="78"/>
      <c r="RDG46" s="78"/>
      <c r="RDH46" s="78"/>
      <c r="RDI46" s="78"/>
      <c r="RDJ46" s="78"/>
      <c r="RDK46" s="78"/>
      <c r="RDL46" s="78"/>
      <c r="RDM46" s="78"/>
      <c r="RDN46" s="78"/>
      <c r="RDO46" s="78"/>
      <c r="RDP46" s="78"/>
      <c r="RDQ46" s="78"/>
      <c r="RDR46" s="78"/>
      <c r="RDS46" s="78"/>
      <c r="RDT46" s="78"/>
      <c r="RDU46" s="78"/>
      <c r="RDV46" s="78"/>
      <c r="RDW46" s="78"/>
      <c r="RDX46" s="78"/>
      <c r="RDY46" s="78"/>
      <c r="RDZ46" s="78"/>
      <c r="REA46" s="78"/>
      <c r="REB46" s="78"/>
      <c r="REC46" s="78"/>
      <c r="RED46" s="78"/>
      <c r="REE46" s="78"/>
      <c r="REF46" s="78"/>
      <c r="REG46" s="78"/>
      <c r="REH46" s="78"/>
      <c r="REI46" s="78"/>
      <c r="REJ46" s="78"/>
      <c r="REK46" s="78"/>
      <c r="REL46" s="78"/>
      <c r="REM46" s="78"/>
      <c r="REN46" s="78"/>
      <c r="REO46" s="78"/>
      <c r="REP46" s="78"/>
      <c r="REQ46" s="78"/>
      <c r="RER46" s="78"/>
      <c r="RES46" s="78"/>
      <c r="RET46" s="78"/>
      <c r="REU46" s="78"/>
      <c r="REV46" s="78"/>
      <c r="REW46" s="78"/>
      <c r="REX46" s="78"/>
      <c r="REY46" s="78"/>
      <c r="REZ46" s="78"/>
      <c r="RFA46" s="78"/>
      <c r="RFB46" s="78"/>
      <c r="RFC46" s="78"/>
      <c r="RFD46" s="78"/>
      <c r="RFE46" s="78"/>
      <c r="RFF46" s="78"/>
      <c r="RFG46" s="78"/>
      <c r="RFH46" s="78"/>
      <c r="RFI46" s="78"/>
      <c r="RFJ46" s="78"/>
      <c r="RFK46" s="78"/>
      <c r="RFL46" s="78"/>
      <c r="RFM46" s="78"/>
      <c r="RFN46" s="78"/>
      <c r="RFO46" s="78"/>
      <c r="RFP46" s="78"/>
      <c r="RFQ46" s="78"/>
      <c r="RFR46" s="78"/>
      <c r="RFS46" s="78"/>
      <c r="RFT46" s="78"/>
      <c r="RFU46" s="78"/>
      <c r="RFV46" s="78"/>
      <c r="RFW46" s="78"/>
      <c r="RFX46" s="78"/>
      <c r="RFY46" s="78"/>
      <c r="RFZ46" s="78"/>
      <c r="RGA46" s="78"/>
      <c r="RGB46" s="78"/>
      <c r="RGC46" s="78"/>
      <c r="RGD46" s="78"/>
      <c r="RGE46" s="78"/>
      <c r="RGF46" s="78"/>
      <c r="RGG46" s="78"/>
      <c r="RGH46" s="78"/>
      <c r="RGI46" s="78"/>
      <c r="RGJ46" s="78"/>
      <c r="RGK46" s="78"/>
      <c r="RGL46" s="78"/>
      <c r="RGM46" s="78"/>
      <c r="RGN46" s="78"/>
      <c r="RGO46" s="78"/>
      <c r="RGP46" s="78"/>
      <c r="RGQ46" s="78"/>
      <c r="RGR46" s="78"/>
      <c r="RGS46" s="78"/>
      <c r="RGT46" s="78"/>
      <c r="RGU46" s="78"/>
      <c r="RGV46" s="78"/>
      <c r="RGW46" s="78"/>
      <c r="RGX46" s="78"/>
      <c r="RGY46" s="78"/>
      <c r="RGZ46" s="78"/>
      <c r="RHA46" s="78"/>
      <c r="RHB46" s="78"/>
      <c r="RHC46" s="78"/>
      <c r="RHD46" s="78"/>
      <c r="RHE46" s="78"/>
      <c r="RHF46" s="78"/>
      <c r="RHG46" s="78"/>
      <c r="RHH46" s="78"/>
      <c r="RHI46" s="78"/>
      <c r="RHJ46" s="78"/>
      <c r="RHK46" s="78"/>
      <c r="RHL46" s="78"/>
      <c r="RHM46" s="78"/>
      <c r="RHN46" s="78"/>
      <c r="RHO46" s="78"/>
      <c r="RHP46" s="78"/>
      <c r="RHQ46" s="78"/>
      <c r="RHR46" s="78"/>
      <c r="RHS46" s="78"/>
      <c r="RHT46" s="78"/>
      <c r="RHU46" s="78"/>
      <c r="RHV46" s="78"/>
      <c r="RHW46" s="78"/>
      <c r="RHX46" s="78"/>
      <c r="RHY46" s="78"/>
      <c r="RHZ46" s="78"/>
      <c r="RIA46" s="78"/>
      <c r="RIB46" s="78"/>
      <c r="RIC46" s="78"/>
      <c r="RID46" s="78"/>
      <c r="RIE46" s="78"/>
      <c r="RIF46" s="78"/>
      <c r="RIG46" s="78"/>
      <c r="RIH46" s="78"/>
      <c r="RII46" s="78"/>
      <c r="RIJ46" s="78"/>
      <c r="RIK46" s="78"/>
      <c r="RIL46" s="78"/>
      <c r="RIM46" s="78"/>
      <c r="RIN46" s="78"/>
      <c r="RIO46" s="78"/>
      <c r="RIP46" s="78"/>
      <c r="RIQ46" s="78"/>
      <c r="RIR46" s="78"/>
      <c r="RIS46" s="78"/>
      <c r="RIT46" s="78"/>
      <c r="RIU46" s="78"/>
      <c r="RIV46" s="78"/>
      <c r="RIW46" s="78"/>
      <c r="RIX46" s="78"/>
      <c r="RIY46" s="78"/>
      <c r="RIZ46" s="78"/>
      <c r="RJA46" s="78"/>
      <c r="RJB46" s="78"/>
      <c r="RJC46" s="78"/>
      <c r="RJD46" s="78"/>
      <c r="RJE46" s="78"/>
      <c r="RJF46" s="78"/>
      <c r="RJG46" s="78"/>
      <c r="RJH46" s="78"/>
      <c r="RJI46" s="78"/>
      <c r="RJJ46" s="78"/>
      <c r="RJK46" s="78"/>
      <c r="RJL46" s="78"/>
      <c r="RJM46" s="78"/>
      <c r="RJN46" s="78"/>
      <c r="RJO46" s="78"/>
      <c r="RJP46" s="78"/>
      <c r="RJQ46" s="78"/>
      <c r="RJR46" s="78"/>
      <c r="RJS46" s="78"/>
      <c r="RJT46" s="78"/>
      <c r="RJU46" s="78"/>
      <c r="RJV46" s="78"/>
      <c r="RJW46" s="78"/>
      <c r="RJX46" s="78"/>
      <c r="RJY46" s="78"/>
      <c r="RJZ46" s="78"/>
      <c r="RKA46" s="78"/>
      <c r="RKB46" s="78"/>
      <c r="RKC46" s="78"/>
      <c r="RKD46" s="78"/>
      <c r="RKE46" s="78"/>
      <c r="RKF46" s="78"/>
      <c r="RKG46" s="78"/>
      <c r="RKH46" s="78"/>
      <c r="RKI46" s="78"/>
      <c r="RKJ46" s="78"/>
      <c r="RKK46" s="78"/>
      <c r="RKL46" s="78"/>
      <c r="RKM46" s="78"/>
      <c r="RKN46" s="78"/>
      <c r="RKO46" s="78"/>
      <c r="RKP46" s="78"/>
      <c r="RKQ46" s="78"/>
      <c r="RKR46" s="78"/>
      <c r="RKS46" s="78"/>
      <c r="RKT46" s="78"/>
      <c r="RKU46" s="78"/>
      <c r="RKV46" s="78"/>
      <c r="RKW46" s="78"/>
      <c r="RKX46" s="78"/>
      <c r="RKY46" s="78"/>
      <c r="RKZ46" s="78"/>
      <c r="RLA46" s="78"/>
      <c r="RLB46" s="78"/>
      <c r="RLC46" s="78"/>
      <c r="RLD46" s="78"/>
      <c r="RLE46" s="78"/>
      <c r="RLF46" s="78"/>
      <c r="RLG46" s="78"/>
      <c r="RLH46" s="78"/>
      <c r="RLI46" s="78"/>
      <c r="RLJ46" s="78"/>
      <c r="RLK46" s="78"/>
      <c r="RLL46" s="78"/>
      <c r="RLM46" s="78"/>
      <c r="RLN46" s="78"/>
      <c r="RLO46" s="78"/>
      <c r="RLP46" s="78"/>
      <c r="RLQ46" s="78"/>
      <c r="RLR46" s="78"/>
      <c r="RLS46" s="78"/>
      <c r="RLT46" s="78"/>
      <c r="RLU46" s="78"/>
      <c r="RLV46" s="78"/>
      <c r="RLW46" s="78"/>
      <c r="RLX46" s="78"/>
      <c r="RLY46" s="78"/>
      <c r="RLZ46" s="78"/>
      <c r="RMA46" s="78"/>
      <c r="RMB46" s="78"/>
      <c r="RMC46" s="78"/>
      <c r="RMD46" s="78"/>
      <c r="RME46" s="78"/>
      <c r="RMF46" s="78"/>
      <c r="RMG46" s="78"/>
      <c r="RMH46" s="78"/>
      <c r="RMI46" s="78"/>
      <c r="RMJ46" s="78"/>
      <c r="RMK46" s="78"/>
      <c r="RML46" s="78"/>
      <c r="RMM46" s="78"/>
      <c r="RMN46" s="78"/>
      <c r="RMO46" s="78"/>
      <c r="RMP46" s="78"/>
      <c r="RMQ46" s="78"/>
      <c r="RMR46" s="78"/>
      <c r="RMS46" s="78"/>
      <c r="RMT46" s="78"/>
      <c r="RMU46" s="78"/>
      <c r="RMV46" s="78"/>
      <c r="RMW46" s="78"/>
      <c r="RMX46" s="78"/>
      <c r="RMY46" s="78"/>
      <c r="RMZ46" s="78"/>
      <c r="RNA46" s="78"/>
      <c r="RNB46" s="78"/>
      <c r="RNC46" s="78"/>
      <c r="RND46" s="78"/>
      <c r="RNE46" s="78"/>
      <c r="RNF46" s="78"/>
      <c r="RNG46" s="78"/>
      <c r="RNH46" s="78"/>
      <c r="RNI46" s="78"/>
      <c r="RNJ46" s="78"/>
      <c r="RNK46" s="78"/>
      <c r="RNL46" s="78"/>
      <c r="RNM46" s="78"/>
      <c r="RNN46" s="78"/>
      <c r="RNO46" s="78"/>
      <c r="RNP46" s="78"/>
      <c r="RNQ46" s="78"/>
      <c r="RNR46" s="78"/>
      <c r="RNS46" s="78"/>
      <c r="RNT46" s="78"/>
      <c r="RNU46" s="78"/>
      <c r="RNV46" s="78"/>
      <c r="RNW46" s="78"/>
      <c r="RNX46" s="78"/>
      <c r="RNY46" s="78"/>
      <c r="RNZ46" s="78"/>
      <c r="ROA46" s="78"/>
      <c r="ROB46" s="78"/>
      <c r="ROC46" s="78"/>
      <c r="ROD46" s="78"/>
      <c r="ROE46" s="78"/>
      <c r="ROF46" s="78"/>
      <c r="ROG46" s="78"/>
      <c r="ROH46" s="78"/>
      <c r="ROI46" s="78"/>
      <c r="ROJ46" s="78"/>
      <c r="ROK46" s="78"/>
      <c r="ROL46" s="78"/>
      <c r="ROM46" s="78"/>
      <c r="RON46" s="78"/>
      <c r="ROO46" s="78"/>
      <c r="ROP46" s="78"/>
      <c r="ROQ46" s="78"/>
      <c r="ROR46" s="78"/>
      <c r="ROS46" s="78"/>
      <c r="ROT46" s="78"/>
      <c r="ROU46" s="78"/>
      <c r="ROV46" s="78"/>
      <c r="ROW46" s="78"/>
      <c r="ROX46" s="78"/>
      <c r="ROY46" s="78"/>
      <c r="ROZ46" s="78"/>
      <c r="RPA46" s="78"/>
      <c r="RPB46" s="78"/>
      <c r="RPC46" s="78"/>
      <c r="RPD46" s="78"/>
      <c r="RPE46" s="78"/>
      <c r="RPF46" s="78"/>
      <c r="RPG46" s="78"/>
      <c r="RPH46" s="78"/>
      <c r="RPI46" s="78"/>
      <c r="RPJ46" s="78"/>
      <c r="RPK46" s="78"/>
      <c r="RPL46" s="78"/>
      <c r="RPM46" s="78"/>
      <c r="RPN46" s="78"/>
      <c r="RPO46" s="78"/>
      <c r="RPP46" s="78"/>
      <c r="RPQ46" s="78"/>
      <c r="RPR46" s="78"/>
      <c r="RPS46" s="78"/>
      <c r="RPT46" s="78"/>
      <c r="RPU46" s="78"/>
      <c r="RPV46" s="78"/>
      <c r="RPW46" s="78"/>
      <c r="RPX46" s="78"/>
      <c r="RPY46" s="78"/>
      <c r="RPZ46" s="78"/>
      <c r="RQA46" s="78"/>
      <c r="RQB46" s="78"/>
      <c r="RQC46" s="78"/>
      <c r="RQD46" s="78"/>
      <c r="RQE46" s="78"/>
      <c r="RQF46" s="78"/>
      <c r="RQG46" s="78"/>
      <c r="RQH46" s="78"/>
      <c r="RQI46" s="78"/>
      <c r="RQJ46" s="78"/>
      <c r="RQK46" s="78"/>
      <c r="RQL46" s="78"/>
      <c r="RQM46" s="78"/>
      <c r="RQN46" s="78"/>
      <c r="RQO46" s="78"/>
      <c r="RQP46" s="78"/>
      <c r="RQQ46" s="78"/>
      <c r="RQR46" s="78"/>
      <c r="RQS46" s="78"/>
      <c r="RQT46" s="78"/>
      <c r="RQU46" s="78"/>
      <c r="RQV46" s="78"/>
      <c r="RQW46" s="78"/>
      <c r="RQX46" s="78"/>
      <c r="RQY46" s="78"/>
      <c r="RQZ46" s="78"/>
      <c r="RRA46" s="78"/>
      <c r="RRB46" s="78"/>
      <c r="RRC46" s="78"/>
      <c r="RRD46" s="78"/>
      <c r="RRE46" s="78"/>
      <c r="RRF46" s="78"/>
      <c r="RRG46" s="78"/>
      <c r="RRH46" s="78"/>
      <c r="RRI46" s="78"/>
      <c r="RRJ46" s="78"/>
      <c r="RRK46" s="78"/>
      <c r="RRL46" s="78"/>
      <c r="RRM46" s="78"/>
      <c r="RRN46" s="78"/>
      <c r="RRO46" s="78"/>
      <c r="RRP46" s="78"/>
      <c r="RRQ46" s="78"/>
      <c r="RRR46" s="78"/>
      <c r="RRS46" s="78"/>
      <c r="RRT46" s="78"/>
      <c r="RRU46" s="78"/>
      <c r="RRV46" s="78"/>
      <c r="RRW46" s="78"/>
      <c r="RRX46" s="78"/>
      <c r="RRY46" s="78"/>
      <c r="RRZ46" s="78"/>
      <c r="RSA46" s="78"/>
      <c r="RSB46" s="78"/>
      <c r="RSC46" s="78"/>
      <c r="RSD46" s="78"/>
      <c r="RSE46" s="78"/>
      <c r="RSF46" s="78"/>
      <c r="RSG46" s="78"/>
      <c r="RSH46" s="78"/>
      <c r="RSI46" s="78"/>
      <c r="RSJ46" s="78"/>
      <c r="RSK46" s="78"/>
      <c r="RSL46" s="78"/>
      <c r="RSM46" s="78"/>
      <c r="RSN46" s="78"/>
      <c r="RSO46" s="78"/>
      <c r="RSP46" s="78"/>
      <c r="RSQ46" s="78"/>
      <c r="RSR46" s="78"/>
      <c r="RSS46" s="78"/>
      <c r="RST46" s="78"/>
      <c r="RSU46" s="78"/>
      <c r="RSV46" s="78"/>
      <c r="RSW46" s="78"/>
      <c r="RSX46" s="78"/>
      <c r="RSY46" s="78"/>
      <c r="RSZ46" s="78"/>
      <c r="RTA46" s="78"/>
      <c r="RTB46" s="78"/>
      <c r="RTC46" s="78"/>
      <c r="RTD46" s="78"/>
      <c r="RTE46" s="78"/>
      <c r="RTF46" s="78"/>
      <c r="RTG46" s="78"/>
      <c r="RTH46" s="78"/>
      <c r="RTI46" s="78"/>
      <c r="RTJ46" s="78"/>
      <c r="RTK46" s="78"/>
      <c r="RTL46" s="78"/>
      <c r="RTM46" s="78"/>
      <c r="RTN46" s="78"/>
      <c r="RTO46" s="78"/>
      <c r="RTP46" s="78"/>
      <c r="RTQ46" s="78"/>
      <c r="RTR46" s="78"/>
      <c r="RTS46" s="78"/>
      <c r="RTT46" s="78"/>
      <c r="RTU46" s="78"/>
      <c r="RTV46" s="78"/>
      <c r="RTW46" s="78"/>
      <c r="RTX46" s="78"/>
      <c r="RTY46" s="78"/>
      <c r="RTZ46" s="78"/>
      <c r="RUA46" s="78"/>
      <c r="RUB46" s="78"/>
      <c r="RUC46" s="78"/>
      <c r="RUD46" s="78"/>
      <c r="RUE46" s="78"/>
      <c r="RUF46" s="78"/>
      <c r="RUG46" s="78"/>
      <c r="RUH46" s="78"/>
      <c r="RUI46" s="78"/>
      <c r="RUJ46" s="78"/>
      <c r="RUK46" s="78"/>
      <c r="RUL46" s="78"/>
      <c r="RUM46" s="78"/>
      <c r="RUN46" s="78"/>
      <c r="RUO46" s="78"/>
      <c r="RUP46" s="78"/>
      <c r="RUQ46" s="78"/>
      <c r="RUR46" s="78"/>
      <c r="RUS46" s="78"/>
      <c r="RUT46" s="78"/>
      <c r="RUU46" s="78"/>
      <c r="RUV46" s="78"/>
      <c r="RUW46" s="78"/>
      <c r="RUX46" s="78"/>
      <c r="RUY46" s="78"/>
      <c r="RUZ46" s="78"/>
      <c r="RVA46" s="78"/>
      <c r="RVB46" s="78"/>
      <c r="RVC46" s="78"/>
      <c r="RVD46" s="78"/>
      <c r="RVE46" s="78"/>
      <c r="RVF46" s="78"/>
      <c r="RVG46" s="78"/>
      <c r="RVH46" s="78"/>
      <c r="RVI46" s="78"/>
      <c r="RVJ46" s="78"/>
      <c r="RVK46" s="78"/>
      <c r="RVL46" s="78"/>
      <c r="RVM46" s="78"/>
      <c r="RVN46" s="78"/>
      <c r="RVO46" s="78"/>
      <c r="RVP46" s="78"/>
      <c r="RVQ46" s="78"/>
      <c r="RVR46" s="78"/>
      <c r="RVS46" s="78"/>
      <c r="RVT46" s="78"/>
      <c r="RVU46" s="78"/>
      <c r="RVV46" s="78"/>
      <c r="RVW46" s="78"/>
      <c r="RVX46" s="78"/>
      <c r="RVY46" s="78"/>
      <c r="RVZ46" s="78"/>
      <c r="RWA46" s="78"/>
      <c r="RWB46" s="78"/>
      <c r="RWC46" s="78"/>
      <c r="RWD46" s="78"/>
      <c r="RWE46" s="78"/>
      <c r="RWF46" s="78"/>
      <c r="RWG46" s="78"/>
      <c r="RWH46" s="78"/>
      <c r="RWI46" s="78"/>
      <c r="RWJ46" s="78"/>
      <c r="RWK46" s="78"/>
      <c r="RWL46" s="78"/>
      <c r="RWM46" s="78"/>
      <c r="RWN46" s="78"/>
      <c r="RWO46" s="78"/>
      <c r="RWP46" s="78"/>
      <c r="RWQ46" s="78"/>
      <c r="RWR46" s="78"/>
      <c r="RWS46" s="78"/>
      <c r="RWT46" s="78"/>
      <c r="RWU46" s="78"/>
      <c r="RWV46" s="78"/>
      <c r="RWW46" s="78"/>
      <c r="RWX46" s="78"/>
      <c r="RWY46" s="78"/>
      <c r="RWZ46" s="78"/>
      <c r="RXA46" s="78"/>
      <c r="RXB46" s="78"/>
      <c r="RXC46" s="78"/>
      <c r="RXD46" s="78"/>
      <c r="RXE46" s="78"/>
      <c r="RXF46" s="78"/>
      <c r="RXG46" s="78"/>
      <c r="RXH46" s="78"/>
      <c r="RXI46" s="78"/>
      <c r="RXJ46" s="78"/>
      <c r="RXK46" s="78"/>
      <c r="RXL46" s="78"/>
      <c r="RXM46" s="78"/>
      <c r="RXN46" s="78"/>
      <c r="RXO46" s="78"/>
      <c r="RXP46" s="78"/>
      <c r="RXQ46" s="78"/>
      <c r="RXR46" s="78"/>
      <c r="RXS46" s="78"/>
      <c r="RXT46" s="78"/>
      <c r="RXU46" s="78"/>
      <c r="RXV46" s="78"/>
      <c r="RXW46" s="78"/>
      <c r="RXX46" s="78"/>
      <c r="RXY46" s="78"/>
      <c r="RXZ46" s="78"/>
      <c r="RYA46" s="78"/>
      <c r="RYB46" s="78"/>
      <c r="RYC46" s="78"/>
      <c r="RYD46" s="78"/>
      <c r="RYE46" s="78"/>
      <c r="RYF46" s="78"/>
      <c r="RYG46" s="78"/>
      <c r="RYH46" s="78"/>
      <c r="RYI46" s="78"/>
      <c r="RYJ46" s="78"/>
      <c r="RYK46" s="78"/>
      <c r="RYL46" s="78"/>
      <c r="RYM46" s="78"/>
      <c r="RYN46" s="78"/>
      <c r="RYO46" s="78"/>
      <c r="RYP46" s="78"/>
      <c r="RYQ46" s="78"/>
      <c r="RYR46" s="78"/>
      <c r="RYS46" s="78"/>
      <c r="RYT46" s="78"/>
      <c r="RYU46" s="78"/>
      <c r="RYV46" s="78"/>
      <c r="RYW46" s="78"/>
      <c r="RYX46" s="78"/>
      <c r="RYY46" s="78"/>
      <c r="RYZ46" s="78"/>
      <c r="RZA46" s="78"/>
      <c r="RZB46" s="78"/>
      <c r="RZC46" s="78"/>
      <c r="RZD46" s="78"/>
      <c r="RZE46" s="78"/>
      <c r="RZF46" s="78"/>
      <c r="RZG46" s="78"/>
      <c r="RZH46" s="78"/>
      <c r="RZI46" s="78"/>
      <c r="RZJ46" s="78"/>
      <c r="RZK46" s="78"/>
      <c r="RZL46" s="78"/>
      <c r="RZM46" s="78"/>
      <c r="RZN46" s="78"/>
      <c r="RZO46" s="78"/>
      <c r="RZP46" s="78"/>
      <c r="RZQ46" s="78"/>
      <c r="RZR46" s="78"/>
      <c r="RZS46" s="78"/>
      <c r="RZT46" s="78"/>
      <c r="RZU46" s="78"/>
      <c r="RZV46" s="78"/>
      <c r="RZW46" s="78"/>
      <c r="RZX46" s="78"/>
      <c r="RZY46" s="78"/>
      <c r="RZZ46" s="78"/>
      <c r="SAA46" s="78"/>
      <c r="SAB46" s="78"/>
      <c r="SAC46" s="78"/>
      <c r="SAD46" s="78"/>
      <c r="SAE46" s="78"/>
      <c r="SAF46" s="78"/>
      <c r="SAG46" s="78"/>
      <c r="SAH46" s="78"/>
      <c r="SAI46" s="78"/>
      <c r="SAJ46" s="78"/>
      <c r="SAK46" s="78"/>
      <c r="SAL46" s="78"/>
      <c r="SAM46" s="78"/>
      <c r="SAN46" s="78"/>
      <c r="SAO46" s="78"/>
      <c r="SAP46" s="78"/>
      <c r="SAQ46" s="78"/>
      <c r="SAR46" s="78"/>
      <c r="SAS46" s="78"/>
      <c r="SAT46" s="78"/>
      <c r="SAU46" s="78"/>
      <c r="SAV46" s="78"/>
      <c r="SAW46" s="78"/>
      <c r="SAX46" s="78"/>
      <c r="SAY46" s="78"/>
      <c r="SAZ46" s="78"/>
      <c r="SBA46" s="78"/>
      <c r="SBB46" s="78"/>
      <c r="SBC46" s="78"/>
      <c r="SBD46" s="78"/>
      <c r="SBE46" s="78"/>
      <c r="SBF46" s="78"/>
      <c r="SBG46" s="78"/>
      <c r="SBH46" s="78"/>
      <c r="SBI46" s="78"/>
      <c r="SBJ46" s="78"/>
      <c r="SBK46" s="78"/>
      <c r="SBL46" s="78"/>
      <c r="SBM46" s="78"/>
      <c r="SBN46" s="78"/>
      <c r="SBO46" s="78"/>
      <c r="SBP46" s="78"/>
      <c r="SBQ46" s="78"/>
      <c r="SBR46" s="78"/>
      <c r="SBS46" s="78"/>
      <c r="SBT46" s="78"/>
      <c r="SBU46" s="78"/>
      <c r="SBV46" s="78"/>
      <c r="SBW46" s="78"/>
      <c r="SBX46" s="78"/>
      <c r="SBY46" s="78"/>
      <c r="SBZ46" s="78"/>
      <c r="SCA46" s="78"/>
      <c r="SCB46" s="78"/>
      <c r="SCC46" s="78"/>
      <c r="SCD46" s="78"/>
      <c r="SCE46" s="78"/>
      <c r="SCF46" s="78"/>
      <c r="SCG46" s="78"/>
      <c r="SCH46" s="78"/>
      <c r="SCI46" s="78"/>
      <c r="SCJ46" s="78"/>
      <c r="SCK46" s="78"/>
      <c r="SCL46" s="78"/>
      <c r="SCM46" s="78"/>
      <c r="SCN46" s="78"/>
      <c r="SCO46" s="78"/>
      <c r="SCP46" s="78"/>
      <c r="SCQ46" s="78"/>
      <c r="SCR46" s="78"/>
      <c r="SCS46" s="78"/>
      <c r="SCT46" s="78"/>
      <c r="SCU46" s="78"/>
      <c r="SCV46" s="78"/>
      <c r="SCW46" s="78"/>
      <c r="SCX46" s="78"/>
      <c r="SCY46" s="78"/>
      <c r="SCZ46" s="78"/>
      <c r="SDA46" s="78"/>
      <c r="SDB46" s="78"/>
      <c r="SDC46" s="78"/>
      <c r="SDD46" s="78"/>
      <c r="SDE46" s="78"/>
      <c r="SDF46" s="78"/>
      <c r="SDG46" s="78"/>
      <c r="SDH46" s="78"/>
      <c r="SDI46" s="78"/>
      <c r="SDJ46" s="78"/>
      <c r="SDK46" s="78"/>
      <c r="SDL46" s="78"/>
      <c r="SDM46" s="78"/>
      <c r="SDN46" s="78"/>
      <c r="SDO46" s="78"/>
      <c r="SDP46" s="78"/>
      <c r="SDQ46" s="78"/>
      <c r="SDR46" s="78"/>
      <c r="SDS46" s="78"/>
      <c r="SDT46" s="78"/>
      <c r="SDU46" s="78"/>
      <c r="SDV46" s="78"/>
      <c r="SDW46" s="78"/>
      <c r="SDX46" s="78"/>
      <c r="SDY46" s="78"/>
      <c r="SDZ46" s="78"/>
      <c r="SEA46" s="78"/>
      <c r="SEB46" s="78"/>
      <c r="SEC46" s="78"/>
      <c r="SED46" s="78"/>
      <c r="SEE46" s="78"/>
      <c r="SEF46" s="78"/>
      <c r="SEG46" s="78"/>
      <c r="SEH46" s="78"/>
      <c r="SEI46" s="78"/>
      <c r="SEJ46" s="78"/>
      <c r="SEK46" s="78"/>
      <c r="SEL46" s="78"/>
      <c r="SEM46" s="78"/>
      <c r="SEN46" s="78"/>
      <c r="SEO46" s="78"/>
      <c r="SEP46" s="78"/>
      <c r="SEQ46" s="78"/>
      <c r="SER46" s="78"/>
      <c r="SES46" s="78"/>
      <c r="SET46" s="78"/>
      <c r="SEU46" s="78"/>
      <c r="SEV46" s="78"/>
      <c r="SEW46" s="78"/>
      <c r="SEX46" s="78"/>
      <c r="SEY46" s="78"/>
      <c r="SEZ46" s="78"/>
      <c r="SFA46" s="78"/>
      <c r="SFB46" s="78"/>
      <c r="SFC46" s="78"/>
      <c r="SFD46" s="78"/>
      <c r="SFE46" s="78"/>
      <c r="SFF46" s="78"/>
      <c r="SFG46" s="78"/>
      <c r="SFH46" s="78"/>
      <c r="SFI46" s="78"/>
      <c r="SFJ46" s="78"/>
      <c r="SFK46" s="78"/>
      <c r="SFL46" s="78"/>
      <c r="SFM46" s="78"/>
      <c r="SFN46" s="78"/>
      <c r="SFO46" s="78"/>
      <c r="SFP46" s="78"/>
      <c r="SFQ46" s="78"/>
      <c r="SFR46" s="78"/>
      <c r="SFS46" s="78"/>
      <c r="SFT46" s="78"/>
      <c r="SFU46" s="78"/>
      <c r="SFV46" s="78"/>
      <c r="SFW46" s="78"/>
      <c r="SFX46" s="78"/>
      <c r="SFY46" s="78"/>
      <c r="SFZ46" s="78"/>
      <c r="SGA46" s="78"/>
      <c r="SGB46" s="78"/>
      <c r="SGC46" s="78"/>
      <c r="SGD46" s="78"/>
      <c r="SGE46" s="78"/>
      <c r="SGF46" s="78"/>
      <c r="SGG46" s="78"/>
      <c r="SGH46" s="78"/>
      <c r="SGI46" s="78"/>
      <c r="SGJ46" s="78"/>
      <c r="SGK46" s="78"/>
      <c r="SGL46" s="78"/>
      <c r="SGM46" s="78"/>
      <c r="SGN46" s="78"/>
      <c r="SGO46" s="78"/>
      <c r="SGP46" s="78"/>
      <c r="SGQ46" s="78"/>
      <c r="SGR46" s="78"/>
      <c r="SGS46" s="78"/>
      <c r="SGT46" s="78"/>
      <c r="SGU46" s="78"/>
      <c r="SGV46" s="78"/>
      <c r="SGW46" s="78"/>
      <c r="SGX46" s="78"/>
      <c r="SGY46" s="78"/>
      <c r="SGZ46" s="78"/>
      <c r="SHA46" s="78"/>
      <c r="SHB46" s="78"/>
      <c r="SHC46" s="78"/>
      <c r="SHD46" s="78"/>
      <c r="SHE46" s="78"/>
      <c r="SHF46" s="78"/>
      <c r="SHG46" s="78"/>
      <c r="SHH46" s="78"/>
      <c r="SHI46" s="78"/>
      <c r="SHJ46" s="78"/>
      <c r="SHK46" s="78"/>
      <c r="SHL46" s="78"/>
      <c r="SHM46" s="78"/>
      <c r="SHN46" s="78"/>
      <c r="SHO46" s="78"/>
      <c r="SHP46" s="78"/>
      <c r="SHQ46" s="78"/>
      <c r="SHR46" s="78"/>
      <c r="SHS46" s="78"/>
      <c r="SHT46" s="78"/>
      <c r="SHU46" s="78"/>
      <c r="SHV46" s="78"/>
      <c r="SHW46" s="78"/>
      <c r="SHX46" s="78"/>
      <c r="SHY46" s="78"/>
      <c r="SHZ46" s="78"/>
      <c r="SIA46" s="78"/>
      <c r="SIB46" s="78"/>
      <c r="SIC46" s="78"/>
      <c r="SID46" s="78"/>
      <c r="SIE46" s="78"/>
      <c r="SIF46" s="78"/>
      <c r="SIG46" s="78"/>
      <c r="SIH46" s="78"/>
      <c r="SII46" s="78"/>
      <c r="SIJ46" s="78"/>
      <c r="SIK46" s="78"/>
      <c r="SIL46" s="78"/>
      <c r="SIM46" s="78"/>
      <c r="SIN46" s="78"/>
      <c r="SIO46" s="78"/>
      <c r="SIP46" s="78"/>
      <c r="SIQ46" s="78"/>
      <c r="SIR46" s="78"/>
      <c r="SIS46" s="78"/>
      <c r="SIT46" s="78"/>
      <c r="SIU46" s="78"/>
      <c r="SIV46" s="78"/>
      <c r="SIW46" s="78"/>
      <c r="SIX46" s="78"/>
      <c r="SIY46" s="78"/>
      <c r="SIZ46" s="78"/>
      <c r="SJA46" s="78"/>
      <c r="SJB46" s="78"/>
      <c r="SJC46" s="78"/>
      <c r="SJD46" s="78"/>
      <c r="SJE46" s="78"/>
      <c r="SJF46" s="78"/>
      <c r="SJG46" s="78"/>
      <c r="SJH46" s="78"/>
      <c r="SJI46" s="78"/>
      <c r="SJJ46" s="78"/>
      <c r="SJK46" s="78"/>
      <c r="SJL46" s="78"/>
      <c r="SJM46" s="78"/>
      <c r="SJN46" s="78"/>
      <c r="SJO46" s="78"/>
      <c r="SJP46" s="78"/>
      <c r="SJQ46" s="78"/>
      <c r="SJR46" s="78"/>
      <c r="SJS46" s="78"/>
      <c r="SJT46" s="78"/>
      <c r="SJU46" s="78"/>
      <c r="SJV46" s="78"/>
      <c r="SJW46" s="78"/>
      <c r="SJX46" s="78"/>
      <c r="SJY46" s="78"/>
      <c r="SJZ46" s="78"/>
      <c r="SKA46" s="78"/>
      <c r="SKB46" s="78"/>
      <c r="SKC46" s="78"/>
      <c r="SKD46" s="78"/>
      <c r="SKE46" s="78"/>
      <c r="SKF46" s="78"/>
      <c r="SKG46" s="78"/>
      <c r="SKH46" s="78"/>
      <c r="SKI46" s="78"/>
      <c r="SKJ46" s="78"/>
      <c r="SKK46" s="78"/>
      <c r="SKL46" s="78"/>
      <c r="SKM46" s="78"/>
      <c r="SKN46" s="78"/>
      <c r="SKO46" s="78"/>
      <c r="SKP46" s="78"/>
      <c r="SKQ46" s="78"/>
      <c r="SKR46" s="78"/>
      <c r="SKS46" s="78"/>
      <c r="SKT46" s="78"/>
      <c r="SKU46" s="78"/>
      <c r="SKV46" s="78"/>
      <c r="SKW46" s="78"/>
      <c r="SKX46" s="78"/>
      <c r="SKY46" s="78"/>
      <c r="SKZ46" s="78"/>
      <c r="SLA46" s="78"/>
      <c r="SLB46" s="78"/>
      <c r="SLC46" s="78"/>
      <c r="SLD46" s="78"/>
      <c r="SLE46" s="78"/>
      <c r="SLF46" s="78"/>
      <c r="SLG46" s="78"/>
      <c r="SLH46" s="78"/>
      <c r="SLI46" s="78"/>
      <c r="SLJ46" s="78"/>
      <c r="SLK46" s="78"/>
      <c r="SLL46" s="78"/>
      <c r="SLM46" s="78"/>
      <c r="SLN46" s="78"/>
      <c r="SLO46" s="78"/>
      <c r="SLP46" s="78"/>
      <c r="SLQ46" s="78"/>
      <c r="SLR46" s="78"/>
      <c r="SLS46" s="78"/>
      <c r="SLT46" s="78"/>
      <c r="SLU46" s="78"/>
      <c r="SLV46" s="78"/>
      <c r="SLW46" s="78"/>
      <c r="SLX46" s="78"/>
      <c r="SLY46" s="78"/>
      <c r="SLZ46" s="78"/>
      <c r="SMA46" s="78"/>
      <c r="SMB46" s="78"/>
      <c r="SMC46" s="78"/>
      <c r="SMD46" s="78"/>
      <c r="SME46" s="78"/>
      <c r="SMF46" s="78"/>
      <c r="SMG46" s="78"/>
      <c r="SMH46" s="78"/>
      <c r="SMI46" s="78"/>
      <c r="SMJ46" s="78"/>
      <c r="SMK46" s="78"/>
      <c r="SML46" s="78"/>
      <c r="SMM46" s="78"/>
      <c r="SMN46" s="78"/>
      <c r="SMO46" s="78"/>
      <c r="SMP46" s="78"/>
      <c r="SMQ46" s="78"/>
      <c r="SMR46" s="78"/>
      <c r="SMS46" s="78"/>
      <c r="SMT46" s="78"/>
      <c r="SMU46" s="78"/>
      <c r="SMV46" s="78"/>
      <c r="SMW46" s="78"/>
      <c r="SMX46" s="78"/>
      <c r="SMY46" s="78"/>
      <c r="SMZ46" s="78"/>
      <c r="SNA46" s="78"/>
      <c r="SNB46" s="78"/>
      <c r="SNC46" s="78"/>
      <c r="SND46" s="78"/>
      <c r="SNE46" s="78"/>
      <c r="SNF46" s="78"/>
      <c r="SNG46" s="78"/>
      <c r="SNH46" s="78"/>
      <c r="SNI46" s="78"/>
      <c r="SNJ46" s="78"/>
      <c r="SNK46" s="78"/>
      <c r="SNL46" s="78"/>
      <c r="SNM46" s="78"/>
      <c r="SNN46" s="78"/>
      <c r="SNO46" s="78"/>
      <c r="SNP46" s="78"/>
      <c r="SNQ46" s="78"/>
      <c r="SNR46" s="78"/>
      <c r="SNS46" s="78"/>
      <c r="SNT46" s="78"/>
      <c r="SNU46" s="78"/>
      <c r="SNV46" s="78"/>
      <c r="SNW46" s="78"/>
      <c r="SNX46" s="78"/>
      <c r="SNY46" s="78"/>
      <c r="SNZ46" s="78"/>
      <c r="SOA46" s="78"/>
      <c r="SOB46" s="78"/>
      <c r="SOC46" s="78"/>
      <c r="SOD46" s="78"/>
      <c r="SOE46" s="78"/>
      <c r="SOF46" s="78"/>
      <c r="SOG46" s="78"/>
      <c r="SOH46" s="78"/>
      <c r="SOI46" s="78"/>
      <c r="SOJ46" s="78"/>
      <c r="SOK46" s="78"/>
      <c r="SOL46" s="78"/>
      <c r="SOM46" s="78"/>
      <c r="SON46" s="78"/>
      <c r="SOO46" s="78"/>
      <c r="SOP46" s="78"/>
      <c r="SOQ46" s="78"/>
      <c r="SOR46" s="78"/>
      <c r="SOS46" s="78"/>
      <c r="SOT46" s="78"/>
      <c r="SOU46" s="78"/>
      <c r="SOV46" s="78"/>
      <c r="SOW46" s="78"/>
      <c r="SOX46" s="78"/>
      <c r="SOY46" s="78"/>
      <c r="SOZ46" s="78"/>
      <c r="SPA46" s="78"/>
      <c r="SPB46" s="78"/>
      <c r="SPC46" s="78"/>
      <c r="SPD46" s="78"/>
      <c r="SPE46" s="78"/>
      <c r="SPF46" s="78"/>
      <c r="SPG46" s="78"/>
      <c r="SPH46" s="78"/>
      <c r="SPI46" s="78"/>
      <c r="SPJ46" s="78"/>
      <c r="SPK46" s="78"/>
      <c r="SPL46" s="78"/>
      <c r="SPM46" s="78"/>
      <c r="SPN46" s="78"/>
      <c r="SPO46" s="78"/>
      <c r="SPP46" s="78"/>
      <c r="SPQ46" s="78"/>
      <c r="SPR46" s="78"/>
      <c r="SPS46" s="78"/>
      <c r="SPT46" s="78"/>
      <c r="SPU46" s="78"/>
      <c r="SPV46" s="78"/>
      <c r="SPW46" s="78"/>
      <c r="SPX46" s="78"/>
      <c r="SPY46" s="78"/>
      <c r="SPZ46" s="78"/>
      <c r="SQA46" s="78"/>
      <c r="SQB46" s="78"/>
      <c r="SQC46" s="78"/>
      <c r="SQD46" s="78"/>
      <c r="SQE46" s="78"/>
      <c r="SQF46" s="78"/>
      <c r="SQG46" s="78"/>
      <c r="SQH46" s="78"/>
      <c r="SQI46" s="78"/>
      <c r="SQJ46" s="78"/>
      <c r="SQK46" s="78"/>
      <c r="SQL46" s="78"/>
      <c r="SQM46" s="78"/>
      <c r="SQN46" s="78"/>
      <c r="SQO46" s="78"/>
      <c r="SQP46" s="78"/>
      <c r="SQQ46" s="78"/>
      <c r="SQR46" s="78"/>
      <c r="SQS46" s="78"/>
      <c r="SQT46" s="78"/>
      <c r="SQU46" s="78"/>
      <c r="SQV46" s="78"/>
      <c r="SQW46" s="78"/>
      <c r="SQX46" s="78"/>
      <c r="SQY46" s="78"/>
      <c r="SQZ46" s="78"/>
      <c r="SRA46" s="78"/>
      <c r="SRB46" s="78"/>
      <c r="SRC46" s="78"/>
      <c r="SRD46" s="78"/>
      <c r="SRE46" s="78"/>
      <c r="SRF46" s="78"/>
      <c r="SRG46" s="78"/>
      <c r="SRH46" s="78"/>
      <c r="SRI46" s="78"/>
      <c r="SRJ46" s="78"/>
      <c r="SRK46" s="78"/>
      <c r="SRL46" s="78"/>
      <c r="SRM46" s="78"/>
      <c r="SRN46" s="78"/>
      <c r="SRO46" s="78"/>
      <c r="SRP46" s="78"/>
      <c r="SRQ46" s="78"/>
      <c r="SRR46" s="78"/>
      <c r="SRS46" s="78"/>
      <c r="SRT46" s="78"/>
      <c r="SRU46" s="78"/>
      <c r="SRV46" s="78"/>
      <c r="SRW46" s="78"/>
      <c r="SRX46" s="78"/>
      <c r="SRY46" s="78"/>
      <c r="SRZ46" s="78"/>
      <c r="SSA46" s="78"/>
      <c r="SSB46" s="78"/>
      <c r="SSC46" s="78"/>
      <c r="SSD46" s="78"/>
      <c r="SSE46" s="78"/>
      <c r="SSF46" s="78"/>
      <c r="SSG46" s="78"/>
      <c r="SSH46" s="78"/>
      <c r="SSI46" s="78"/>
      <c r="SSJ46" s="78"/>
      <c r="SSK46" s="78"/>
      <c r="SSL46" s="78"/>
      <c r="SSM46" s="78"/>
      <c r="SSN46" s="78"/>
      <c r="SSO46" s="78"/>
      <c r="SSP46" s="78"/>
      <c r="SSQ46" s="78"/>
      <c r="SSR46" s="78"/>
      <c r="SSS46" s="78"/>
      <c r="SST46" s="78"/>
      <c r="SSU46" s="78"/>
      <c r="SSV46" s="78"/>
      <c r="SSW46" s="78"/>
      <c r="SSX46" s="78"/>
      <c r="SSY46" s="78"/>
      <c r="SSZ46" s="78"/>
      <c r="STA46" s="78"/>
      <c r="STB46" s="78"/>
      <c r="STC46" s="78"/>
      <c r="STD46" s="78"/>
      <c r="STE46" s="78"/>
      <c r="STF46" s="78"/>
      <c r="STG46" s="78"/>
      <c r="STH46" s="78"/>
      <c r="STI46" s="78"/>
      <c r="STJ46" s="78"/>
      <c r="STK46" s="78"/>
      <c r="STL46" s="78"/>
      <c r="STM46" s="78"/>
      <c r="STN46" s="78"/>
      <c r="STO46" s="78"/>
      <c r="STP46" s="78"/>
      <c r="STQ46" s="78"/>
      <c r="STR46" s="78"/>
      <c r="STS46" s="78"/>
      <c r="STT46" s="78"/>
      <c r="STU46" s="78"/>
      <c r="STV46" s="78"/>
      <c r="STW46" s="78"/>
      <c r="STX46" s="78"/>
      <c r="STY46" s="78"/>
      <c r="STZ46" s="78"/>
      <c r="SUA46" s="78"/>
      <c r="SUB46" s="78"/>
      <c r="SUC46" s="78"/>
      <c r="SUD46" s="78"/>
      <c r="SUE46" s="78"/>
      <c r="SUF46" s="78"/>
      <c r="SUG46" s="78"/>
      <c r="SUH46" s="78"/>
      <c r="SUI46" s="78"/>
      <c r="SUJ46" s="78"/>
      <c r="SUK46" s="78"/>
      <c r="SUL46" s="78"/>
      <c r="SUM46" s="78"/>
      <c r="SUN46" s="78"/>
      <c r="SUO46" s="78"/>
      <c r="SUP46" s="78"/>
      <c r="SUQ46" s="78"/>
      <c r="SUR46" s="78"/>
      <c r="SUS46" s="78"/>
      <c r="SUT46" s="78"/>
      <c r="SUU46" s="78"/>
      <c r="SUV46" s="78"/>
      <c r="SUW46" s="78"/>
      <c r="SUX46" s="78"/>
      <c r="SUY46" s="78"/>
      <c r="SUZ46" s="78"/>
      <c r="SVA46" s="78"/>
      <c r="SVB46" s="78"/>
      <c r="SVC46" s="78"/>
      <c r="SVD46" s="78"/>
      <c r="SVE46" s="78"/>
      <c r="SVF46" s="78"/>
      <c r="SVG46" s="78"/>
      <c r="SVH46" s="78"/>
      <c r="SVI46" s="78"/>
      <c r="SVJ46" s="78"/>
      <c r="SVK46" s="78"/>
      <c r="SVL46" s="78"/>
      <c r="SVM46" s="78"/>
      <c r="SVN46" s="78"/>
      <c r="SVO46" s="78"/>
      <c r="SVP46" s="78"/>
      <c r="SVQ46" s="78"/>
      <c r="SVR46" s="78"/>
      <c r="SVS46" s="78"/>
      <c r="SVT46" s="78"/>
      <c r="SVU46" s="78"/>
      <c r="SVV46" s="78"/>
      <c r="SVW46" s="78"/>
      <c r="SVX46" s="78"/>
      <c r="SVY46" s="78"/>
      <c r="SVZ46" s="78"/>
      <c r="SWA46" s="78"/>
      <c r="SWB46" s="78"/>
      <c r="SWC46" s="78"/>
      <c r="SWD46" s="78"/>
      <c r="SWE46" s="78"/>
      <c r="SWF46" s="78"/>
      <c r="SWG46" s="78"/>
      <c r="SWH46" s="78"/>
      <c r="SWI46" s="78"/>
      <c r="SWJ46" s="78"/>
      <c r="SWK46" s="78"/>
      <c r="SWL46" s="78"/>
      <c r="SWM46" s="78"/>
      <c r="SWN46" s="78"/>
      <c r="SWO46" s="78"/>
      <c r="SWP46" s="78"/>
      <c r="SWQ46" s="78"/>
      <c r="SWR46" s="78"/>
      <c r="SWS46" s="78"/>
      <c r="SWT46" s="78"/>
      <c r="SWU46" s="78"/>
      <c r="SWV46" s="78"/>
      <c r="SWW46" s="78"/>
      <c r="SWX46" s="78"/>
      <c r="SWY46" s="78"/>
      <c r="SWZ46" s="78"/>
      <c r="SXA46" s="78"/>
      <c r="SXB46" s="78"/>
      <c r="SXC46" s="78"/>
      <c r="SXD46" s="78"/>
      <c r="SXE46" s="78"/>
      <c r="SXF46" s="78"/>
      <c r="SXG46" s="78"/>
      <c r="SXH46" s="78"/>
      <c r="SXI46" s="78"/>
      <c r="SXJ46" s="78"/>
      <c r="SXK46" s="78"/>
      <c r="SXL46" s="78"/>
      <c r="SXM46" s="78"/>
      <c r="SXN46" s="78"/>
      <c r="SXO46" s="78"/>
      <c r="SXP46" s="78"/>
      <c r="SXQ46" s="78"/>
      <c r="SXR46" s="78"/>
      <c r="SXS46" s="78"/>
      <c r="SXT46" s="78"/>
      <c r="SXU46" s="78"/>
      <c r="SXV46" s="78"/>
      <c r="SXW46" s="78"/>
      <c r="SXX46" s="78"/>
      <c r="SXY46" s="78"/>
      <c r="SXZ46" s="78"/>
      <c r="SYA46" s="78"/>
      <c r="SYB46" s="78"/>
      <c r="SYC46" s="78"/>
      <c r="SYD46" s="78"/>
      <c r="SYE46" s="78"/>
      <c r="SYF46" s="78"/>
      <c r="SYG46" s="78"/>
      <c r="SYH46" s="78"/>
      <c r="SYI46" s="78"/>
      <c r="SYJ46" s="78"/>
      <c r="SYK46" s="78"/>
      <c r="SYL46" s="78"/>
      <c r="SYM46" s="78"/>
      <c r="SYN46" s="78"/>
      <c r="SYO46" s="78"/>
      <c r="SYP46" s="78"/>
      <c r="SYQ46" s="78"/>
      <c r="SYR46" s="78"/>
      <c r="SYS46" s="78"/>
      <c r="SYT46" s="78"/>
      <c r="SYU46" s="78"/>
      <c r="SYV46" s="78"/>
      <c r="SYW46" s="78"/>
      <c r="SYX46" s="78"/>
      <c r="SYY46" s="78"/>
      <c r="SYZ46" s="78"/>
      <c r="SZA46" s="78"/>
      <c r="SZB46" s="78"/>
      <c r="SZC46" s="78"/>
      <c r="SZD46" s="78"/>
      <c r="SZE46" s="78"/>
      <c r="SZF46" s="78"/>
      <c r="SZG46" s="78"/>
      <c r="SZH46" s="78"/>
      <c r="SZI46" s="78"/>
      <c r="SZJ46" s="78"/>
      <c r="SZK46" s="78"/>
      <c r="SZL46" s="78"/>
      <c r="SZM46" s="78"/>
      <c r="SZN46" s="78"/>
      <c r="SZO46" s="78"/>
      <c r="SZP46" s="78"/>
      <c r="SZQ46" s="78"/>
      <c r="SZR46" s="78"/>
      <c r="SZS46" s="78"/>
      <c r="SZT46" s="78"/>
      <c r="SZU46" s="78"/>
      <c r="SZV46" s="78"/>
      <c r="SZW46" s="78"/>
      <c r="SZX46" s="78"/>
      <c r="SZY46" s="78"/>
      <c r="SZZ46" s="78"/>
      <c r="TAA46" s="78"/>
      <c r="TAB46" s="78"/>
      <c r="TAC46" s="78"/>
      <c r="TAD46" s="78"/>
      <c r="TAE46" s="78"/>
      <c r="TAF46" s="78"/>
      <c r="TAG46" s="78"/>
      <c r="TAH46" s="78"/>
      <c r="TAI46" s="78"/>
      <c r="TAJ46" s="78"/>
      <c r="TAK46" s="78"/>
      <c r="TAL46" s="78"/>
      <c r="TAM46" s="78"/>
      <c r="TAN46" s="78"/>
      <c r="TAO46" s="78"/>
      <c r="TAP46" s="78"/>
      <c r="TAQ46" s="78"/>
      <c r="TAR46" s="78"/>
      <c r="TAS46" s="78"/>
      <c r="TAT46" s="78"/>
      <c r="TAU46" s="78"/>
      <c r="TAV46" s="78"/>
      <c r="TAW46" s="78"/>
      <c r="TAX46" s="78"/>
      <c r="TAY46" s="78"/>
      <c r="TAZ46" s="78"/>
      <c r="TBA46" s="78"/>
      <c r="TBB46" s="78"/>
      <c r="TBC46" s="78"/>
      <c r="TBD46" s="78"/>
      <c r="TBE46" s="78"/>
      <c r="TBF46" s="78"/>
      <c r="TBG46" s="78"/>
      <c r="TBH46" s="78"/>
      <c r="TBI46" s="78"/>
      <c r="TBJ46" s="78"/>
      <c r="TBK46" s="78"/>
      <c r="TBL46" s="78"/>
      <c r="TBM46" s="78"/>
      <c r="TBN46" s="78"/>
      <c r="TBO46" s="78"/>
      <c r="TBP46" s="78"/>
      <c r="TBQ46" s="78"/>
      <c r="TBR46" s="78"/>
      <c r="TBS46" s="78"/>
      <c r="TBT46" s="78"/>
      <c r="TBU46" s="78"/>
      <c r="TBV46" s="78"/>
      <c r="TBW46" s="78"/>
      <c r="TBX46" s="78"/>
      <c r="TBY46" s="78"/>
      <c r="TBZ46" s="78"/>
      <c r="TCA46" s="78"/>
      <c r="TCB46" s="78"/>
      <c r="TCC46" s="78"/>
      <c r="TCD46" s="78"/>
      <c r="TCE46" s="78"/>
      <c r="TCF46" s="78"/>
      <c r="TCG46" s="78"/>
      <c r="TCH46" s="78"/>
      <c r="TCI46" s="78"/>
      <c r="TCJ46" s="78"/>
      <c r="TCK46" s="78"/>
      <c r="TCL46" s="78"/>
      <c r="TCM46" s="78"/>
      <c r="TCN46" s="78"/>
      <c r="TCO46" s="78"/>
      <c r="TCP46" s="78"/>
      <c r="TCQ46" s="78"/>
      <c r="TCR46" s="78"/>
      <c r="TCS46" s="78"/>
      <c r="TCT46" s="78"/>
      <c r="TCU46" s="78"/>
      <c r="TCV46" s="78"/>
      <c r="TCW46" s="78"/>
      <c r="TCX46" s="78"/>
      <c r="TCY46" s="78"/>
      <c r="TCZ46" s="78"/>
      <c r="TDA46" s="78"/>
      <c r="TDB46" s="78"/>
      <c r="TDC46" s="78"/>
      <c r="TDD46" s="78"/>
      <c r="TDE46" s="78"/>
      <c r="TDF46" s="78"/>
      <c r="TDG46" s="78"/>
      <c r="TDH46" s="78"/>
      <c r="TDI46" s="78"/>
      <c r="TDJ46" s="78"/>
      <c r="TDK46" s="78"/>
      <c r="TDL46" s="78"/>
      <c r="TDM46" s="78"/>
      <c r="TDN46" s="78"/>
      <c r="TDO46" s="78"/>
      <c r="TDP46" s="78"/>
      <c r="TDQ46" s="78"/>
      <c r="TDR46" s="78"/>
      <c r="TDS46" s="78"/>
      <c r="TDT46" s="78"/>
      <c r="TDU46" s="78"/>
      <c r="TDV46" s="78"/>
      <c r="TDW46" s="78"/>
      <c r="TDX46" s="78"/>
      <c r="TDY46" s="78"/>
      <c r="TDZ46" s="78"/>
      <c r="TEA46" s="78"/>
      <c r="TEB46" s="78"/>
      <c r="TEC46" s="78"/>
      <c r="TED46" s="78"/>
      <c r="TEE46" s="78"/>
      <c r="TEF46" s="78"/>
      <c r="TEG46" s="78"/>
      <c r="TEH46" s="78"/>
      <c r="TEI46" s="78"/>
      <c r="TEJ46" s="78"/>
      <c r="TEK46" s="78"/>
      <c r="TEL46" s="78"/>
      <c r="TEM46" s="78"/>
      <c r="TEN46" s="78"/>
      <c r="TEO46" s="78"/>
      <c r="TEP46" s="78"/>
      <c r="TEQ46" s="78"/>
      <c r="TER46" s="78"/>
      <c r="TES46" s="78"/>
      <c r="TET46" s="78"/>
      <c r="TEU46" s="78"/>
      <c r="TEV46" s="78"/>
      <c r="TEW46" s="78"/>
      <c r="TEX46" s="78"/>
      <c r="TEY46" s="78"/>
      <c r="TEZ46" s="78"/>
      <c r="TFA46" s="78"/>
      <c r="TFB46" s="78"/>
      <c r="TFC46" s="78"/>
      <c r="TFD46" s="78"/>
      <c r="TFE46" s="78"/>
      <c r="TFF46" s="78"/>
      <c r="TFG46" s="78"/>
      <c r="TFH46" s="78"/>
      <c r="TFI46" s="78"/>
      <c r="TFJ46" s="78"/>
      <c r="TFK46" s="78"/>
      <c r="TFL46" s="78"/>
      <c r="TFM46" s="78"/>
      <c r="TFN46" s="78"/>
      <c r="TFO46" s="78"/>
      <c r="TFP46" s="78"/>
      <c r="TFQ46" s="78"/>
      <c r="TFR46" s="78"/>
      <c r="TFS46" s="78"/>
      <c r="TFT46" s="78"/>
      <c r="TFU46" s="78"/>
      <c r="TFV46" s="78"/>
      <c r="TFW46" s="78"/>
      <c r="TFX46" s="78"/>
      <c r="TFY46" s="78"/>
      <c r="TFZ46" s="78"/>
      <c r="TGA46" s="78"/>
      <c r="TGB46" s="78"/>
      <c r="TGC46" s="78"/>
      <c r="TGD46" s="78"/>
      <c r="TGE46" s="78"/>
      <c r="TGF46" s="78"/>
      <c r="TGG46" s="78"/>
      <c r="TGH46" s="78"/>
      <c r="TGI46" s="78"/>
      <c r="TGJ46" s="78"/>
      <c r="TGK46" s="78"/>
      <c r="TGL46" s="78"/>
      <c r="TGM46" s="78"/>
      <c r="TGN46" s="78"/>
      <c r="TGO46" s="78"/>
      <c r="TGP46" s="78"/>
      <c r="TGQ46" s="78"/>
      <c r="TGR46" s="78"/>
      <c r="TGS46" s="78"/>
      <c r="TGT46" s="78"/>
      <c r="TGU46" s="78"/>
      <c r="TGV46" s="78"/>
      <c r="TGW46" s="78"/>
      <c r="TGX46" s="78"/>
      <c r="TGY46" s="78"/>
      <c r="TGZ46" s="78"/>
      <c r="THA46" s="78"/>
      <c r="THB46" s="78"/>
      <c r="THC46" s="78"/>
      <c r="THD46" s="78"/>
      <c r="THE46" s="78"/>
      <c r="THF46" s="78"/>
      <c r="THG46" s="78"/>
      <c r="THH46" s="78"/>
      <c r="THI46" s="78"/>
      <c r="THJ46" s="78"/>
      <c r="THK46" s="78"/>
      <c r="THL46" s="78"/>
      <c r="THM46" s="78"/>
      <c r="THN46" s="78"/>
      <c r="THO46" s="78"/>
      <c r="THP46" s="78"/>
      <c r="THQ46" s="78"/>
      <c r="THR46" s="78"/>
      <c r="THS46" s="78"/>
      <c r="THT46" s="78"/>
      <c r="THU46" s="78"/>
      <c r="THV46" s="78"/>
      <c r="THW46" s="78"/>
      <c r="THX46" s="78"/>
      <c r="THY46" s="78"/>
      <c r="THZ46" s="78"/>
      <c r="TIA46" s="78"/>
      <c r="TIB46" s="78"/>
      <c r="TIC46" s="78"/>
      <c r="TID46" s="78"/>
      <c r="TIE46" s="78"/>
      <c r="TIF46" s="78"/>
      <c r="TIG46" s="78"/>
      <c r="TIH46" s="78"/>
      <c r="TII46" s="78"/>
      <c r="TIJ46" s="78"/>
      <c r="TIK46" s="78"/>
      <c r="TIL46" s="78"/>
      <c r="TIM46" s="78"/>
      <c r="TIN46" s="78"/>
      <c r="TIO46" s="78"/>
      <c r="TIP46" s="78"/>
      <c r="TIQ46" s="78"/>
      <c r="TIR46" s="78"/>
      <c r="TIS46" s="78"/>
      <c r="TIT46" s="78"/>
      <c r="TIU46" s="78"/>
      <c r="TIV46" s="78"/>
      <c r="TIW46" s="78"/>
      <c r="TIX46" s="78"/>
      <c r="TIY46" s="78"/>
      <c r="TIZ46" s="78"/>
      <c r="TJA46" s="78"/>
      <c r="TJB46" s="78"/>
      <c r="TJC46" s="78"/>
      <c r="TJD46" s="78"/>
      <c r="TJE46" s="78"/>
      <c r="TJF46" s="78"/>
      <c r="TJG46" s="78"/>
      <c r="TJH46" s="78"/>
      <c r="TJI46" s="78"/>
      <c r="TJJ46" s="78"/>
      <c r="TJK46" s="78"/>
      <c r="TJL46" s="78"/>
      <c r="TJM46" s="78"/>
      <c r="TJN46" s="78"/>
      <c r="TJO46" s="78"/>
      <c r="TJP46" s="78"/>
      <c r="TJQ46" s="78"/>
      <c r="TJR46" s="78"/>
      <c r="TJS46" s="78"/>
      <c r="TJT46" s="78"/>
      <c r="TJU46" s="78"/>
      <c r="TJV46" s="78"/>
      <c r="TJW46" s="78"/>
      <c r="TJX46" s="78"/>
      <c r="TJY46" s="78"/>
      <c r="TJZ46" s="78"/>
      <c r="TKA46" s="78"/>
      <c r="TKB46" s="78"/>
      <c r="TKC46" s="78"/>
      <c r="TKD46" s="78"/>
      <c r="TKE46" s="78"/>
      <c r="TKF46" s="78"/>
      <c r="TKG46" s="78"/>
      <c r="TKH46" s="78"/>
      <c r="TKI46" s="78"/>
      <c r="TKJ46" s="78"/>
      <c r="TKK46" s="78"/>
      <c r="TKL46" s="78"/>
      <c r="TKM46" s="78"/>
      <c r="TKN46" s="78"/>
      <c r="TKO46" s="78"/>
      <c r="TKP46" s="78"/>
      <c r="TKQ46" s="78"/>
      <c r="TKR46" s="78"/>
      <c r="TKS46" s="78"/>
      <c r="TKT46" s="78"/>
      <c r="TKU46" s="78"/>
      <c r="TKV46" s="78"/>
      <c r="TKW46" s="78"/>
      <c r="TKX46" s="78"/>
      <c r="TKY46" s="78"/>
      <c r="TKZ46" s="78"/>
      <c r="TLA46" s="78"/>
      <c r="TLB46" s="78"/>
      <c r="TLC46" s="78"/>
      <c r="TLD46" s="78"/>
      <c r="TLE46" s="78"/>
      <c r="TLF46" s="78"/>
      <c r="TLG46" s="78"/>
      <c r="TLH46" s="78"/>
      <c r="TLI46" s="78"/>
      <c r="TLJ46" s="78"/>
      <c r="TLK46" s="78"/>
      <c r="TLL46" s="78"/>
      <c r="TLM46" s="78"/>
      <c r="TLN46" s="78"/>
      <c r="TLO46" s="78"/>
      <c r="TLP46" s="78"/>
      <c r="TLQ46" s="78"/>
      <c r="TLR46" s="78"/>
      <c r="TLS46" s="78"/>
      <c r="TLT46" s="78"/>
      <c r="TLU46" s="78"/>
      <c r="TLV46" s="78"/>
      <c r="TLW46" s="78"/>
      <c r="TLX46" s="78"/>
      <c r="TLY46" s="78"/>
      <c r="TLZ46" s="78"/>
      <c r="TMA46" s="78"/>
      <c r="TMB46" s="78"/>
      <c r="TMC46" s="78"/>
      <c r="TMD46" s="78"/>
      <c r="TME46" s="78"/>
      <c r="TMF46" s="78"/>
      <c r="TMG46" s="78"/>
      <c r="TMH46" s="78"/>
      <c r="TMI46" s="78"/>
      <c r="TMJ46" s="78"/>
      <c r="TMK46" s="78"/>
      <c r="TML46" s="78"/>
      <c r="TMM46" s="78"/>
      <c r="TMN46" s="78"/>
      <c r="TMO46" s="78"/>
      <c r="TMP46" s="78"/>
      <c r="TMQ46" s="78"/>
      <c r="TMR46" s="78"/>
      <c r="TMS46" s="78"/>
      <c r="TMT46" s="78"/>
      <c r="TMU46" s="78"/>
      <c r="TMV46" s="78"/>
      <c r="TMW46" s="78"/>
      <c r="TMX46" s="78"/>
      <c r="TMY46" s="78"/>
      <c r="TMZ46" s="78"/>
      <c r="TNA46" s="78"/>
      <c r="TNB46" s="78"/>
      <c r="TNC46" s="78"/>
      <c r="TND46" s="78"/>
      <c r="TNE46" s="78"/>
      <c r="TNF46" s="78"/>
      <c r="TNG46" s="78"/>
      <c r="TNH46" s="78"/>
      <c r="TNI46" s="78"/>
      <c r="TNJ46" s="78"/>
      <c r="TNK46" s="78"/>
      <c r="TNL46" s="78"/>
      <c r="TNM46" s="78"/>
      <c r="TNN46" s="78"/>
      <c r="TNO46" s="78"/>
      <c r="TNP46" s="78"/>
      <c r="TNQ46" s="78"/>
      <c r="TNR46" s="78"/>
      <c r="TNS46" s="78"/>
      <c r="TNT46" s="78"/>
      <c r="TNU46" s="78"/>
      <c r="TNV46" s="78"/>
      <c r="TNW46" s="78"/>
      <c r="TNX46" s="78"/>
      <c r="TNY46" s="78"/>
      <c r="TNZ46" s="78"/>
      <c r="TOA46" s="78"/>
      <c r="TOB46" s="78"/>
      <c r="TOC46" s="78"/>
      <c r="TOD46" s="78"/>
      <c r="TOE46" s="78"/>
      <c r="TOF46" s="78"/>
      <c r="TOG46" s="78"/>
      <c r="TOH46" s="78"/>
      <c r="TOI46" s="78"/>
      <c r="TOJ46" s="78"/>
      <c r="TOK46" s="78"/>
      <c r="TOL46" s="78"/>
      <c r="TOM46" s="78"/>
      <c r="TON46" s="78"/>
      <c r="TOO46" s="78"/>
      <c r="TOP46" s="78"/>
      <c r="TOQ46" s="78"/>
      <c r="TOR46" s="78"/>
      <c r="TOS46" s="78"/>
      <c r="TOT46" s="78"/>
      <c r="TOU46" s="78"/>
      <c r="TOV46" s="78"/>
      <c r="TOW46" s="78"/>
      <c r="TOX46" s="78"/>
      <c r="TOY46" s="78"/>
      <c r="TOZ46" s="78"/>
      <c r="TPA46" s="78"/>
      <c r="TPB46" s="78"/>
      <c r="TPC46" s="78"/>
      <c r="TPD46" s="78"/>
      <c r="TPE46" s="78"/>
      <c r="TPF46" s="78"/>
      <c r="TPG46" s="78"/>
      <c r="TPH46" s="78"/>
      <c r="TPI46" s="78"/>
      <c r="TPJ46" s="78"/>
      <c r="TPK46" s="78"/>
      <c r="TPL46" s="78"/>
      <c r="TPM46" s="78"/>
      <c r="TPN46" s="78"/>
      <c r="TPO46" s="78"/>
      <c r="TPP46" s="78"/>
      <c r="TPQ46" s="78"/>
      <c r="TPR46" s="78"/>
      <c r="TPS46" s="78"/>
      <c r="TPT46" s="78"/>
      <c r="TPU46" s="78"/>
      <c r="TPV46" s="78"/>
      <c r="TPW46" s="78"/>
      <c r="TPX46" s="78"/>
      <c r="TPY46" s="78"/>
      <c r="TPZ46" s="78"/>
      <c r="TQA46" s="78"/>
      <c r="TQB46" s="78"/>
      <c r="TQC46" s="78"/>
      <c r="TQD46" s="78"/>
      <c r="TQE46" s="78"/>
      <c r="TQF46" s="78"/>
      <c r="TQG46" s="78"/>
      <c r="TQH46" s="78"/>
      <c r="TQI46" s="78"/>
      <c r="TQJ46" s="78"/>
      <c r="TQK46" s="78"/>
      <c r="TQL46" s="78"/>
      <c r="TQM46" s="78"/>
      <c r="TQN46" s="78"/>
      <c r="TQO46" s="78"/>
      <c r="TQP46" s="78"/>
      <c r="TQQ46" s="78"/>
      <c r="TQR46" s="78"/>
      <c r="TQS46" s="78"/>
      <c r="TQT46" s="78"/>
      <c r="TQU46" s="78"/>
      <c r="TQV46" s="78"/>
      <c r="TQW46" s="78"/>
      <c r="TQX46" s="78"/>
      <c r="TQY46" s="78"/>
      <c r="TQZ46" s="78"/>
      <c r="TRA46" s="78"/>
      <c r="TRB46" s="78"/>
      <c r="TRC46" s="78"/>
      <c r="TRD46" s="78"/>
      <c r="TRE46" s="78"/>
      <c r="TRF46" s="78"/>
      <c r="TRG46" s="78"/>
      <c r="TRH46" s="78"/>
      <c r="TRI46" s="78"/>
      <c r="TRJ46" s="78"/>
      <c r="TRK46" s="78"/>
      <c r="TRL46" s="78"/>
      <c r="TRM46" s="78"/>
      <c r="TRN46" s="78"/>
      <c r="TRO46" s="78"/>
      <c r="TRP46" s="78"/>
      <c r="TRQ46" s="78"/>
      <c r="TRR46" s="78"/>
      <c r="TRS46" s="78"/>
      <c r="TRT46" s="78"/>
      <c r="TRU46" s="78"/>
      <c r="TRV46" s="78"/>
      <c r="TRW46" s="78"/>
      <c r="TRX46" s="78"/>
      <c r="TRY46" s="78"/>
      <c r="TRZ46" s="78"/>
      <c r="TSA46" s="78"/>
      <c r="TSB46" s="78"/>
      <c r="TSC46" s="78"/>
      <c r="TSD46" s="78"/>
      <c r="TSE46" s="78"/>
      <c r="TSF46" s="78"/>
      <c r="TSG46" s="78"/>
      <c r="TSH46" s="78"/>
      <c r="TSI46" s="78"/>
      <c r="TSJ46" s="78"/>
      <c r="TSK46" s="78"/>
      <c r="TSL46" s="78"/>
      <c r="TSM46" s="78"/>
      <c r="TSN46" s="78"/>
      <c r="TSO46" s="78"/>
      <c r="TSP46" s="78"/>
      <c r="TSQ46" s="78"/>
      <c r="TSR46" s="78"/>
      <c r="TSS46" s="78"/>
      <c r="TST46" s="78"/>
      <c r="TSU46" s="78"/>
      <c r="TSV46" s="78"/>
      <c r="TSW46" s="78"/>
      <c r="TSX46" s="78"/>
      <c r="TSY46" s="78"/>
      <c r="TSZ46" s="78"/>
      <c r="TTA46" s="78"/>
      <c r="TTB46" s="78"/>
      <c r="TTC46" s="78"/>
      <c r="TTD46" s="78"/>
      <c r="TTE46" s="78"/>
      <c r="TTF46" s="78"/>
      <c r="TTG46" s="78"/>
      <c r="TTH46" s="78"/>
      <c r="TTI46" s="78"/>
      <c r="TTJ46" s="78"/>
      <c r="TTK46" s="78"/>
      <c r="TTL46" s="78"/>
      <c r="TTM46" s="78"/>
      <c r="TTN46" s="78"/>
      <c r="TTO46" s="78"/>
      <c r="TTP46" s="78"/>
      <c r="TTQ46" s="78"/>
      <c r="TTR46" s="78"/>
      <c r="TTS46" s="78"/>
      <c r="TTT46" s="78"/>
      <c r="TTU46" s="78"/>
      <c r="TTV46" s="78"/>
      <c r="TTW46" s="78"/>
      <c r="TTX46" s="78"/>
      <c r="TTY46" s="78"/>
      <c r="TTZ46" s="78"/>
      <c r="TUA46" s="78"/>
      <c r="TUB46" s="78"/>
      <c r="TUC46" s="78"/>
      <c r="TUD46" s="78"/>
      <c r="TUE46" s="78"/>
      <c r="TUF46" s="78"/>
      <c r="TUG46" s="78"/>
      <c r="TUH46" s="78"/>
      <c r="TUI46" s="78"/>
      <c r="TUJ46" s="78"/>
      <c r="TUK46" s="78"/>
      <c r="TUL46" s="78"/>
      <c r="TUM46" s="78"/>
      <c r="TUN46" s="78"/>
      <c r="TUO46" s="78"/>
      <c r="TUP46" s="78"/>
      <c r="TUQ46" s="78"/>
      <c r="TUR46" s="78"/>
      <c r="TUS46" s="78"/>
      <c r="TUT46" s="78"/>
      <c r="TUU46" s="78"/>
      <c r="TUV46" s="78"/>
      <c r="TUW46" s="78"/>
      <c r="TUX46" s="78"/>
      <c r="TUY46" s="78"/>
      <c r="TUZ46" s="78"/>
      <c r="TVA46" s="78"/>
      <c r="TVB46" s="78"/>
      <c r="TVC46" s="78"/>
      <c r="TVD46" s="78"/>
      <c r="TVE46" s="78"/>
      <c r="TVF46" s="78"/>
      <c r="TVG46" s="78"/>
      <c r="TVH46" s="78"/>
      <c r="TVI46" s="78"/>
      <c r="TVJ46" s="78"/>
      <c r="TVK46" s="78"/>
      <c r="TVL46" s="78"/>
      <c r="TVM46" s="78"/>
      <c r="TVN46" s="78"/>
      <c r="TVO46" s="78"/>
      <c r="TVP46" s="78"/>
      <c r="TVQ46" s="78"/>
      <c r="TVR46" s="78"/>
      <c r="TVS46" s="78"/>
      <c r="TVT46" s="78"/>
      <c r="TVU46" s="78"/>
      <c r="TVV46" s="78"/>
      <c r="TVW46" s="78"/>
      <c r="TVX46" s="78"/>
      <c r="TVY46" s="78"/>
      <c r="TVZ46" s="78"/>
      <c r="TWA46" s="78"/>
      <c r="TWB46" s="78"/>
      <c r="TWC46" s="78"/>
      <c r="TWD46" s="78"/>
      <c r="TWE46" s="78"/>
      <c r="TWF46" s="78"/>
      <c r="TWG46" s="78"/>
      <c r="TWH46" s="78"/>
      <c r="TWI46" s="78"/>
      <c r="TWJ46" s="78"/>
      <c r="TWK46" s="78"/>
      <c r="TWL46" s="78"/>
      <c r="TWM46" s="78"/>
      <c r="TWN46" s="78"/>
      <c r="TWO46" s="78"/>
      <c r="TWP46" s="78"/>
      <c r="TWQ46" s="78"/>
      <c r="TWR46" s="78"/>
      <c r="TWS46" s="78"/>
      <c r="TWT46" s="78"/>
      <c r="TWU46" s="78"/>
      <c r="TWV46" s="78"/>
      <c r="TWW46" s="78"/>
      <c r="TWX46" s="78"/>
      <c r="TWY46" s="78"/>
      <c r="TWZ46" s="78"/>
      <c r="TXA46" s="78"/>
      <c r="TXB46" s="78"/>
      <c r="TXC46" s="78"/>
      <c r="TXD46" s="78"/>
      <c r="TXE46" s="78"/>
      <c r="TXF46" s="78"/>
      <c r="TXG46" s="78"/>
      <c r="TXH46" s="78"/>
      <c r="TXI46" s="78"/>
      <c r="TXJ46" s="78"/>
      <c r="TXK46" s="78"/>
      <c r="TXL46" s="78"/>
      <c r="TXM46" s="78"/>
      <c r="TXN46" s="78"/>
      <c r="TXO46" s="78"/>
      <c r="TXP46" s="78"/>
      <c r="TXQ46" s="78"/>
      <c r="TXR46" s="78"/>
      <c r="TXS46" s="78"/>
      <c r="TXT46" s="78"/>
      <c r="TXU46" s="78"/>
      <c r="TXV46" s="78"/>
      <c r="TXW46" s="78"/>
      <c r="TXX46" s="78"/>
      <c r="TXY46" s="78"/>
      <c r="TXZ46" s="78"/>
      <c r="TYA46" s="78"/>
      <c r="TYB46" s="78"/>
      <c r="TYC46" s="78"/>
      <c r="TYD46" s="78"/>
      <c r="TYE46" s="78"/>
      <c r="TYF46" s="78"/>
      <c r="TYG46" s="78"/>
      <c r="TYH46" s="78"/>
      <c r="TYI46" s="78"/>
      <c r="TYJ46" s="78"/>
      <c r="TYK46" s="78"/>
      <c r="TYL46" s="78"/>
      <c r="TYM46" s="78"/>
      <c r="TYN46" s="78"/>
      <c r="TYO46" s="78"/>
      <c r="TYP46" s="78"/>
      <c r="TYQ46" s="78"/>
      <c r="TYR46" s="78"/>
      <c r="TYS46" s="78"/>
      <c r="TYT46" s="78"/>
      <c r="TYU46" s="78"/>
      <c r="TYV46" s="78"/>
      <c r="TYW46" s="78"/>
      <c r="TYX46" s="78"/>
      <c r="TYY46" s="78"/>
      <c r="TYZ46" s="78"/>
      <c r="TZA46" s="78"/>
      <c r="TZB46" s="78"/>
      <c r="TZC46" s="78"/>
      <c r="TZD46" s="78"/>
      <c r="TZE46" s="78"/>
      <c r="TZF46" s="78"/>
      <c r="TZG46" s="78"/>
      <c r="TZH46" s="78"/>
      <c r="TZI46" s="78"/>
      <c r="TZJ46" s="78"/>
      <c r="TZK46" s="78"/>
      <c r="TZL46" s="78"/>
      <c r="TZM46" s="78"/>
      <c r="TZN46" s="78"/>
      <c r="TZO46" s="78"/>
      <c r="TZP46" s="78"/>
      <c r="TZQ46" s="78"/>
      <c r="TZR46" s="78"/>
      <c r="TZS46" s="78"/>
      <c r="TZT46" s="78"/>
      <c r="TZU46" s="78"/>
      <c r="TZV46" s="78"/>
      <c r="TZW46" s="78"/>
      <c r="TZX46" s="78"/>
      <c r="TZY46" s="78"/>
      <c r="TZZ46" s="78"/>
      <c r="UAA46" s="78"/>
      <c r="UAB46" s="78"/>
      <c r="UAC46" s="78"/>
      <c r="UAD46" s="78"/>
      <c r="UAE46" s="78"/>
      <c r="UAF46" s="78"/>
      <c r="UAG46" s="78"/>
      <c r="UAH46" s="78"/>
      <c r="UAI46" s="78"/>
      <c r="UAJ46" s="78"/>
      <c r="UAK46" s="78"/>
      <c r="UAL46" s="78"/>
      <c r="UAM46" s="78"/>
      <c r="UAN46" s="78"/>
      <c r="UAO46" s="78"/>
      <c r="UAP46" s="78"/>
      <c r="UAQ46" s="78"/>
      <c r="UAR46" s="78"/>
      <c r="UAS46" s="78"/>
      <c r="UAT46" s="78"/>
      <c r="UAU46" s="78"/>
      <c r="UAV46" s="78"/>
      <c r="UAW46" s="78"/>
      <c r="UAX46" s="78"/>
      <c r="UAY46" s="78"/>
      <c r="UAZ46" s="78"/>
      <c r="UBA46" s="78"/>
      <c r="UBB46" s="78"/>
      <c r="UBC46" s="78"/>
      <c r="UBD46" s="78"/>
      <c r="UBE46" s="78"/>
      <c r="UBF46" s="78"/>
      <c r="UBG46" s="78"/>
      <c r="UBH46" s="78"/>
      <c r="UBI46" s="78"/>
      <c r="UBJ46" s="78"/>
      <c r="UBK46" s="78"/>
      <c r="UBL46" s="78"/>
      <c r="UBM46" s="78"/>
      <c r="UBN46" s="78"/>
      <c r="UBO46" s="78"/>
      <c r="UBP46" s="78"/>
      <c r="UBQ46" s="78"/>
      <c r="UBR46" s="78"/>
      <c r="UBS46" s="78"/>
      <c r="UBT46" s="78"/>
      <c r="UBU46" s="78"/>
      <c r="UBV46" s="78"/>
      <c r="UBW46" s="78"/>
      <c r="UBX46" s="78"/>
      <c r="UBY46" s="78"/>
      <c r="UBZ46" s="78"/>
      <c r="UCA46" s="78"/>
      <c r="UCB46" s="78"/>
      <c r="UCC46" s="78"/>
      <c r="UCD46" s="78"/>
      <c r="UCE46" s="78"/>
      <c r="UCF46" s="78"/>
      <c r="UCG46" s="78"/>
      <c r="UCH46" s="78"/>
      <c r="UCI46" s="78"/>
      <c r="UCJ46" s="78"/>
      <c r="UCK46" s="78"/>
      <c r="UCL46" s="78"/>
      <c r="UCM46" s="78"/>
      <c r="UCN46" s="78"/>
      <c r="UCO46" s="78"/>
      <c r="UCP46" s="78"/>
      <c r="UCQ46" s="78"/>
      <c r="UCR46" s="78"/>
      <c r="UCS46" s="78"/>
      <c r="UCT46" s="78"/>
      <c r="UCU46" s="78"/>
      <c r="UCV46" s="78"/>
      <c r="UCW46" s="78"/>
      <c r="UCX46" s="78"/>
      <c r="UCY46" s="78"/>
      <c r="UCZ46" s="78"/>
      <c r="UDA46" s="78"/>
      <c r="UDB46" s="78"/>
      <c r="UDC46" s="78"/>
      <c r="UDD46" s="78"/>
      <c r="UDE46" s="78"/>
      <c r="UDF46" s="78"/>
      <c r="UDG46" s="78"/>
      <c r="UDH46" s="78"/>
      <c r="UDI46" s="78"/>
      <c r="UDJ46" s="78"/>
      <c r="UDK46" s="78"/>
      <c r="UDL46" s="78"/>
      <c r="UDM46" s="78"/>
      <c r="UDN46" s="78"/>
      <c r="UDO46" s="78"/>
      <c r="UDP46" s="78"/>
      <c r="UDQ46" s="78"/>
      <c r="UDR46" s="78"/>
      <c r="UDS46" s="78"/>
      <c r="UDT46" s="78"/>
      <c r="UDU46" s="78"/>
      <c r="UDV46" s="78"/>
      <c r="UDW46" s="78"/>
      <c r="UDX46" s="78"/>
      <c r="UDY46" s="78"/>
      <c r="UDZ46" s="78"/>
      <c r="UEA46" s="78"/>
      <c r="UEB46" s="78"/>
      <c r="UEC46" s="78"/>
      <c r="UED46" s="78"/>
      <c r="UEE46" s="78"/>
      <c r="UEF46" s="78"/>
      <c r="UEG46" s="78"/>
      <c r="UEH46" s="78"/>
      <c r="UEI46" s="78"/>
      <c r="UEJ46" s="78"/>
      <c r="UEK46" s="78"/>
      <c r="UEL46" s="78"/>
      <c r="UEM46" s="78"/>
      <c r="UEN46" s="78"/>
      <c r="UEO46" s="78"/>
      <c r="UEP46" s="78"/>
      <c r="UEQ46" s="78"/>
      <c r="UER46" s="78"/>
      <c r="UES46" s="78"/>
      <c r="UET46" s="78"/>
      <c r="UEU46" s="78"/>
      <c r="UEV46" s="78"/>
      <c r="UEW46" s="78"/>
      <c r="UEX46" s="78"/>
      <c r="UEY46" s="78"/>
      <c r="UEZ46" s="78"/>
      <c r="UFA46" s="78"/>
      <c r="UFB46" s="78"/>
      <c r="UFC46" s="78"/>
      <c r="UFD46" s="78"/>
      <c r="UFE46" s="78"/>
      <c r="UFF46" s="78"/>
      <c r="UFG46" s="78"/>
      <c r="UFH46" s="78"/>
      <c r="UFI46" s="78"/>
      <c r="UFJ46" s="78"/>
      <c r="UFK46" s="78"/>
      <c r="UFL46" s="78"/>
      <c r="UFM46" s="78"/>
      <c r="UFN46" s="78"/>
      <c r="UFO46" s="78"/>
      <c r="UFP46" s="78"/>
      <c r="UFQ46" s="78"/>
      <c r="UFR46" s="78"/>
      <c r="UFS46" s="78"/>
      <c r="UFT46" s="78"/>
      <c r="UFU46" s="78"/>
      <c r="UFV46" s="78"/>
      <c r="UFW46" s="78"/>
      <c r="UFX46" s="78"/>
      <c r="UFY46" s="78"/>
      <c r="UFZ46" s="78"/>
      <c r="UGA46" s="78"/>
      <c r="UGB46" s="78"/>
      <c r="UGC46" s="78"/>
      <c r="UGD46" s="78"/>
      <c r="UGE46" s="78"/>
      <c r="UGF46" s="78"/>
      <c r="UGG46" s="78"/>
      <c r="UGH46" s="78"/>
      <c r="UGI46" s="78"/>
      <c r="UGJ46" s="78"/>
      <c r="UGK46" s="78"/>
      <c r="UGL46" s="78"/>
      <c r="UGM46" s="78"/>
      <c r="UGN46" s="78"/>
      <c r="UGO46" s="78"/>
      <c r="UGP46" s="78"/>
      <c r="UGQ46" s="78"/>
      <c r="UGR46" s="78"/>
      <c r="UGS46" s="78"/>
      <c r="UGT46" s="78"/>
      <c r="UGU46" s="78"/>
      <c r="UGV46" s="78"/>
      <c r="UGW46" s="78"/>
      <c r="UGX46" s="78"/>
      <c r="UGY46" s="78"/>
      <c r="UGZ46" s="78"/>
      <c r="UHA46" s="78"/>
      <c r="UHB46" s="78"/>
      <c r="UHC46" s="78"/>
      <c r="UHD46" s="78"/>
      <c r="UHE46" s="78"/>
      <c r="UHF46" s="78"/>
      <c r="UHG46" s="78"/>
      <c r="UHH46" s="78"/>
      <c r="UHI46" s="78"/>
      <c r="UHJ46" s="78"/>
      <c r="UHK46" s="78"/>
      <c r="UHL46" s="78"/>
      <c r="UHM46" s="78"/>
      <c r="UHN46" s="78"/>
      <c r="UHO46" s="78"/>
      <c r="UHP46" s="78"/>
      <c r="UHQ46" s="78"/>
      <c r="UHR46" s="78"/>
      <c r="UHS46" s="78"/>
      <c r="UHT46" s="78"/>
      <c r="UHU46" s="78"/>
      <c r="UHV46" s="78"/>
      <c r="UHW46" s="78"/>
      <c r="UHX46" s="78"/>
      <c r="UHY46" s="78"/>
      <c r="UHZ46" s="78"/>
      <c r="UIA46" s="78"/>
      <c r="UIB46" s="78"/>
      <c r="UIC46" s="78"/>
      <c r="UID46" s="78"/>
      <c r="UIE46" s="78"/>
      <c r="UIF46" s="78"/>
      <c r="UIG46" s="78"/>
      <c r="UIH46" s="78"/>
      <c r="UII46" s="78"/>
      <c r="UIJ46" s="78"/>
      <c r="UIK46" s="78"/>
      <c r="UIL46" s="78"/>
      <c r="UIM46" s="78"/>
      <c r="UIN46" s="78"/>
      <c r="UIO46" s="78"/>
      <c r="UIP46" s="78"/>
      <c r="UIQ46" s="78"/>
      <c r="UIR46" s="78"/>
      <c r="UIS46" s="78"/>
      <c r="UIT46" s="78"/>
      <c r="UIU46" s="78"/>
      <c r="UIV46" s="78"/>
      <c r="UIW46" s="78"/>
      <c r="UIX46" s="78"/>
      <c r="UIY46" s="78"/>
      <c r="UIZ46" s="78"/>
      <c r="UJA46" s="78"/>
      <c r="UJB46" s="78"/>
      <c r="UJC46" s="78"/>
      <c r="UJD46" s="78"/>
      <c r="UJE46" s="78"/>
      <c r="UJF46" s="78"/>
      <c r="UJG46" s="78"/>
      <c r="UJH46" s="78"/>
      <c r="UJI46" s="78"/>
      <c r="UJJ46" s="78"/>
      <c r="UJK46" s="78"/>
      <c r="UJL46" s="78"/>
      <c r="UJM46" s="78"/>
      <c r="UJN46" s="78"/>
      <c r="UJO46" s="78"/>
      <c r="UJP46" s="78"/>
      <c r="UJQ46" s="78"/>
      <c r="UJR46" s="78"/>
      <c r="UJS46" s="78"/>
      <c r="UJT46" s="78"/>
      <c r="UJU46" s="78"/>
      <c r="UJV46" s="78"/>
      <c r="UJW46" s="78"/>
      <c r="UJX46" s="78"/>
      <c r="UJY46" s="78"/>
      <c r="UJZ46" s="78"/>
      <c r="UKA46" s="78"/>
      <c r="UKB46" s="78"/>
      <c r="UKC46" s="78"/>
      <c r="UKD46" s="78"/>
      <c r="UKE46" s="78"/>
      <c r="UKF46" s="78"/>
      <c r="UKG46" s="78"/>
      <c r="UKH46" s="78"/>
      <c r="UKI46" s="78"/>
      <c r="UKJ46" s="78"/>
      <c r="UKK46" s="78"/>
      <c r="UKL46" s="78"/>
      <c r="UKM46" s="78"/>
      <c r="UKN46" s="78"/>
      <c r="UKO46" s="78"/>
      <c r="UKP46" s="78"/>
      <c r="UKQ46" s="78"/>
      <c r="UKR46" s="78"/>
      <c r="UKS46" s="78"/>
      <c r="UKT46" s="78"/>
      <c r="UKU46" s="78"/>
      <c r="UKV46" s="78"/>
      <c r="UKW46" s="78"/>
      <c r="UKX46" s="78"/>
      <c r="UKY46" s="78"/>
      <c r="UKZ46" s="78"/>
      <c r="ULA46" s="78"/>
      <c r="ULB46" s="78"/>
      <c r="ULC46" s="78"/>
      <c r="ULD46" s="78"/>
      <c r="ULE46" s="78"/>
      <c r="ULF46" s="78"/>
      <c r="ULG46" s="78"/>
      <c r="ULH46" s="78"/>
      <c r="ULI46" s="78"/>
      <c r="ULJ46" s="78"/>
      <c r="ULK46" s="78"/>
      <c r="ULL46" s="78"/>
      <c r="ULM46" s="78"/>
      <c r="ULN46" s="78"/>
      <c r="ULO46" s="78"/>
      <c r="ULP46" s="78"/>
      <c r="ULQ46" s="78"/>
      <c r="ULR46" s="78"/>
      <c r="ULS46" s="78"/>
      <c r="ULT46" s="78"/>
      <c r="ULU46" s="78"/>
      <c r="ULV46" s="78"/>
      <c r="ULW46" s="78"/>
      <c r="ULX46" s="78"/>
      <c r="ULY46" s="78"/>
      <c r="ULZ46" s="78"/>
      <c r="UMA46" s="78"/>
      <c r="UMB46" s="78"/>
      <c r="UMC46" s="78"/>
      <c r="UMD46" s="78"/>
      <c r="UME46" s="78"/>
      <c r="UMF46" s="78"/>
      <c r="UMG46" s="78"/>
      <c r="UMH46" s="78"/>
      <c r="UMI46" s="78"/>
      <c r="UMJ46" s="78"/>
      <c r="UMK46" s="78"/>
      <c r="UML46" s="78"/>
      <c r="UMM46" s="78"/>
      <c r="UMN46" s="78"/>
      <c r="UMO46" s="78"/>
      <c r="UMP46" s="78"/>
      <c r="UMQ46" s="78"/>
      <c r="UMR46" s="78"/>
      <c r="UMS46" s="78"/>
      <c r="UMT46" s="78"/>
      <c r="UMU46" s="78"/>
      <c r="UMV46" s="78"/>
      <c r="UMW46" s="78"/>
      <c r="UMX46" s="78"/>
      <c r="UMY46" s="78"/>
      <c r="UMZ46" s="78"/>
      <c r="UNA46" s="78"/>
      <c r="UNB46" s="78"/>
      <c r="UNC46" s="78"/>
      <c r="UND46" s="78"/>
      <c r="UNE46" s="78"/>
      <c r="UNF46" s="78"/>
      <c r="UNG46" s="78"/>
      <c r="UNH46" s="78"/>
      <c r="UNI46" s="78"/>
      <c r="UNJ46" s="78"/>
      <c r="UNK46" s="78"/>
      <c r="UNL46" s="78"/>
      <c r="UNM46" s="78"/>
      <c r="UNN46" s="78"/>
      <c r="UNO46" s="78"/>
      <c r="UNP46" s="78"/>
      <c r="UNQ46" s="78"/>
      <c r="UNR46" s="78"/>
      <c r="UNS46" s="78"/>
      <c r="UNT46" s="78"/>
      <c r="UNU46" s="78"/>
      <c r="UNV46" s="78"/>
      <c r="UNW46" s="78"/>
      <c r="UNX46" s="78"/>
      <c r="UNY46" s="78"/>
      <c r="UNZ46" s="78"/>
      <c r="UOA46" s="78"/>
      <c r="UOB46" s="78"/>
      <c r="UOC46" s="78"/>
      <c r="UOD46" s="78"/>
      <c r="UOE46" s="78"/>
      <c r="UOF46" s="78"/>
      <c r="UOG46" s="78"/>
      <c r="UOH46" s="78"/>
      <c r="UOI46" s="78"/>
      <c r="UOJ46" s="78"/>
      <c r="UOK46" s="78"/>
      <c r="UOL46" s="78"/>
      <c r="UOM46" s="78"/>
      <c r="UON46" s="78"/>
      <c r="UOO46" s="78"/>
      <c r="UOP46" s="78"/>
      <c r="UOQ46" s="78"/>
      <c r="UOR46" s="78"/>
      <c r="UOS46" s="78"/>
      <c r="UOT46" s="78"/>
      <c r="UOU46" s="78"/>
      <c r="UOV46" s="78"/>
      <c r="UOW46" s="78"/>
      <c r="UOX46" s="78"/>
      <c r="UOY46" s="78"/>
      <c r="UOZ46" s="78"/>
      <c r="UPA46" s="78"/>
      <c r="UPB46" s="78"/>
      <c r="UPC46" s="78"/>
      <c r="UPD46" s="78"/>
      <c r="UPE46" s="78"/>
      <c r="UPF46" s="78"/>
      <c r="UPG46" s="78"/>
      <c r="UPH46" s="78"/>
      <c r="UPI46" s="78"/>
      <c r="UPJ46" s="78"/>
      <c r="UPK46" s="78"/>
      <c r="UPL46" s="78"/>
      <c r="UPM46" s="78"/>
      <c r="UPN46" s="78"/>
      <c r="UPO46" s="78"/>
      <c r="UPP46" s="78"/>
      <c r="UPQ46" s="78"/>
      <c r="UPR46" s="78"/>
      <c r="UPS46" s="78"/>
      <c r="UPT46" s="78"/>
      <c r="UPU46" s="78"/>
      <c r="UPV46" s="78"/>
      <c r="UPW46" s="78"/>
      <c r="UPX46" s="78"/>
      <c r="UPY46" s="78"/>
      <c r="UPZ46" s="78"/>
      <c r="UQA46" s="78"/>
      <c r="UQB46" s="78"/>
      <c r="UQC46" s="78"/>
      <c r="UQD46" s="78"/>
      <c r="UQE46" s="78"/>
      <c r="UQF46" s="78"/>
      <c r="UQG46" s="78"/>
      <c r="UQH46" s="78"/>
      <c r="UQI46" s="78"/>
      <c r="UQJ46" s="78"/>
      <c r="UQK46" s="78"/>
      <c r="UQL46" s="78"/>
      <c r="UQM46" s="78"/>
      <c r="UQN46" s="78"/>
      <c r="UQO46" s="78"/>
      <c r="UQP46" s="78"/>
      <c r="UQQ46" s="78"/>
      <c r="UQR46" s="78"/>
      <c r="UQS46" s="78"/>
      <c r="UQT46" s="78"/>
      <c r="UQU46" s="78"/>
      <c r="UQV46" s="78"/>
      <c r="UQW46" s="78"/>
      <c r="UQX46" s="78"/>
      <c r="UQY46" s="78"/>
      <c r="UQZ46" s="78"/>
      <c r="URA46" s="78"/>
      <c r="URB46" s="78"/>
      <c r="URC46" s="78"/>
      <c r="URD46" s="78"/>
      <c r="URE46" s="78"/>
      <c r="URF46" s="78"/>
      <c r="URG46" s="78"/>
      <c r="URH46" s="78"/>
      <c r="URI46" s="78"/>
      <c r="URJ46" s="78"/>
      <c r="URK46" s="78"/>
      <c r="URL46" s="78"/>
      <c r="URM46" s="78"/>
      <c r="URN46" s="78"/>
      <c r="URO46" s="78"/>
      <c r="URP46" s="78"/>
      <c r="URQ46" s="78"/>
      <c r="URR46" s="78"/>
      <c r="URS46" s="78"/>
      <c r="URT46" s="78"/>
      <c r="URU46" s="78"/>
      <c r="URV46" s="78"/>
      <c r="URW46" s="78"/>
      <c r="URX46" s="78"/>
      <c r="URY46" s="78"/>
      <c r="URZ46" s="78"/>
      <c r="USA46" s="78"/>
      <c r="USB46" s="78"/>
      <c r="USC46" s="78"/>
      <c r="USD46" s="78"/>
      <c r="USE46" s="78"/>
      <c r="USF46" s="78"/>
      <c r="USG46" s="78"/>
      <c r="USH46" s="78"/>
      <c r="USI46" s="78"/>
      <c r="USJ46" s="78"/>
      <c r="USK46" s="78"/>
      <c r="USL46" s="78"/>
      <c r="USM46" s="78"/>
      <c r="USN46" s="78"/>
      <c r="USO46" s="78"/>
      <c r="USP46" s="78"/>
      <c r="USQ46" s="78"/>
      <c r="USR46" s="78"/>
      <c r="USS46" s="78"/>
      <c r="UST46" s="78"/>
      <c r="USU46" s="78"/>
      <c r="USV46" s="78"/>
      <c r="USW46" s="78"/>
      <c r="USX46" s="78"/>
      <c r="USY46" s="78"/>
      <c r="USZ46" s="78"/>
      <c r="UTA46" s="78"/>
      <c r="UTB46" s="78"/>
      <c r="UTC46" s="78"/>
      <c r="UTD46" s="78"/>
      <c r="UTE46" s="78"/>
      <c r="UTF46" s="78"/>
      <c r="UTG46" s="78"/>
      <c r="UTH46" s="78"/>
      <c r="UTI46" s="78"/>
      <c r="UTJ46" s="78"/>
      <c r="UTK46" s="78"/>
      <c r="UTL46" s="78"/>
      <c r="UTM46" s="78"/>
      <c r="UTN46" s="78"/>
      <c r="UTO46" s="78"/>
      <c r="UTP46" s="78"/>
      <c r="UTQ46" s="78"/>
      <c r="UTR46" s="78"/>
      <c r="UTS46" s="78"/>
      <c r="UTT46" s="78"/>
      <c r="UTU46" s="78"/>
      <c r="UTV46" s="78"/>
      <c r="UTW46" s="78"/>
      <c r="UTX46" s="78"/>
      <c r="UTY46" s="78"/>
      <c r="UTZ46" s="78"/>
      <c r="UUA46" s="78"/>
      <c r="UUB46" s="78"/>
      <c r="UUC46" s="78"/>
      <c r="UUD46" s="78"/>
      <c r="UUE46" s="78"/>
      <c r="UUF46" s="78"/>
      <c r="UUG46" s="78"/>
      <c r="UUH46" s="78"/>
      <c r="UUI46" s="78"/>
      <c r="UUJ46" s="78"/>
      <c r="UUK46" s="78"/>
      <c r="UUL46" s="78"/>
      <c r="UUM46" s="78"/>
      <c r="UUN46" s="78"/>
      <c r="UUO46" s="78"/>
      <c r="UUP46" s="78"/>
      <c r="UUQ46" s="78"/>
      <c r="UUR46" s="78"/>
      <c r="UUS46" s="78"/>
      <c r="UUT46" s="78"/>
      <c r="UUU46" s="78"/>
      <c r="UUV46" s="78"/>
      <c r="UUW46" s="78"/>
      <c r="UUX46" s="78"/>
      <c r="UUY46" s="78"/>
      <c r="UUZ46" s="78"/>
      <c r="UVA46" s="78"/>
      <c r="UVB46" s="78"/>
      <c r="UVC46" s="78"/>
      <c r="UVD46" s="78"/>
      <c r="UVE46" s="78"/>
      <c r="UVF46" s="78"/>
      <c r="UVG46" s="78"/>
      <c r="UVH46" s="78"/>
      <c r="UVI46" s="78"/>
      <c r="UVJ46" s="78"/>
      <c r="UVK46" s="78"/>
      <c r="UVL46" s="78"/>
      <c r="UVM46" s="78"/>
      <c r="UVN46" s="78"/>
      <c r="UVO46" s="78"/>
      <c r="UVP46" s="78"/>
      <c r="UVQ46" s="78"/>
      <c r="UVR46" s="78"/>
      <c r="UVS46" s="78"/>
      <c r="UVT46" s="78"/>
      <c r="UVU46" s="78"/>
      <c r="UVV46" s="78"/>
      <c r="UVW46" s="78"/>
      <c r="UVX46" s="78"/>
      <c r="UVY46" s="78"/>
      <c r="UVZ46" s="78"/>
      <c r="UWA46" s="78"/>
      <c r="UWB46" s="78"/>
      <c r="UWC46" s="78"/>
      <c r="UWD46" s="78"/>
      <c r="UWE46" s="78"/>
      <c r="UWF46" s="78"/>
      <c r="UWG46" s="78"/>
      <c r="UWH46" s="78"/>
      <c r="UWI46" s="78"/>
      <c r="UWJ46" s="78"/>
      <c r="UWK46" s="78"/>
      <c r="UWL46" s="78"/>
      <c r="UWM46" s="78"/>
      <c r="UWN46" s="78"/>
      <c r="UWO46" s="78"/>
      <c r="UWP46" s="78"/>
      <c r="UWQ46" s="78"/>
      <c r="UWR46" s="78"/>
      <c r="UWS46" s="78"/>
      <c r="UWT46" s="78"/>
      <c r="UWU46" s="78"/>
      <c r="UWV46" s="78"/>
      <c r="UWW46" s="78"/>
      <c r="UWX46" s="78"/>
      <c r="UWY46" s="78"/>
      <c r="UWZ46" s="78"/>
      <c r="UXA46" s="78"/>
      <c r="UXB46" s="78"/>
      <c r="UXC46" s="78"/>
      <c r="UXD46" s="78"/>
      <c r="UXE46" s="78"/>
      <c r="UXF46" s="78"/>
      <c r="UXG46" s="78"/>
      <c r="UXH46" s="78"/>
      <c r="UXI46" s="78"/>
      <c r="UXJ46" s="78"/>
      <c r="UXK46" s="78"/>
      <c r="UXL46" s="78"/>
      <c r="UXM46" s="78"/>
      <c r="UXN46" s="78"/>
      <c r="UXO46" s="78"/>
      <c r="UXP46" s="78"/>
      <c r="UXQ46" s="78"/>
      <c r="UXR46" s="78"/>
      <c r="UXS46" s="78"/>
      <c r="UXT46" s="78"/>
      <c r="UXU46" s="78"/>
      <c r="UXV46" s="78"/>
      <c r="UXW46" s="78"/>
      <c r="UXX46" s="78"/>
      <c r="UXY46" s="78"/>
      <c r="UXZ46" s="78"/>
      <c r="UYA46" s="78"/>
      <c r="UYB46" s="78"/>
      <c r="UYC46" s="78"/>
      <c r="UYD46" s="78"/>
      <c r="UYE46" s="78"/>
      <c r="UYF46" s="78"/>
      <c r="UYG46" s="78"/>
      <c r="UYH46" s="78"/>
      <c r="UYI46" s="78"/>
      <c r="UYJ46" s="78"/>
      <c r="UYK46" s="78"/>
      <c r="UYL46" s="78"/>
      <c r="UYM46" s="78"/>
      <c r="UYN46" s="78"/>
      <c r="UYO46" s="78"/>
      <c r="UYP46" s="78"/>
      <c r="UYQ46" s="78"/>
      <c r="UYR46" s="78"/>
      <c r="UYS46" s="78"/>
      <c r="UYT46" s="78"/>
      <c r="UYU46" s="78"/>
      <c r="UYV46" s="78"/>
      <c r="UYW46" s="78"/>
      <c r="UYX46" s="78"/>
      <c r="UYY46" s="78"/>
      <c r="UYZ46" s="78"/>
      <c r="UZA46" s="78"/>
      <c r="UZB46" s="78"/>
      <c r="UZC46" s="78"/>
      <c r="UZD46" s="78"/>
      <c r="UZE46" s="78"/>
      <c r="UZF46" s="78"/>
      <c r="UZG46" s="78"/>
      <c r="UZH46" s="78"/>
      <c r="UZI46" s="78"/>
      <c r="UZJ46" s="78"/>
      <c r="UZK46" s="78"/>
      <c r="UZL46" s="78"/>
      <c r="UZM46" s="78"/>
      <c r="UZN46" s="78"/>
      <c r="UZO46" s="78"/>
      <c r="UZP46" s="78"/>
      <c r="UZQ46" s="78"/>
      <c r="UZR46" s="78"/>
      <c r="UZS46" s="78"/>
      <c r="UZT46" s="78"/>
      <c r="UZU46" s="78"/>
      <c r="UZV46" s="78"/>
      <c r="UZW46" s="78"/>
      <c r="UZX46" s="78"/>
      <c r="UZY46" s="78"/>
      <c r="UZZ46" s="78"/>
      <c r="VAA46" s="78"/>
      <c r="VAB46" s="78"/>
      <c r="VAC46" s="78"/>
      <c r="VAD46" s="78"/>
      <c r="VAE46" s="78"/>
      <c r="VAF46" s="78"/>
      <c r="VAG46" s="78"/>
      <c r="VAH46" s="78"/>
      <c r="VAI46" s="78"/>
      <c r="VAJ46" s="78"/>
      <c r="VAK46" s="78"/>
      <c r="VAL46" s="78"/>
      <c r="VAM46" s="78"/>
      <c r="VAN46" s="78"/>
      <c r="VAO46" s="78"/>
      <c r="VAP46" s="78"/>
      <c r="VAQ46" s="78"/>
      <c r="VAR46" s="78"/>
      <c r="VAS46" s="78"/>
      <c r="VAT46" s="78"/>
      <c r="VAU46" s="78"/>
      <c r="VAV46" s="78"/>
      <c r="VAW46" s="78"/>
      <c r="VAX46" s="78"/>
      <c r="VAY46" s="78"/>
      <c r="VAZ46" s="78"/>
      <c r="VBA46" s="78"/>
      <c r="VBB46" s="78"/>
      <c r="VBC46" s="78"/>
      <c r="VBD46" s="78"/>
      <c r="VBE46" s="78"/>
      <c r="VBF46" s="78"/>
      <c r="VBG46" s="78"/>
      <c r="VBH46" s="78"/>
      <c r="VBI46" s="78"/>
      <c r="VBJ46" s="78"/>
      <c r="VBK46" s="78"/>
      <c r="VBL46" s="78"/>
      <c r="VBM46" s="78"/>
      <c r="VBN46" s="78"/>
      <c r="VBO46" s="78"/>
      <c r="VBP46" s="78"/>
      <c r="VBQ46" s="78"/>
      <c r="VBR46" s="78"/>
      <c r="VBS46" s="78"/>
      <c r="VBT46" s="78"/>
      <c r="VBU46" s="78"/>
      <c r="VBV46" s="78"/>
      <c r="VBW46" s="78"/>
      <c r="VBX46" s="78"/>
      <c r="VBY46" s="78"/>
      <c r="VBZ46" s="78"/>
      <c r="VCA46" s="78"/>
      <c r="VCB46" s="78"/>
      <c r="VCC46" s="78"/>
      <c r="VCD46" s="78"/>
      <c r="VCE46" s="78"/>
      <c r="VCF46" s="78"/>
      <c r="VCG46" s="78"/>
      <c r="VCH46" s="78"/>
      <c r="VCI46" s="78"/>
      <c r="VCJ46" s="78"/>
      <c r="VCK46" s="78"/>
      <c r="VCL46" s="78"/>
      <c r="VCM46" s="78"/>
      <c r="VCN46" s="78"/>
      <c r="VCO46" s="78"/>
      <c r="VCP46" s="78"/>
      <c r="VCQ46" s="78"/>
      <c r="VCR46" s="78"/>
      <c r="VCS46" s="78"/>
      <c r="VCT46" s="78"/>
      <c r="VCU46" s="78"/>
      <c r="VCV46" s="78"/>
      <c r="VCW46" s="78"/>
      <c r="VCX46" s="78"/>
      <c r="VCY46" s="78"/>
      <c r="VCZ46" s="78"/>
      <c r="VDA46" s="78"/>
      <c r="VDB46" s="78"/>
      <c r="VDC46" s="78"/>
      <c r="VDD46" s="78"/>
      <c r="VDE46" s="78"/>
      <c r="VDF46" s="78"/>
      <c r="VDG46" s="78"/>
      <c r="VDH46" s="78"/>
      <c r="VDI46" s="78"/>
      <c r="VDJ46" s="78"/>
      <c r="VDK46" s="78"/>
      <c r="VDL46" s="78"/>
      <c r="VDM46" s="78"/>
      <c r="VDN46" s="78"/>
      <c r="VDO46" s="78"/>
      <c r="VDP46" s="78"/>
      <c r="VDQ46" s="78"/>
      <c r="VDR46" s="78"/>
      <c r="VDS46" s="78"/>
      <c r="VDT46" s="78"/>
      <c r="VDU46" s="78"/>
      <c r="VDV46" s="78"/>
      <c r="VDW46" s="78"/>
      <c r="VDX46" s="78"/>
      <c r="VDY46" s="78"/>
      <c r="VDZ46" s="78"/>
      <c r="VEA46" s="78"/>
      <c r="VEB46" s="78"/>
      <c r="VEC46" s="78"/>
      <c r="VED46" s="78"/>
      <c r="VEE46" s="78"/>
      <c r="VEF46" s="78"/>
      <c r="VEG46" s="78"/>
      <c r="VEH46" s="78"/>
      <c r="VEI46" s="78"/>
      <c r="VEJ46" s="78"/>
      <c r="VEK46" s="78"/>
      <c r="VEL46" s="78"/>
      <c r="VEM46" s="78"/>
      <c r="VEN46" s="78"/>
      <c r="VEO46" s="78"/>
      <c r="VEP46" s="78"/>
      <c r="VEQ46" s="78"/>
      <c r="VER46" s="78"/>
      <c r="VES46" s="78"/>
      <c r="VET46" s="78"/>
      <c r="VEU46" s="78"/>
      <c r="VEV46" s="78"/>
      <c r="VEW46" s="78"/>
      <c r="VEX46" s="78"/>
      <c r="VEY46" s="78"/>
      <c r="VEZ46" s="78"/>
      <c r="VFA46" s="78"/>
      <c r="VFB46" s="78"/>
      <c r="VFC46" s="78"/>
      <c r="VFD46" s="78"/>
      <c r="VFE46" s="78"/>
      <c r="VFF46" s="78"/>
      <c r="VFG46" s="78"/>
      <c r="VFH46" s="78"/>
      <c r="VFI46" s="78"/>
      <c r="VFJ46" s="78"/>
      <c r="VFK46" s="78"/>
      <c r="VFL46" s="78"/>
      <c r="VFM46" s="78"/>
      <c r="VFN46" s="78"/>
      <c r="VFO46" s="78"/>
      <c r="VFP46" s="78"/>
      <c r="VFQ46" s="78"/>
      <c r="VFR46" s="78"/>
      <c r="VFS46" s="78"/>
      <c r="VFT46" s="78"/>
      <c r="VFU46" s="78"/>
      <c r="VFV46" s="78"/>
      <c r="VFW46" s="78"/>
      <c r="VFX46" s="78"/>
      <c r="VFY46" s="78"/>
      <c r="VFZ46" s="78"/>
      <c r="VGA46" s="78"/>
      <c r="VGB46" s="78"/>
      <c r="VGC46" s="78"/>
      <c r="VGD46" s="78"/>
      <c r="VGE46" s="78"/>
      <c r="VGF46" s="78"/>
      <c r="VGG46" s="78"/>
      <c r="VGH46" s="78"/>
      <c r="VGI46" s="78"/>
      <c r="VGJ46" s="78"/>
      <c r="VGK46" s="78"/>
      <c r="VGL46" s="78"/>
      <c r="VGM46" s="78"/>
      <c r="VGN46" s="78"/>
      <c r="VGO46" s="78"/>
      <c r="VGP46" s="78"/>
      <c r="VGQ46" s="78"/>
      <c r="VGR46" s="78"/>
      <c r="VGS46" s="78"/>
      <c r="VGT46" s="78"/>
      <c r="VGU46" s="78"/>
      <c r="VGV46" s="78"/>
      <c r="VGW46" s="78"/>
      <c r="VGX46" s="78"/>
      <c r="VGY46" s="78"/>
      <c r="VGZ46" s="78"/>
      <c r="VHA46" s="78"/>
      <c r="VHB46" s="78"/>
      <c r="VHC46" s="78"/>
      <c r="VHD46" s="78"/>
      <c r="VHE46" s="78"/>
      <c r="VHF46" s="78"/>
      <c r="VHG46" s="78"/>
      <c r="VHH46" s="78"/>
      <c r="VHI46" s="78"/>
      <c r="VHJ46" s="78"/>
      <c r="VHK46" s="78"/>
      <c r="VHL46" s="78"/>
      <c r="VHM46" s="78"/>
      <c r="VHN46" s="78"/>
      <c r="VHO46" s="78"/>
      <c r="VHP46" s="78"/>
      <c r="VHQ46" s="78"/>
      <c r="VHR46" s="78"/>
      <c r="VHS46" s="78"/>
      <c r="VHT46" s="78"/>
      <c r="VHU46" s="78"/>
      <c r="VHV46" s="78"/>
      <c r="VHW46" s="78"/>
      <c r="VHX46" s="78"/>
      <c r="VHY46" s="78"/>
      <c r="VHZ46" s="78"/>
      <c r="VIA46" s="78"/>
      <c r="VIB46" s="78"/>
      <c r="VIC46" s="78"/>
      <c r="VID46" s="78"/>
      <c r="VIE46" s="78"/>
      <c r="VIF46" s="78"/>
      <c r="VIG46" s="78"/>
      <c r="VIH46" s="78"/>
      <c r="VII46" s="78"/>
      <c r="VIJ46" s="78"/>
      <c r="VIK46" s="78"/>
      <c r="VIL46" s="78"/>
      <c r="VIM46" s="78"/>
      <c r="VIN46" s="78"/>
      <c r="VIO46" s="78"/>
      <c r="VIP46" s="78"/>
      <c r="VIQ46" s="78"/>
      <c r="VIR46" s="78"/>
      <c r="VIS46" s="78"/>
      <c r="VIT46" s="78"/>
      <c r="VIU46" s="78"/>
      <c r="VIV46" s="78"/>
      <c r="VIW46" s="78"/>
      <c r="VIX46" s="78"/>
      <c r="VIY46" s="78"/>
      <c r="VIZ46" s="78"/>
      <c r="VJA46" s="78"/>
      <c r="VJB46" s="78"/>
      <c r="VJC46" s="78"/>
      <c r="VJD46" s="78"/>
      <c r="VJE46" s="78"/>
      <c r="VJF46" s="78"/>
      <c r="VJG46" s="78"/>
      <c r="VJH46" s="78"/>
      <c r="VJI46" s="78"/>
      <c r="VJJ46" s="78"/>
      <c r="VJK46" s="78"/>
      <c r="VJL46" s="78"/>
      <c r="VJM46" s="78"/>
      <c r="VJN46" s="78"/>
      <c r="VJO46" s="78"/>
      <c r="VJP46" s="78"/>
      <c r="VJQ46" s="78"/>
      <c r="VJR46" s="78"/>
      <c r="VJS46" s="78"/>
      <c r="VJT46" s="78"/>
      <c r="VJU46" s="78"/>
      <c r="VJV46" s="78"/>
      <c r="VJW46" s="78"/>
      <c r="VJX46" s="78"/>
      <c r="VJY46" s="78"/>
      <c r="VJZ46" s="78"/>
      <c r="VKA46" s="78"/>
      <c r="VKB46" s="78"/>
      <c r="VKC46" s="78"/>
      <c r="VKD46" s="78"/>
      <c r="VKE46" s="78"/>
      <c r="VKF46" s="78"/>
      <c r="VKG46" s="78"/>
      <c r="VKH46" s="78"/>
      <c r="VKI46" s="78"/>
      <c r="VKJ46" s="78"/>
      <c r="VKK46" s="78"/>
      <c r="VKL46" s="78"/>
      <c r="VKM46" s="78"/>
      <c r="VKN46" s="78"/>
      <c r="VKO46" s="78"/>
      <c r="VKP46" s="78"/>
      <c r="VKQ46" s="78"/>
      <c r="VKR46" s="78"/>
      <c r="VKS46" s="78"/>
      <c r="VKT46" s="78"/>
      <c r="VKU46" s="78"/>
      <c r="VKV46" s="78"/>
      <c r="VKW46" s="78"/>
      <c r="VKX46" s="78"/>
      <c r="VKY46" s="78"/>
      <c r="VKZ46" s="78"/>
      <c r="VLA46" s="78"/>
      <c r="VLB46" s="78"/>
      <c r="VLC46" s="78"/>
      <c r="VLD46" s="78"/>
      <c r="VLE46" s="78"/>
      <c r="VLF46" s="78"/>
      <c r="VLG46" s="78"/>
      <c r="VLH46" s="78"/>
      <c r="VLI46" s="78"/>
      <c r="VLJ46" s="78"/>
      <c r="VLK46" s="78"/>
      <c r="VLL46" s="78"/>
      <c r="VLM46" s="78"/>
      <c r="VLN46" s="78"/>
      <c r="VLO46" s="78"/>
      <c r="VLP46" s="78"/>
      <c r="VLQ46" s="78"/>
      <c r="VLR46" s="78"/>
      <c r="VLS46" s="78"/>
      <c r="VLT46" s="78"/>
      <c r="VLU46" s="78"/>
      <c r="VLV46" s="78"/>
      <c r="VLW46" s="78"/>
      <c r="VLX46" s="78"/>
      <c r="VLY46" s="78"/>
      <c r="VLZ46" s="78"/>
      <c r="VMA46" s="78"/>
      <c r="VMB46" s="78"/>
      <c r="VMC46" s="78"/>
      <c r="VMD46" s="78"/>
      <c r="VME46" s="78"/>
      <c r="VMF46" s="78"/>
      <c r="VMG46" s="78"/>
      <c r="VMH46" s="78"/>
      <c r="VMI46" s="78"/>
      <c r="VMJ46" s="78"/>
      <c r="VMK46" s="78"/>
      <c r="VML46" s="78"/>
      <c r="VMM46" s="78"/>
      <c r="VMN46" s="78"/>
      <c r="VMO46" s="78"/>
      <c r="VMP46" s="78"/>
      <c r="VMQ46" s="78"/>
      <c r="VMR46" s="78"/>
      <c r="VMS46" s="78"/>
      <c r="VMT46" s="78"/>
      <c r="VMU46" s="78"/>
      <c r="VMV46" s="78"/>
      <c r="VMW46" s="78"/>
      <c r="VMX46" s="78"/>
      <c r="VMY46" s="78"/>
      <c r="VMZ46" s="78"/>
      <c r="VNA46" s="78"/>
      <c r="VNB46" s="78"/>
      <c r="VNC46" s="78"/>
      <c r="VND46" s="78"/>
      <c r="VNE46" s="78"/>
      <c r="VNF46" s="78"/>
      <c r="VNG46" s="78"/>
      <c r="VNH46" s="78"/>
      <c r="VNI46" s="78"/>
      <c r="VNJ46" s="78"/>
      <c r="VNK46" s="78"/>
      <c r="VNL46" s="78"/>
      <c r="VNM46" s="78"/>
      <c r="VNN46" s="78"/>
      <c r="VNO46" s="78"/>
      <c r="VNP46" s="78"/>
      <c r="VNQ46" s="78"/>
      <c r="VNR46" s="78"/>
      <c r="VNS46" s="78"/>
      <c r="VNT46" s="78"/>
      <c r="VNU46" s="78"/>
      <c r="VNV46" s="78"/>
      <c r="VNW46" s="78"/>
      <c r="VNX46" s="78"/>
      <c r="VNY46" s="78"/>
      <c r="VNZ46" s="78"/>
      <c r="VOA46" s="78"/>
      <c r="VOB46" s="78"/>
      <c r="VOC46" s="78"/>
      <c r="VOD46" s="78"/>
      <c r="VOE46" s="78"/>
      <c r="VOF46" s="78"/>
      <c r="VOG46" s="78"/>
      <c r="VOH46" s="78"/>
      <c r="VOI46" s="78"/>
      <c r="VOJ46" s="78"/>
      <c r="VOK46" s="78"/>
      <c r="VOL46" s="78"/>
      <c r="VOM46" s="78"/>
      <c r="VON46" s="78"/>
      <c r="VOO46" s="78"/>
      <c r="VOP46" s="78"/>
      <c r="VOQ46" s="78"/>
      <c r="VOR46" s="78"/>
      <c r="VOS46" s="78"/>
      <c r="VOT46" s="78"/>
      <c r="VOU46" s="78"/>
      <c r="VOV46" s="78"/>
      <c r="VOW46" s="78"/>
      <c r="VOX46" s="78"/>
      <c r="VOY46" s="78"/>
      <c r="VOZ46" s="78"/>
      <c r="VPA46" s="78"/>
      <c r="VPB46" s="78"/>
      <c r="VPC46" s="78"/>
      <c r="VPD46" s="78"/>
      <c r="VPE46" s="78"/>
      <c r="VPF46" s="78"/>
      <c r="VPG46" s="78"/>
      <c r="VPH46" s="78"/>
      <c r="VPI46" s="78"/>
      <c r="VPJ46" s="78"/>
      <c r="VPK46" s="78"/>
      <c r="VPL46" s="78"/>
      <c r="VPM46" s="78"/>
      <c r="VPN46" s="78"/>
      <c r="VPO46" s="78"/>
      <c r="VPP46" s="78"/>
      <c r="VPQ46" s="78"/>
      <c r="VPR46" s="78"/>
      <c r="VPS46" s="78"/>
      <c r="VPT46" s="78"/>
      <c r="VPU46" s="78"/>
      <c r="VPV46" s="78"/>
      <c r="VPW46" s="78"/>
      <c r="VPX46" s="78"/>
      <c r="VPY46" s="78"/>
      <c r="VPZ46" s="78"/>
      <c r="VQA46" s="78"/>
      <c r="VQB46" s="78"/>
      <c r="VQC46" s="78"/>
      <c r="VQD46" s="78"/>
      <c r="VQE46" s="78"/>
      <c r="VQF46" s="78"/>
      <c r="VQG46" s="78"/>
      <c r="VQH46" s="78"/>
      <c r="VQI46" s="78"/>
      <c r="VQJ46" s="78"/>
      <c r="VQK46" s="78"/>
      <c r="VQL46" s="78"/>
      <c r="VQM46" s="78"/>
      <c r="VQN46" s="78"/>
      <c r="VQO46" s="78"/>
      <c r="VQP46" s="78"/>
      <c r="VQQ46" s="78"/>
      <c r="VQR46" s="78"/>
      <c r="VQS46" s="78"/>
      <c r="VQT46" s="78"/>
      <c r="VQU46" s="78"/>
      <c r="VQV46" s="78"/>
      <c r="VQW46" s="78"/>
      <c r="VQX46" s="78"/>
      <c r="VQY46" s="78"/>
      <c r="VQZ46" s="78"/>
      <c r="VRA46" s="78"/>
      <c r="VRB46" s="78"/>
      <c r="VRC46" s="78"/>
      <c r="VRD46" s="78"/>
      <c r="VRE46" s="78"/>
      <c r="VRF46" s="78"/>
      <c r="VRG46" s="78"/>
      <c r="VRH46" s="78"/>
      <c r="VRI46" s="78"/>
      <c r="VRJ46" s="78"/>
      <c r="VRK46" s="78"/>
      <c r="VRL46" s="78"/>
      <c r="VRM46" s="78"/>
      <c r="VRN46" s="78"/>
      <c r="VRO46" s="78"/>
      <c r="VRP46" s="78"/>
      <c r="VRQ46" s="78"/>
      <c r="VRR46" s="78"/>
      <c r="VRS46" s="78"/>
      <c r="VRT46" s="78"/>
      <c r="VRU46" s="78"/>
      <c r="VRV46" s="78"/>
      <c r="VRW46" s="78"/>
      <c r="VRX46" s="78"/>
      <c r="VRY46" s="78"/>
      <c r="VRZ46" s="78"/>
      <c r="VSA46" s="78"/>
      <c r="VSB46" s="78"/>
      <c r="VSC46" s="78"/>
      <c r="VSD46" s="78"/>
      <c r="VSE46" s="78"/>
      <c r="VSF46" s="78"/>
      <c r="VSG46" s="78"/>
      <c r="VSH46" s="78"/>
      <c r="VSI46" s="78"/>
      <c r="VSJ46" s="78"/>
      <c r="VSK46" s="78"/>
      <c r="VSL46" s="78"/>
      <c r="VSM46" s="78"/>
      <c r="VSN46" s="78"/>
      <c r="VSO46" s="78"/>
      <c r="VSP46" s="78"/>
      <c r="VSQ46" s="78"/>
      <c r="VSR46" s="78"/>
      <c r="VSS46" s="78"/>
      <c r="VST46" s="78"/>
      <c r="VSU46" s="78"/>
      <c r="VSV46" s="78"/>
      <c r="VSW46" s="78"/>
      <c r="VSX46" s="78"/>
      <c r="VSY46" s="78"/>
      <c r="VSZ46" s="78"/>
      <c r="VTA46" s="78"/>
      <c r="VTB46" s="78"/>
      <c r="VTC46" s="78"/>
      <c r="VTD46" s="78"/>
      <c r="VTE46" s="78"/>
      <c r="VTF46" s="78"/>
      <c r="VTG46" s="78"/>
      <c r="VTH46" s="78"/>
      <c r="VTI46" s="78"/>
      <c r="VTJ46" s="78"/>
      <c r="VTK46" s="78"/>
      <c r="VTL46" s="78"/>
      <c r="VTM46" s="78"/>
      <c r="VTN46" s="78"/>
      <c r="VTO46" s="78"/>
      <c r="VTP46" s="78"/>
      <c r="VTQ46" s="78"/>
      <c r="VTR46" s="78"/>
      <c r="VTS46" s="78"/>
      <c r="VTT46" s="78"/>
      <c r="VTU46" s="78"/>
      <c r="VTV46" s="78"/>
      <c r="VTW46" s="78"/>
      <c r="VTX46" s="78"/>
      <c r="VTY46" s="78"/>
      <c r="VTZ46" s="78"/>
      <c r="VUA46" s="78"/>
      <c r="VUB46" s="78"/>
      <c r="VUC46" s="78"/>
      <c r="VUD46" s="78"/>
      <c r="VUE46" s="78"/>
      <c r="VUF46" s="78"/>
      <c r="VUG46" s="78"/>
      <c r="VUH46" s="78"/>
      <c r="VUI46" s="78"/>
      <c r="VUJ46" s="78"/>
      <c r="VUK46" s="78"/>
      <c r="VUL46" s="78"/>
      <c r="VUM46" s="78"/>
      <c r="VUN46" s="78"/>
      <c r="VUO46" s="78"/>
      <c r="VUP46" s="78"/>
      <c r="VUQ46" s="78"/>
      <c r="VUR46" s="78"/>
      <c r="VUS46" s="78"/>
      <c r="VUT46" s="78"/>
      <c r="VUU46" s="78"/>
      <c r="VUV46" s="78"/>
      <c r="VUW46" s="78"/>
      <c r="VUX46" s="78"/>
      <c r="VUY46" s="78"/>
      <c r="VUZ46" s="78"/>
      <c r="VVA46" s="78"/>
      <c r="VVB46" s="78"/>
      <c r="VVC46" s="78"/>
      <c r="VVD46" s="78"/>
      <c r="VVE46" s="78"/>
      <c r="VVF46" s="78"/>
      <c r="VVG46" s="78"/>
      <c r="VVH46" s="78"/>
      <c r="VVI46" s="78"/>
      <c r="VVJ46" s="78"/>
      <c r="VVK46" s="78"/>
      <c r="VVL46" s="78"/>
      <c r="VVM46" s="78"/>
      <c r="VVN46" s="78"/>
      <c r="VVO46" s="78"/>
      <c r="VVP46" s="78"/>
      <c r="VVQ46" s="78"/>
      <c r="VVR46" s="78"/>
      <c r="VVS46" s="78"/>
      <c r="VVT46" s="78"/>
      <c r="VVU46" s="78"/>
      <c r="VVV46" s="78"/>
      <c r="VVW46" s="78"/>
      <c r="VVX46" s="78"/>
      <c r="VVY46" s="78"/>
      <c r="VVZ46" s="78"/>
      <c r="VWA46" s="78"/>
      <c r="VWB46" s="78"/>
      <c r="VWC46" s="78"/>
      <c r="VWD46" s="78"/>
      <c r="VWE46" s="78"/>
      <c r="VWF46" s="78"/>
      <c r="VWG46" s="78"/>
      <c r="VWH46" s="78"/>
      <c r="VWI46" s="78"/>
      <c r="VWJ46" s="78"/>
      <c r="VWK46" s="78"/>
      <c r="VWL46" s="78"/>
      <c r="VWM46" s="78"/>
      <c r="VWN46" s="78"/>
      <c r="VWO46" s="78"/>
      <c r="VWP46" s="78"/>
      <c r="VWQ46" s="78"/>
      <c r="VWR46" s="78"/>
      <c r="VWS46" s="78"/>
      <c r="VWT46" s="78"/>
      <c r="VWU46" s="78"/>
      <c r="VWV46" s="78"/>
      <c r="VWW46" s="78"/>
      <c r="VWX46" s="78"/>
      <c r="VWY46" s="78"/>
      <c r="VWZ46" s="78"/>
      <c r="VXA46" s="78"/>
      <c r="VXB46" s="78"/>
      <c r="VXC46" s="78"/>
      <c r="VXD46" s="78"/>
      <c r="VXE46" s="78"/>
      <c r="VXF46" s="78"/>
      <c r="VXG46" s="78"/>
      <c r="VXH46" s="78"/>
      <c r="VXI46" s="78"/>
      <c r="VXJ46" s="78"/>
      <c r="VXK46" s="78"/>
      <c r="VXL46" s="78"/>
      <c r="VXM46" s="78"/>
      <c r="VXN46" s="78"/>
      <c r="VXO46" s="78"/>
      <c r="VXP46" s="78"/>
      <c r="VXQ46" s="78"/>
      <c r="VXR46" s="78"/>
      <c r="VXS46" s="78"/>
      <c r="VXT46" s="78"/>
      <c r="VXU46" s="78"/>
      <c r="VXV46" s="78"/>
      <c r="VXW46" s="78"/>
      <c r="VXX46" s="78"/>
      <c r="VXY46" s="78"/>
      <c r="VXZ46" s="78"/>
      <c r="VYA46" s="78"/>
      <c r="VYB46" s="78"/>
      <c r="VYC46" s="78"/>
      <c r="VYD46" s="78"/>
      <c r="VYE46" s="78"/>
      <c r="VYF46" s="78"/>
      <c r="VYG46" s="78"/>
      <c r="VYH46" s="78"/>
      <c r="VYI46" s="78"/>
      <c r="VYJ46" s="78"/>
      <c r="VYK46" s="78"/>
      <c r="VYL46" s="78"/>
      <c r="VYM46" s="78"/>
      <c r="VYN46" s="78"/>
      <c r="VYO46" s="78"/>
      <c r="VYP46" s="78"/>
      <c r="VYQ46" s="78"/>
      <c r="VYR46" s="78"/>
      <c r="VYS46" s="78"/>
      <c r="VYT46" s="78"/>
      <c r="VYU46" s="78"/>
      <c r="VYV46" s="78"/>
      <c r="VYW46" s="78"/>
      <c r="VYX46" s="78"/>
      <c r="VYY46" s="78"/>
      <c r="VYZ46" s="78"/>
      <c r="VZA46" s="78"/>
      <c r="VZB46" s="78"/>
      <c r="VZC46" s="78"/>
      <c r="VZD46" s="78"/>
      <c r="VZE46" s="78"/>
      <c r="VZF46" s="78"/>
      <c r="VZG46" s="78"/>
      <c r="VZH46" s="78"/>
      <c r="VZI46" s="78"/>
      <c r="VZJ46" s="78"/>
      <c r="VZK46" s="78"/>
      <c r="VZL46" s="78"/>
      <c r="VZM46" s="78"/>
      <c r="VZN46" s="78"/>
      <c r="VZO46" s="78"/>
      <c r="VZP46" s="78"/>
      <c r="VZQ46" s="78"/>
      <c r="VZR46" s="78"/>
      <c r="VZS46" s="78"/>
      <c r="VZT46" s="78"/>
      <c r="VZU46" s="78"/>
      <c r="VZV46" s="78"/>
      <c r="VZW46" s="78"/>
      <c r="VZX46" s="78"/>
      <c r="VZY46" s="78"/>
      <c r="VZZ46" s="78"/>
      <c r="WAA46" s="78"/>
      <c r="WAB46" s="78"/>
      <c r="WAC46" s="78"/>
      <c r="WAD46" s="78"/>
      <c r="WAE46" s="78"/>
      <c r="WAF46" s="78"/>
      <c r="WAG46" s="78"/>
      <c r="WAH46" s="78"/>
      <c r="WAI46" s="78"/>
      <c r="WAJ46" s="78"/>
      <c r="WAK46" s="78"/>
      <c r="WAL46" s="78"/>
      <c r="WAM46" s="78"/>
      <c r="WAN46" s="78"/>
      <c r="WAO46" s="78"/>
      <c r="WAP46" s="78"/>
      <c r="WAQ46" s="78"/>
      <c r="WAR46" s="78"/>
      <c r="WAS46" s="78"/>
      <c r="WAT46" s="78"/>
      <c r="WAU46" s="78"/>
      <c r="WAV46" s="78"/>
      <c r="WAW46" s="78"/>
      <c r="WAX46" s="78"/>
      <c r="WAY46" s="78"/>
      <c r="WAZ46" s="78"/>
      <c r="WBA46" s="78"/>
      <c r="WBB46" s="78"/>
      <c r="WBC46" s="78"/>
      <c r="WBD46" s="78"/>
      <c r="WBE46" s="78"/>
      <c r="WBF46" s="78"/>
      <c r="WBG46" s="78"/>
      <c r="WBH46" s="78"/>
      <c r="WBI46" s="78"/>
      <c r="WBJ46" s="78"/>
      <c r="WBK46" s="78"/>
      <c r="WBL46" s="78"/>
      <c r="WBM46" s="78"/>
      <c r="WBN46" s="78"/>
      <c r="WBO46" s="78"/>
      <c r="WBP46" s="78"/>
      <c r="WBQ46" s="78"/>
      <c r="WBR46" s="78"/>
      <c r="WBS46" s="78"/>
      <c r="WBT46" s="78"/>
      <c r="WBU46" s="78"/>
      <c r="WBV46" s="78"/>
      <c r="WBW46" s="78"/>
      <c r="WBX46" s="78"/>
      <c r="WBY46" s="78"/>
      <c r="WBZ46" s="78"/>
      <c r="WCA46" s="78"/>
      <c r="WCB46" s="78"/>
      <c r="WCC46" s="78"/>
      <c r="WCD46" s="78"/>
      <c r="WCE46" s="78"/>
      <c r="WCF46" s="78"/>
      <c r="WCG46" s="78"/>
      <c r="WCH46" s="78"/>
      <c r="WCI46" s="78"/>
      <c r="WCJ46" s="78"/>
      <c r="WCK46" s="78"/>
      <c r="WCL46" s="78"/>
      <c r="WCM46" s="78"/>
      <c r="WCN46" s="78"/>
      <c r="WCO46" s="78"/>
      <c r="WCP46" s="78"/>
      <c r="WCQ46" s="78"/>
      <c r="WCR46" s="78"/>
      <c r="WCS46" s="78"/>
      <c r="WCT46" s="78"/>
      <c r="WCU46" s="78"/>
      <c r="WCV46" s="78"/>
      <c r="WCW46" s="78"/>
      <c r="WCX46" s="78"/>
      <c r="WCY46" s="78"/>
      <c r="WCZ46" s="78"/>
      <c r="WDA46" s="78"/>
      <c r="WDB46" s="78"/>
      <c r="WDC46" s="78"/>
      <c r="WDD46" s="78"/>
      <c r="WDE46" s="78"/>
      <c r="WDF46" s="78"/>
      <c r="WDG46" s="78"/>
      <c r="WDH46" s="78"/>
      <c r="WDI46" s="78"/>
      <c r="WDJ46" s="78"/>
      <c r="WDK46" s="78"/>
      <c r="WDL46" s="78"/>
      <c r="WDM46" s="78"/>
      <c r="WDN46" s="78"/>
      <c r="WDO46" s="78"/>
      <c r="WDP46" s="78"/>
      <c r="WDQ46" s="78"/>
      <c r="WDR46" s="78"/>
      <c r="WDS46" s="78"/>
      <c r="WDT46" s="78"/>
      <c r="WDU46" s="78"/>
      <c r="WDV46" s="78"/>
      <c r="WDW46" s="78"/>
      <c r="WDX46" s="78"/>
      <c r="WDY46" s="78"/>
      <c r="WDZ46" s="78"/>
      <c r="WEA46" s="78"/>
      <c r="WEB46" s="78"/>
      <c r="WEC46" s="78"/>
      <c r="WED46" s="78"/>
      <c r="WEE46" s="78"/>
      <c r="WEF46" s="78"/>
      <c r="WEG46" s="78"/>
      <c r="WEH46" s="78"/>
      <c r="WEI46" s="78"/>
      <c r="WEJ46" s="78"/>
      <c r="WEK46" s="78"/>
      <c r="WEL46" s="78"/>
      <c r="WEM46" s="78"/>
      <c r="WEN46" s="78"/>
      <c r="WEO46" s="78"/>
      <c r="WEP46" s="78"/>
      <c r="WEQ46" s="78"/>
      <c r="WER46" s="78"/>
      <c r="WES46" s="78"/>
      <c r="WET46" s="78"/>
      <c r="WEU46" s="78"/>
      <c r="WEV46" s="78"/>
      <c r="WEW46" s="78"/>
      <c r="WEX46" s="78"/>
      <c r="WEY46" s="78"/>
      <c r="WEZ46" s="78"/>
      <c r="WFA46" s="78"/>
      <c r="WFB46" s="78"/>
      <c r="WFC46" s="78"/>
      <c r="WFD46" s="78"/>
      <c r="WFE46" s="78"/>
      <c r="WFF46" s="78"/>
      <c r="WFG46" s="78"/>
      <c r="WFH46" s="78"/>
      <c r="WFI46" s="78"/>
      <c r="WFJ46" s="78"/>
      <c r="WFK46" s="78"/>
      <c r="WFL46" s="78"/>
      <c r="WFM46" s="78"/>
      <c r="WFN46" s="78"/>
      <c r="WFO46" s="78"/>
      <c r="WFP46" s="78"/>
      <c r="WFQ46" s="78"/>
      <c r="WFR46" s="78"/>
      <c r="WFS46" s="78"/>
      <c r="WFT46" s="78"/>
      <c r="WFU46" s="78"/>
      <c r="WFV46" s="78"/>
      <c r="WFW46" s="78"/>
      <c r="WFX46" s="78"/>
      <c r="WFY46" s="78"/>
      <c r="WFZ46" s="78"/>
      <c r="WGA46" s="78"/>
      <c r="WGB46" s="78"/>
      <c r="WGC46" s="78"/>
      <c r="WGD46" s="78"/>
      <c r="WGE46" s="78"/>
      <c r="WGF46" s="78"/>
      <c r="WGG46" s="78"/>
      <c r="WGH46" s="78"/>
      <c r="WGI46" s="78"/>
      <c r="WGJ46" s="78"/>
      <c r="WGK46" s="78"/>
      <c r="WGL46" s="78"/>
      <c r="WGM46" s="78"/>
      <c r="WGN46" s="78"/>
      <c r="WGO46" s="78"/>
      <c r="WGP46" s="78"/>
      <c r="WGQ46" s="78"/>
      <c r="WGR46" s="78"/>
      <c r="WGS46" s="78"/>
      <c r="WGT46" s="78"/>
      <c r="WGU46" s="78"/>
      <c r="WGV46" s="78"/>
      <c r="WGW46" s="78"/>
      <c r="WGX46" s="78"/>
      <c r="WGY46" s="78"/>
      <c r="WGZ46" s="78"/>
      <c r="WHA46" s="78"/>
      <c r="WHB46" s="78"/>
      <c r="WHC46" s="78"/>
      <c r="WHD46" s="78"/>
      <c r="WHE46" s="78"/>
      <c r="WHF46" s="78"/>
      <c r="WHG46" s="78"/>
      <c r="WHH46" s="78"/>
      <c r="WHI46" s="78"/>
      <c r="WHJ46" s="78"/>
      <c r="WHK46" s="78"/>
      <c r="WHL46" s="78"/>
      <c r="WHM46" s="78"/>
      <c r="WHN46" s="78"/>
      <c r="WHO46" s="78"/>
      <c r="WHP46" s="78"/>
      <c r="WHQ46" s="78"/>
      <c r="WHR46" s="78"/>
      <c r="WHS46" s="78"/>
      <c r="WHT46" s="78"/>
      <c r="WHU46" s="78"/>
      <c r="WHV46" s="78"/>
      <c r="WHW46" s="78"/>
      <c r="WHX46" s="78"/>
      <c r="WHY46" s="78"/>
      <c r="WHZ46" s="78"/>
      <c r="WIA46" s="78"/>
      <c r="WIB46" s="78"/>
      <c r="WIC46" s="78"/>
      <c r="WID46" s="78"/>
      <c r="WIE46" s="78"/>
      <c r="WIF46" s="78"/>
      <c r="WIG46" s="78"/>
      <c r="WIH46" s="78"/>
      <c r="WII46" s="78"/>
      <c r="WIJ46" s="78"/>
      <c r="WIK46" s="78"/>
      <c r="WIL46" s="78"/>
      <c r="WIM46" s="78"/>
      <c r="WIN46" s="78"/>
      <c r="WIO46" s="78"/>
      <c r="WIP46" s="78"/>
      <c r="WIQ46" s="78"/>
      <c r="WIR46" s="78"/>
      <c r="WIS46" s="78"/>
      <c r="WIT46" s="78"/>
      <c r="WIU46" s="78"/>
      <c r="WIV46" s="78"/>
      <c r="WIW46" s="78"/>
      <c r="WIX46" s="78"/>
      <c r="WIY46" s="78"/>
      <c r="WIZ46" s="78"/>
      <c r="WJA46" s="78"/>
      <c r="WJB46" s="78"/>
      <c r="WJC46" s="78"/>
      <c r="WJD46" s="78"/>
      <c r="WJE46" s="78"/>
      <c r="WJF46" s="78"/>
      <c r="WJG46" s="78"/>
      <c r="WJH46" s="78"/>
      <c r="WJI46" s="78"/>
      <c r="WJJ46" s="78"/>
      <c r="WJK46" s="78"/>
      <c r="WJL46" s="78"/>
      <c r="WJM46" s="78"/>
      <c r="WJN46" s="78"/>
      <c r="WJO46" s="78"/>
      <c r="WJP46" s="78"/>
      <c r="WJQ46" s="78"/>
    </row>
    <row r="47" spans="1:15825" s="75" customFormat="1" ht="30" hidden="1" customHeight="1">
      <c r="A47" s="77"/>
      <c r="C47" s="79"/>
      <c r="D47" s="79"/>
      <c r="F47" s="817" t="s">
        <v>107</v>
      </c>
      <c r="G47" s="818"/>
      <c r="H47" s="314"/>
      <c r="I47" s="314"/>
      <c r="J47" s="314"/>
      <c r="K47" s="79"/>
    </row>
    <row r="48" spans="1:15825" s="78" customFormat="1" ht="30" hidden="1" customHeight="1">
      <c r="A48" s="77"/>
      <c r="C48" s="79"/>
      <c r="D48" s="79"/>
      <c r="E48" s="79"/>
      <c r="F48" s="122" t="s">
        <v>101</v>
      </c>
      <c r="G48" s="122" t="s">
        <v>102</v>
      </c>
      <c r="H48" s="315"/>
      <c r="I48" s="315"/>
      <c r="J48" s="315"/>
      <c r="Y48" s="77"/>
      <c r="Z48" s="77"/>
    </row>
    <row r="49" spans="1:26" s="78" customFormat="1" ht="66" hidden="1" customHeight="1">
      <c r="A49" s="123"/>
      <c r="C49" s="819" t="s">
        <v>108</v>
      </c>
      <c r="D49" s="820"/>
      <c r="E49" s="115" t="s">
        <v>136</v>
      </c>
      <c r="F49" s="124">
        <v>16</v>
      </c>
      <c r="G49" s="124">
        <v>17</v>
      </c>
      <c r="H49" s="316"/>
      <c r="I49" s="316"/>
      <c r="J49" s="316"/>
      <c r="N49" s="127" t="s">
        <v>103</v>
      </c>
      <c r="O49" s="127"/>
      <c r="P49" s="155" t="s">
        <v>42</v>
      </c>
      <c r="Y49" s="77"/>
      <c r="Z49" s="77"/>
    </row>
    <row r="50" spans="1:26" s="78" customFormat="1" ht="30" hidden="1" customHeight="1">
      <c r="A50" s="123"/>
      <c r="C50" s="114">
        <v>1</v>
      </c>
      <c r="D50" s="116" t="str">
        <f>VLOOKUP(C50,LISTA_OFERENTES,2,FALSE)</f>
        <v>KER INGENIERIA S.A.S.</v>
      </c>
      <c r="E50" s="125">
        <f t="shared" ref="E50:E66" ca="1" si="98">INDIRECT(F50,TRUE)</f>
        <v>0</v>
      </c>
      <c r="F50" s="117" t="str">
        <f>ADDRESS(82,G50,1,1)</f>
        <v>$P$82</v>
      </c>
      <c r="G50" s="117">
        <f>F49</f>
        <v>16</v>
      </c>
      <c r="H50" s="317"/>
      <c r="I50" s="317"/>
      <c r="J50" s="317"/>
      <c r="N50" s="114">
        <v>1</v>
      </c>
      <c r="O50" s="116" t="str">
        <f t="shared" ref="O50:O66" si="99">VLOOKUP(N50,LISTA_OFERENTES,2,FALSE)</f>
        <v>KER INGENIERIA S.A.S.</v>
      </c>
      <c r="P50" s="114" t="e">
        <f>IF(HLOOKUP(N50,VER_UNI,2,FALSE)="OK","H","NH")</f>
        <v>#N/A</v>
      </c>
      <c r="Y50" s="77"/>
      <c r="Z50" s="77"/>
    </row>
    <row r="51" spans="1:26" s="78" customFormat="1" ht="30" hidden="1" customHeight="1">
      <c r="A51" s="123"/>
      <c r="C51" s="114">
        <v>2</v>
      </c>
      <c r="D51" s="116" t="str">
        <f t="shared" ref="D51:D66" si="100">VLOOKUP(C51,LISTA_OFERENTES,2,FALSE)</f>
        <v>UNIÓN TEMPORAL SUPERVISOR 2021</v>
      </c>
      <c r="E51" s="125">
        <f t="shared" ca="1" si="98"/>
        <v>0</v>
      </c>
      <c r="F51" s="117" t="str">
        <f t="shared" ref="F51:F66" si="101">ADDRESS(82,G51,1,1)</f>
        <v>$AG$82</v>
      </c>
      <c r="G51" s="126">
        <f>G50+$G$49</f>
        <v>33</v>
      </c>
      <c r="H51" s="318"/>
      <c r="I51" s="318"/>
      <c r="J51" s="318"/>
      <c r="N51" s="114">
        <v>2</v>
      </c>
      <c r="O51" s="116" t="str">
        <f t="shared" si="99"/>
        <v>UNIÓN TEMPORAL SUPERVISOR 2021</v>
      </c>
      <c r="P51" s="114" t="e">
        <f t="shared" ref="P51:P66" si="102">IF(HLOOKUP(N51,VER_UNI,2,FALSE)="OK","H","NH")</f>
        <v>#N/A</v>
      </c>
      <c r="Y51" s="77"/>
      <c r="Z51" s="77"/>
    </row>
    <row r="52" spans="1:26" s="78" customFormat="1" ht="30" hidden="1" customHeight="1">
      <c r="A52" s="123"/>
      <c r="C52" s="114">
        <v>3</v>
      </c>
      <c r="D52" s="116" t="str">
        <f t="shared" si="100"/>
        <v>PreVeo S.A.S.</v>
      </c>
      <c r="E52" s="125">
        <f t="shared" ca="1" si="98"/>
        <v>0</v>
      </c>
      <c r="F52" s="117" t="str">
        <f t="shared" si="101"/>
        <v>$AX$82</v>
      </c>
      <c r="G52" s="126">
        <f t="shared" ref="G52:G66" si="103">G51+$G$49</f>
        <v>50</v>
      </c>
      <c r="H52" s="318"/>
      <c r="I52" s="318"/>
      <c r="J52" s="318"/>
      <c r="N52" s="114">
        <v>3</v>
      </c>
      <c r="O52" s="116" t="str">
        <f t="shared" si="99"/>
        <v>PreVeo S.A.S.</v>
      </c>
      <c r="P52" s="114" t="e">
        <f t="shared" si="102"/>
        <v>#N/A</v>
      </c>
      <c r="Y52" s="77"/>
      <c r="Z52" s="77"/>
    </row>
    <row r="53" spans="1:26" s="78" customFormat="1" ht="30" hidden="1" customHeight="1">
      <c r="A53" s="123"/>
      <c r="C53" s="114">
        <v>4</v>
      </c>
      <c r="D53" s="116" t="str">
        <f t="shared" si="100"/>
        <v>INTERVE S.A.S.</v>
      </c>
      <c r="E53" s="125">
        <f t="shared" ca="1" si="98"/>
        <v>0</v>
      </c>
      <c r="F53" s="117" t="str">
        <f t="shared" si="101"/>
        <v>$BO$82</v>
      </c>
      <c r="G53" s="126">
        <f t="shared" si="103"/>
        <v>67</v>
      </c>
      <c r="H53" s="318"/>
      <c r="I53" s="318"/>
      <c r="J53" s="318"/>
      <c r="N53" s="114">
        <v>4</v>
      </c>
      <c r="O53" s="116" t="str">
        <f t="shared" si="99"/>
        <v>INTERVE S.A.S.</v>
      </c>
      <c r="P53" s="114" t="e">
        <f t="shared" si="102"/>
        <v>#N/A</v>
      </c>
      <c r="Y53" s="77"/>
      <c r="Z53" s="77"/>
    </row>
    <row r="54" spans="1:26" s="78" customFormat="1" ht="30" hidden="1" customHeight="1">
      <c r="A54" s="123"/>
      <c r="C54" s="114">
        <v>5</v>
      </c>
      <c r="D54" s="116">
        <f t="shared" si="100"/>
        <v>0</v>
      </c>
      <c r="E54" s="125">
        <f t="shared" ca="1" si="98"/>
        <v>0</v>
      </c>
      <c r="F54" s="117" t="str">
        <f t="shared" si="101"/>
        <v>$CF$82</v>
      </c>
      <c r="G54" s="126">
        <f t="shared" si="103"/>
        <v>84</v>
      </c>
      <c r="H54" s="318"/>
      <c r="I54" s="318"/>
      <c r="J54" s="318"/>
      <c r="N54" s="114">
        <v>5</v>
      </c>
      <c r="O54" s="116">
        <f t="shared" si="99"/>
        <v>0</v>
      </c>
      <c r="P54" s="114" t="e">
        <f t="shared" si="102"/>
        <v>#N/A</v>
      </c>
    </row>
    <row r="55" spans="1:26" s="78" customFormat="1" ht="30" hidden="1" customHeight="1">
      <c r="A55" s="123"/>
      <c r="C55" s="114">
        <v>6</v>
      </c>
      <c r="D55" s="116">
        <f t="shared" si="100"/>
        <v>0</v>
      </c>
      <c r="E55" s="125">
        <f t="shared" ca="1" si="98"/>
        <v>0</v>
      </c>
      <c r="F55" s="117" t="str">
        <f t="shared" si="101"/>
        <v>$CW$82</v>
      </c>
      <c r="G55" s="126">
        <f t="shared" si="103"/>
        <v>101</v>
      </c>
      <c r="H55" s="318"/>
      <c r="I55" s="318"/>
      <c r="J55" s="318"/>
      <c r="N55" s="114">
        <v>6</v>
      </c>
      <c r="O55" s="116">
        <f t="shared" si="99"/>
        <v>0</v>
      </c>
      <c r="P55" s="114" t="e">
        <f t="shared" si="102"/>
        <v>#N/A</v>
      </c>
    </row>
    <row r="56" spans="1:26" s="78" customFormat="1" ht="30" hidden="1" customHeight="1">
      <c r="A56" s="123"/>
      <c r="C56" s="114">
        <v>7</v>
      </c>
      <c r="D56" s="116">
        <f t="shared" si="100"/>
        <v>0</v>
      </c>
      <c r="E56" s="125">
        <f t="shared" ca="1" si="98"/>
        <v>0</v>
      </c>
      <c r="F56" s="117" t="str">
        <f t="shared" si="101"/>
        <v>$DN$82</v>
      </c>
      <c r="G56" s="126">
        <f t="shared" si="103"/>
        <v>118</v>
      </c>
      <c r="H56" s="318"/>
      <c r="I56" s="318"/>
      <c r="J56" s="318"/>
      <c r="N56" s="114">
        <v>7</v>
      </c>
      <c r="O56" s="116">
        <f t="shared" si="99"/>
        <v>0</v>
      </c>
      <c r="P56" s="114" t="e">
        <f t="shared" si="102"/>
        <v>#N/A</v>
      </c>
    </row>
    <row r="57" spans="1:26" s="78" customFormat="1" ht="30" hidden="1" customHeight="1">
      <c r="A57" s="123"/>
      <c r="C57" s="114">
        <v>8</v>
      </c>
      <c r="D57" s="116">
        <f t="shared" si="100"/>
        <v>0</v>
      </c>
      <c r="E57" s="125">
        <f t="shared" ca="1" si="98"/>
        <v>0</v>
      </c>
      <c r="F57" s="117" t="str">
        <f t="shared" si="101"/>
        <v>$EE$82</v>
      </c>
      <c r="G57" s="126">
        <f t="shared" si="103"/>
        <v>135</v>
      </c>
      <c r="H57" s="318"/>
      <c r="I57" s="318"/>
      <c r="J57" s="318"/>
      <c r="N57" s="114">
        <v>8</v>
      </c>
      <c r="O57" s="116">
        <f t="shared" si="99"/>
        <v>0</v>
      </c>
      <c r="P57" s="114" t="e">
        <f t="shared" si="102"/>
        <v>#N/A</v>
      </c>
    </row>
    <row r="58" spans="1:26" s="78" customFormat="1" ht="30" hidden="1" customHeight="1">
      <c r="A58" s="123"/>
      <c r="C58" s="114">
        <v>9</v>
      </c>
      <c r="D58" s="116">
        <f t="shared" si="100"/>
        <v>0</v>
      </c>
      <c r="E58" s="125">
        <f t="shared" ca="1" si="98"/>
        <v>0</v>
      </c>
      <c r="F58" s="117" t="str">
        <f t="shared" si="101"/>
        <v>$EV$82</v>
      </c>
      <c r="G58" s="126">
        <f t="shared" si="103"/>
        <v>152</v>
      </c>
      <c r="H58" s="318"/>
      <c r="I58" s="318"/>
      <c r="J58" s="318"/>
      <c r="N58" s="114">
        <v>9</v>
      </c>
      <c r="O58" s="116">
        <f t="shared" si="99"/>
        <v>0</v>
      </c>
      <c r="P58" s="114" t="e">
        <f t="shared" si="102"/>
        <v>#N/A</v>
      </c>
    </row>
    <row r="59" spans="1:26" s="78" customFormat="1" ht="30" hidden="1" customHeight="1">
      <c r="A59" s="123"/>
      <c r="C59" s="114">
        <v>10</v>
      </c>
      <c r="D59" s="116">
        <f t="shared" si="100"/>
        <v>0</v>
      </c>
      <c r="E59" s="125">
        <f t="shared" ca="1" si="98"/>
        <v>0</v>
      </c>
      <c r="F59" s="117" t="str">
        <f t="shared" si="101"/>
        <v>$FM$82</v>
      </c>
      <c r="G59" s="126">
        <f t="shared" si="103"/>
        <v>169</v>
      </c>
      <c r="H59" s="318"/>
      <c r="I59" s="318"/>
      <c r="J59" s="318"/>
      <c r="N59" s="114">
        <v>10</v>
      </c>
      <c r="O59" s="116">
        <f t="shared" si="99"/>
        <v>0</v>
      </c>
      <c r="P59" s="114" t="e">
        <f t="shared" si="102"/>
        <v>#N/A</v>
      </c>
    </row>
    <row r="60" spans="1:26" s="78" customFormat="1" ht="30" hidden="1" customHeight="1">
      <c r="A60" s="123"/>
      <c r="C60" s="114">
        <v>11</v>
      </c>
      <c r="D60" s="116">
        <f t="shared" si="100"/>
        <v>0</v>
      </c>
      <c r="E60" s="125">
        <f t="shared" ca="1" si="98"/>
        <v>0</v>
      </c>
      <c r="F60" s="117" t="str">
        <f t="shared" si="101"/>
        <v>$GD$82</v>
      </c>
      <c r="G60" s="126">
        <f t="shared" si="103"/>
        <v>186</v>
      </c>
      <c r="H60" s="318"/>
      <c r="I60" s="318"/>
      <c r="J60" s="318"/>
      <c r="N60" s="114">
        <v>11</v>
      </c>
      <c r="O60" s="116">
        <f t="shared" si="99"/>
        <v>0</v>
      </c>
      <c r="P60" s="114" t="e">
        <f t="shared" si="102"/>
        <v>#N/A</v>
      </c>
    </row>
    <row r="61" spans="1:26" s="78" customFormat="1" ht="30" hidden="1" customHeight="1">
      <c r="A61" s="123"/>
      <c r="C61" s="114">
        <v>12</v>
      </c>
      <c r="D61" s="116">
        <f t="shared" si="100"/>
        <v>0</v>
      </c>
      <c r="E61" s="125">
        <f t="shared" ca="1" si="98"/>
        <v>0</v>
      </c>
      <c r="F61" s="117" t="str">
        <f t="shared" si="101"/>
        <v>$GU$82</v>
      </c>
      <c r="G61" s="126">
        <f t="shared" si="103"/>
        <v>203</v>
      </c>
      <c r="H61" s="318"/>
      <c r="I61" s="318"/>
      <c r="J61" s="318"/>
      <c r="N61" s="114">
        <v>12</v>
      </c>
      <c r="O61" s="116">
        <f t="shared" si="99"/>
        <v>0</v>
      </c>
      <c r="P61" s="114" t="e">
        <f t="shared" si="102"/>
        <v>#N/A</v>
      </c>
    </row>
    <row r="62" spans="1:26" s="78" customFormat="1" ht="30" hidden="1" customHeight="1">
      <c r="A62" s="123"/>
      <c r="C62" s="114">
        <v>13</v>
      </c>
      <c r="D62" s="116">
        <f t="shared" si="100"/>
        <v>0</v>
      </c>
      <c r="E62" s="125">
        <f t="shared" ca="1" si="98"/>
        <v>0</v>
      </c>
      <c r="F62" s="117" t="str">
        <f t="shared" si="101"/>
        <v>$HL$82</v>
      </c>
      <c r="G62" s="126">
        <f t="shared" si="103"/>
        <v>220</v>
      </c>
      <c r="H62" s="318"/>
      <c r="I62" s="318"/>
      <c r="J62" s="318"/>
      <c r="N62" s="114">
        <v>13</v>
      </c>
      <c r="O62" s="116">
        <f t="shared" si="99"/>
        <v>0</v>
      </c>
      <c r="P62" s="114" t="e">
        <f t="shared" si="102"/>
        <v>#N/A</v>
      </c>
    </row>
    <row r="63" spans="1:26" s="78" customFormat="1" ht="30" hidden="1" customHeight="1">
      <c r="A63" s="123"/>
      <c r="C63" s="114">
        <v>14</v>
      </c>
      <c r="D63" s="116">
        <f t="shared" si="100"/>
        <v>0</v>
      </c>
      <c r="E63" s="125">
        <f t="shared" ca="1" si="98"/>
        <v>0</v>
      </c>
      <c r="F63" s="117" t="str">
        <f t="shared" si="101"/>
        <v>$IC$82</v>
      </c>
      <c r="G63" s="126">
        <f t="shared" si="103"/>
        <v>237</v>
      </c>
      <c r="H63" s="318"/>
      <c r="I63" s="318"/>
      <c r="J63" s="318"/>
      <c r="N63" s="114">
        <v>14</v>
      </c>
      <c r="O63" s="116">
        <f t="shared" si="99"/>
        <v>0</v>
      </c>
      <c r="P63" s="114" t="e">
        <f t="shared" si="102"/>
        <v>#N/A</v>
      </c>
    </row>
    <row r="64" spans="1:26" s="78" customFormat="1" ht="30" hidden="1" customHeight="1">
      <c r="A64" s="123"/>
      <c r="C64" s="114">
        <v>15</v>
      </c>
      <c r="D64" s="116">
        <f t="shared" si="100"/>
        <v>0</v>
      </c>
      <c r="E64" s="125">
        <f t="shared" ca="1" si="98"/>
        <v>0</v>
      </c>
      <c r="F64" s="117" t="str">
        <f t="shared" si="101"/>
        <v>$IT$82</v>
      </c>
      <c r="G64" s="126">
        <f t="shared" si="103"/>
        <v>254</v>
      </c>
      <c r="H64" s="318"/>
      <c r="I64" s="318"/>
      <c r="J64" s="318"/>
      <c r="N64" s="114">
        <v>15</v>
      </c>
      <c r="O64" s="116">
        <f t="shared" si="99"/>
        <v>0</v>
      </c>
      <c r="P64" s="114" t="e">
        <f t="shared" si="102"/>
        <v>#N/A</v>
      </c>
    </row>
    <row r="65" spans="1:31" s="78" customFormat="1" ht="30" hidden="1" customHeight="1">
      <c r="A65" s="123"/>
      <c r="C65" s="114">
        <v>16</v>
      </c>
      <c r="D65" s="116">
        <f t="shared" si="100"/>
        <v>0</v>
      </c>
      <c r="E65" s="125">
        <f t="shared" ca="1" si="98"/>
        <v>0</v>
      </c>
      <c r="F65" s="117" t="str">
        <f t="shared" si="101"/>
        <v>$JK$82</v>
      </c>
      <c r="G65" s="126">
        <f t="shared" si="103"/>
        <v>271</v>
      </c>
      <c r="H65" s="318"/>
      <c r="I65" s="318"/>
      <c r="J65" s="318"/>
      <c r="N65" s="114">
        <v>16</v>
      </c>
      <c r="O65" s="116">
        <f t="shared" si="99"/>
        <v>0</v>
      </c>
      <c r="P65" s="114" t="e">
        <f t="shared" si="102"/>
        <v>#N/A</v>
      </c>
    </row>
    <row r="66" spans="1:31" s="78" customFormat="1" ht="30" hidden="1" customHeight="1">
      <c r="A66" s="123"/>
      <c r="C66" s="114">
        <v>17</v>
      </c>
      <c r="D66" s="116">
        <f t="shared" si="100"/>
        <v>0</v>
      </c>
      <c r="E66" s="125">
        <f t="shared" ca="1" si="98"/>
        <v>0</v>
      </c>
      <c r="F66" s="117" t="str">
        <f t="shared" si="101"/>
        <v>$KB$82</v>
      </c>
      <c r="G66" s="126">
        <f t="shared" si="103"/>
        <v>288</v>
      </c>
      <c r="H66" s="318"/>
      <c r="I66" s="318"/>
      <c r="J66" s="318"/>
      <c r="N66" s="114">
        <v>17</v>
      </c>
      <c r="O66" s="116">
        <f t="shared" si="99"/>
        <v>0</v>
      </c>
      <c r="P66" s="114" t="e">
        <f t="shared" si="102"/>
        <v>#N/A</v>
      </c>
    </row>
    <row r="67" spans="1:31" ht="15.75" hidden="1" customHeight="1">
      <c r="W67" s="78"/>
      <c r="X67" s="78"/>
      <c r="Y67" s="78"/>
      <c r="Z67" s="78"/>
      <c r="AA67" s="78"/>
      <c r="AB67" s="78"/>
      <c r="AC67" s="78"/>
      <c r="AD67" s="78"/>
      <c r="AE67" s="78"/>
    </row>
    <row r="68" spans="1:31" ht="15.75" hidden="1" customHeight="1">
      <c r="W68" s="78"/>
      <c r="X68" s="78"/>
      <c r="Y68" s="78"/>
      <c r="Z68" s="78"/>
      <c r="AA68" s="78"/>
      <c r="AB68" s="78"/>
      <c r="AC68" s="78"/>
      <c r="AD68" s="78"/>
      <c r="AE68" s="78"/>
    </row>
    <row r="69" spans="1:31" ht="15.75" hidden="1" customHeight="1">
      <c r="W69" s="78"/>
      <c r="X69" s="78"/>
      <c r="Y69" s="78"/>
      <c r="Z69" s="78"/>
      <c r="AA69" s="78"/>
      <c r="AB69" s="78"/>
      <c r="AC69" s="78"/>
      <c r="AD69" s="78"/>
      <c r="AE69" s="78"/>
    </row>
    <row r="70" spans="1:31" ht="15.75" hidden="1" customHeight="1">
      <c r="W70" s="78"/>
      <c r="X70" s="78"/>
      <c r="Y70" s="78"/>
      <c r="Z70" s="78"/>
      <c r="AA70" s="78"/>
      <c r="AB70" s="78"/>
      <c r="AC70" s="78"/>
      <c r="AD70" s="78"/>
      <c r="AE70" s="78"/>
    </row>
    <row r="71" spans="1:31" ht="15.75" hidden="1" customHeight="1">
      <c r="C71" s="815" t="s">
        <v>104</v>
      </c>
      <c r="D71" s="816"/>
      <c r="E71" s="79"/>
      <c r="F71" s="79"/>
    </row>
    <row r="72" spans="1:31" ht="30" hidden="1" customHeight="1">
      <c r="C72" s="113" t="s">
        <v>101</v>
      </c>
      <c r="D72" s="113" t="s">
        <v>105</v>
      </c>
      <c r="E72" s="79"/>
      <c r="F72" s="79"/>
      <c r="W72" s="75"/>
      <c r="X72" s="75"/>
      <c r="Y72" s="75"/>
      <c r="Z72" s="75"/>
      <c r="AA72" s="75"/>
      <c r="AB72" s="75"/>
      <c r="AC72" s="75"/>
      <c r="AD72" s="75"/>
      <c r="AE72" s="75"/>
    </row>
    <row r="73" spans="1:31" ht="15.75" hidden="1" customHeight="1">
      <c r="C73" s="114">
        <v>15</v>
      </c>
      <c r="D73" s="114">
        <v>17</v>
      </c>
      <c r="E73" s="79"/>
      <c r="F73" s="79"/>
    </row>
    <row r="74" spans="1:31" ht="15.75" hidden="1" customHeight="1">
      <c r="C74" s="79"/>
      <c r="D74" s="79"/>
      <c r="E74" s="79"/>
      <c r="F74" s="79"/>
    </row>
    <row r="75" spans="1:31" ht="15.75" hidden="1" customHeight="1">
      <c r="C75" s="200" t="s">
        <v>3</v>
      </c>
      <c r="D75" s="115" t="s">
        <v>106</v>
      </c>
      <c r="E75" s="79"/>
      <c r="F75" s="79"/>
    </row>
    <row r="76" spans="1:31" ht="18" hidden="1" customHeight="1">
      <c r="C76" s="118">
        <v>1</v>
      </c>
      <c r="D76" s="119">
        <f t="shared" ref="D76:D85" ca="1" si="104">INDIRECT(E76,TRUE)</f>
        <v>0</v>
      </c>
      <c r="E76" s="120" t="str">
        <f>ADDRESS(88,F76,1,1)</f>
        <v>$O$88</v>
      </c>
      <c r="F76" s="120">
        <f>C73</f>
        <v>15</v>
      </c>
    </row>
    <row r="77" spans="1:31" ht="18" hidden="1" customHeight="1">
      <c r="C77" s="118">
        <v>2</v>
      </c>
      <c r="D77" s="119">
        <f t="shared" ca="1" si="104"/>
        <v>0</v>
      </c>
      <c r="E77" s="120" t="str">
        <f t="shared" ref="E77:E89" si="105">ADDRESS(88,F77,1,1)</f>
        <v>$AF$88</v>
      </c>
      <c r="F77" s="120">
        <f>F76+$D$73</f>
        <v>32</v>
      </c>
    </row>
    <row r="78" spans="1:31" ht="18" hidden="1" customHeight="1">
      <c r="C78" s="118">
        <v>3</v>
      </c>
      <c r="D78" s="119">
        <f t="shared" ca="1" si="104"/>
        <v>0</v>
      </c>
      <c r="E78" s="120" t="str">
        <f t="shared" si="105"/>
        <v>$AW$88</v>
      </c>
      <c r="F78" s="120">
        <f t="shared" ref="F78:F89" si="106">F77+$D$73</f>
        <v>49</v>
      </c>
    </row>
    <row r="79" spans="1:31" ht="18" hidden="1" customHeight="1">
      <c r="C79" s="118">
        <v>4</v>
      </c>
      <c r="D79" s="119">
        <f t="shared" ca="1" si="104"/>
        <v>0</v>
      </c>
      <c r="E79" s="120" t="str">
        <f t="shared" si="105"/>
        <v>$BN$88</v>
      </c>
      <c r="F79" s="120">
        <f t="shared" si="106"/>
        <v>66</v>
      </c>
    </row>
    <row r="80" spans="1:31" ht="18" hidden="1" customHeight="1">
      <c r="C80" s="118">
        <v>5</v>
      </c>
      <c r="D80" s="119">
        <f t="shared" ca="1" si="104"/>
        <v>0</v>
      </c>
      <c r="E80" s="120" t="str">
        <f t="shared" si="105"/>
        <v>$CE$88</v>
      </c>
      <c r="F80" s="120">
        <f t="shared" si="106"/>
        <v>83</v>
      </c>
    </row>
    <row r="81" spans="3:6" ht="18" hidden="1" customHeight="1">
      <c r="C81" s="118">
        <v>6</v>
      </c>
      <c r="D81" s="119">
        <f t="shared" ca="1" si="104"/>
        <v>0</v>
      </c>
      <c r="E81" s="120" t="str">
        <f t="shared" si="105"/>
        <v>$CV$88</v>
      </c>
      <c r="F81" s="120">
        <f t="shared" si="106"/>
        <v>100</v>
      </c>
    </row>
    <row r="82" spans="3:6" ht="18" hidden="1" customHeight="1">
      <c r="C82" s="118">
        <v>7</v>
      </c>
      <c r="D82" s="119">
        <f t="shared" ca="1" si="104"/>
        <v>0</v>
      </c>
      <c r="E82" s="120" t="str">
        <f t="shared" si="105"/>
        <v>$DM$88</v>
      </c>
      <c r="F82" s="120">
        <f t="shared" si="106"/>
        <v>117</v>
      </c>
    </row>
    <row r="83" spans="3:6" ht="18" hidden="1" customHeight="1">
      <c r="C83" s="118">
        <v>8</v>
      </c>
      <c r="D83" s="119">
        <f t="shared" ca="1" si="104"/>
        <v>0</v>
      </c>
      <c r="E83" s="120" t="str">
        <f t="shared" si="105"/>
        <v>$ED$88</v>
      </c>
      <c r="F83" s="120">
        <f t="shared" si="106"/>
        <v>134</v>
      </c>
    </row>
    <row r="84" spans="3:6" ht="18" hidden="1" customHeight="1">
      <c r="C84" s="118">
        <v>9</v>
      </c>
      <c r="D84" s="119">
        <f t="shared" ca="1" si="104"/>
        <v>0</v>
      </c>
      <c r="E84" s="120" t="str">
        <f t="shared" si="105"/>
        <v>$EU$88</v>
      </c>
      <c r="F84" s="120">
        <f t="shared" si="106"/>
        <v>151</v>
      </c>
    </row>
    <row r="85" spans="3:6" ht="18" hidden="1" customHeight="1">
      <c r="C85" s="118">
        <v>10</v>
      </c>
      <c r="D85" s="119">
        <f t="shared" ca="1" si="104"/>
        <v>0</v>
      </c>
      <c r="E85" s="120" t="str">
        <f t="shared" si="105"/>
        <v>$FL$88</v>
      </c>
      <c r="F85" s="120">
        <f t="shared" si="106"/>
        <v>168</v>
      </c>
    </row>
    <row r="86" spans="3:6" ht="18" hidden="1" customHeight="1">
      <c r="C86" s="118">
        <v>11</v>
      </c>
      <c r="D86" s="119">
        <f t="shared" ref="D86:D89" ca="1" si="107">INDIRECT(E86,TRUE)</f>
        <v>0</v>
      </c>
      <c r="E86" s="120" t="str">
        <f t="shared" si="105"/>
        <v>$GC$88</v>
      </c>
      <c r="F86" s="120">
        <f t="shared" si="106"/>
        <v>185</v>
      </c>
    </row>
    <row r="87" spans="3:6" ht="18" hidden="1" customHeight="1">
      <c r="C87" s="118">
        <v>12</v>
      </c>
      <c r="D87" s="119">
        <f t="shared" ca="1" si="107"/>
        <v>0</v>
      </c>
      <c r="E87" s="120" t="str">
        <f t="shared" si="105"/>
        <v>$GT$88</v>
      </c>
      <c r="F87" s="120">
        <f t="shared" si="106"/>
        <v>202</v>
      </c>
    </row>
    <row r="88" spans="3:6" ht="18" hidden="1" customHeight="1">
      <c r="C88" s="118">
        <v>13</v>
      </c>
      <c r="D88" s="119">
        <f t="shared" ca="1" si="107"/>
        <v>0</v>
      </c>
      <c r="E88" s="120" t="str">
        <f t="shared" si="105"/>
        <v>$HK$88</v>
      </c>
      <c r="F88" s="120">
        <f t="shared" si="106"/>
        <v>219</v>
      </c>
    </row>
    <row r="89" spans="3:6" ht="18" hidden="1" customHeight="1">
      <c r="C89" s="118">
        <v>14</v>
      </c>
      <c r="D89" s="119">
        <f t="shared" ca="1" si="107"/>
        <v>0</v>
      </c>
      <c r="E89" s="120" t="str">
        <f t="shared" si="105"/>
        <v>$IB$88</v>
      </c>
      <c r="F89" s="120">
        <f t="shared" si="106"/>
        <v>236</v>
      </c>
    </row>
    <row r="90" spans="3:6" ht="15.75" hidden="1" customHeight="1"/>
    <row r="91" spans="3:6" ht="15.75" hidden="1" customHeight="1"/>
    <row r="92" spans="3:6" ht="15.75" hidden="1" customHeight="1"/>
    <row r="93" spans="3:6" ht="15.75" hidden="1" customHeight="1"/>
    <row r="94" spans="3:6" ht="15.75" hidden="1" customHeight="1"/>
    <row r="110" spans="23:31">
      <c r="W110" s="75"/>
      <c r="X110" s="77"/>
      <c r="Y110" s="78"/>
      <c r="Z110" s="77"/>
      <c r="AA110" s="78"/>
      <c r="AB110" s="77"/>
      <c r="AC110" s="78"/>
      <c r="AD110" s="77"/>
      <c r="AE110" s="75"/>
    </row>
    <row r="111" spans="23:31">
      <c r="W111" s="75"/>
      <c r="X111" s="75"/>
      <c r="Y111" s="75"/>
      <c r="Z111" s="75"/>
      <c r="AA111" s="75"/>
      <c r="AB111" s="75"/>
      <c r="AC111" s="75"/>
      <c r="AD111" s="75"/>
      <c r="AE111" s="75"/>
    </row>
    <row r="112" spans="23:31">
      <c r="W112" s="78"/>
      <c r="X112" s="77"/>
      <c r="Y112" s="78"/>
      <c r="Z112" s="77"/>
      <c r="AA112" s="78"/>
      <c r="AB112" s="77"/>
      <c r="AC112" s="78"/>
      <c r="AD112" s="77"/>
      <c r="AE112" s="78"/>
    </row>
    <row r="113" spans="23:31">
      <c r="W113" s="78"/>
      <c r="X113" s="77"/>
      <c r="Y113" s="78"/>
      <c r="Z113" s="77"/>
      <c r="AA113" s="78"/>
      <c r="AB113" s="77"/>
      <c r="AC113" s="78"/>
      <c r="AD113" s="77"/>
      <c r="AE113" s="78"/>
    </row>
    <row r="114" spans="23:31">
      <c r="W114" s="78"/>
      <c r="X114" s="77"/>
      <c r="Y114" s="78"/>
      <c r="Z114" s="77"/>
      <c r="AA114" s="78"/>
      <c r="AB114" s="77"/>
      <c r="AC114" s="78"/>
      <c r="AD114" s="77"/>
      <c r="AE114" s="78"/>
    </row>
    <row r="115" spans="23:31">
      <c r="W115" s="78"/>
      <c r="X115" s="77"/>
      <c r="Y115" s="78"/>
      <c r="Z115" s="77"/>
      <c r="AA115" s="78"/>
      <c r="AB115" s="77"/>
      <c r="AC115" s="78"/>
      <c r="AD115" s="77"/>
      <c r="AE115" s="78"/>
    </row>
    <row r="116" spans="23:31">
      <c r="W116" s="78"/>
      <c r="X116" s="77"/>
      <c r="Y116" s="78"/>
      <c r="Z116" s="77"/>
      <c r="AA116" s="78"/>
      <c r="AB116" s="77"/>
      <c r="AC116" s="78"/>
      <c r="AD116" s="77"/>
      <c r="AE116" s="78"/>
    </row>
    <row r="117" spans="23:31">
      <c r="W117" s="78"/>
      <c r="X117" s="77"/>
      <c r="Y117" s="78"/>
      <c r="Z117" s="77"/>
      <c r="AA117" s="78"/>
      <c r="AB117" s="77"/>
      <c r="AC117" s="78"/>
      <c r="AD117" s="77"/>
      <c r="AE117" s="78"/>
    </row>
    <row r="118" spans="23:31">
      <c r="W118" s="78"/>
      <c r="X118" s="78"/>
      <c r="Y118" s="78"/>
      <c r="Z118" s="78"/>
      <c r="AA118" s="78"/>
      <c r="AB118" s="78"/>
      <c r="AC118" s="78"/>
      <c r="AD118" s="78"/>
      <c r="AE118" s="78"/>
    </row>
    <row r="119" spans="23:31">
      <c r="W119" s="78"/>
      <c r="X119" s="78"/>
      <c r="Y119" s="78"/>
      <c r="Z119" s="78"/>
      <c r="AA119" s="78"/>
      <c r="AB119" s="78"/>
      <c r="AC119" s="78"/>
      <c r="AD119" s="78"/>
      <c r="AE119" s="78"/>
    </row>
    <row r="120" spans="23:31">
      <c r="W120" s="78"/>
      <c r="X120" s="78"/>
      <c r="Y120" s="78"/>
      <c r="Z120" s="78"/>
      <c r="AA120" s="78"/>
      <c r="AB120" s="78"/>
      <c r="AC120" s="78"/>
      <c r="AD120" s="78"/>
      <c r="AE120" s="78"/>
    </row>
    <row r="121" spans="23:31">
      <c r="W121" s="78"/>
      <c r="X121" s="78"/>
      <c r="Y121" s="78"/>
      <c r="Z121" s="78"/>
      <c r="AA121" s="78"/>
      <c r="AB121" s="78"/>
      <c r="AC121" s="78"/>
      <c r="AD121" s="78"/>
      <c r="AE121" s="78"/>
    </row>
    <row r="122" spans="23:31">
      <c r="W122" s="78"/>
      <c r="X122" s="78"/>
      <c r="Y122" s="78"/>
      <c r="Z122" s="78"/>
      <c r="AA122" s="78"/>
      <c r="AB122" s="78"/>
      <c r="AC122" s="78"/>
      <c r="AD122" s="78"/>
      <c r="AE122" s="78"/>
    </row>
    <row r="123" spans="23:31">
      <c r="W123" s="78"/>
      <c r="X123" s="78"/>
      <c r="Y123" s="78"/>
      <c r="Z123" s="78"/>
      <c r="AA123" s="78"/>
      <c r="AB123" s="78"/>
      <c r="AC123" s="78"/>
      <c r="AD123" s="78"/>
      <c r="AE123" s="78"/>
    </row>
    <row r="124" spans="23:31">
      <c r="W124" s="78"/>
      <c r="X124" s="78"/>
      <c r="Y124" s="78"/>
      <c r="Z124" s="78"/>
      <c r="AA124" s="78"/>
      <c r="AB124" s="78"/>
      <c r="AC124" s="78"/>
      <c r="AD124" s="78"/>
      <c r="AE124" s="78"/>
    </row>
    <row r="125" spans="23:31">
      <c r="W125" s="78"/>
      <c r="X125" s="78"/>
      <c r="Y125" s="78"/>
      <c r="Z125" s="78"/>
      <c r="AA125" s="78"/>
      <c r="AB125" s="78"/>
      <c r="AC125" s="78"/>
      <c r="AD125" s="78"/>
      <c r="AE125" s="78"/>
    </row>
    <row r="126" spans="23:31">
      <c r="W126" s="78"/>
      <c r="X126" s="78"/>
      <c r="Y126" s="78"/>
      <c r="Z126" s="78"/>
      <c r="AA126" s="78"/>
      <c r="AB126" s="78"/>
      <c r="AC126" s="78"/>
      <c r="AD126" s="78"/>
      <c r="AE126" s="78"/>
    </row>
    <row r="127" spans="23:31">
      <c r="W127" s="78"/>
      <c r="X127" s="78"/>
      <c r="Y127" s="78"/>
      <c r="Z127" s="78"/>
      <c r="AA127" s="78"/>
      <c r="AB127" s="78"/>
      <c r="AC127" s="78"/>
      <c r="AD127" s="78"/>
      <c r="AE127" s="78"/>
    </row>
    <row r="128" spans="23:31">
      <c r="W128" s="77"/>
      <c r="X128" s="77"/>
      <c r="Y128" s="77"/>
      <c r="Z128" s="77"/>
      <c r="AA128" s="77"/>
      <c r="AB128" s="77"/>
      <c r="AC128" s="77"/>
      <c r="AD128" s="77"/>
      <c r="AE128" s="79"/>
    </row>
    <row r="129" spans="23:31">
      <c r="W129" s="77"/>
      <c r="X129" s="77"/>
      <c r="Y129" s="77"/>
      <c r="Z129" s="77"/>
      <c r="AA129" s="77"/>
      <c r="AB129" s="77"/>
      <c r="AC129" s="77"/>
      <c r="AD129" s="77"/>
      <c r="AE129" s="79"/>
    </row>
    <row r="130" spans="23:31">
      <c r="W130" s="77"/>
      <c r="X130" s="77"/>
      <c r="Y130" s="77"/>
      <c r="Z130" s="77"/>
      <c r="AA130" s="77"/>
      <c r="AB130" s="77"/>
      <c r="AC130" s="77"/>
      <c r="AD130" s="77"/>
      <c r="AE130" s="79"/>
    </row>
    <row r="131" spans="23:31">
      <c r="W131" s="77"/>
      <c r="X131" s="77"/>
      <c r="Y131" s="77"/>
      <c r="Z131" s="77"/>
      <c r="AA131" s="77"/>
      <c r="AB131" s="77"/>
      <c r="AC131" s="77"/>
      <c r="AD131" s="77"/>
      <c r="AE131" s="79"/>
    </row>
    <row r="132" spans="23:31">
      <c r="W132" s="77"/>
      <c r="X132" s="77"/>
      <c r="Y132" s="77"/>
      <c r="Z132" s="77"/>
      <c r="AA132" s="77"/>
      <c r="AB132" s="77"/>
      <c r="AC132" s="77"/>
      <c r="AD132" s="77"/>
      <c r="AE132" s="79"/>
    </row>
    <row r="133" spans="23:31">
      <c r="W133" s="77"/>
      <c r="X133" s="77"/>
      <c r="Y133" s="77"/>
      <c r="Z133" s="77"/>
      <c r="AA133" s="77"/>
      <c r="AB133" s="77"/>
      <c r="AC133" s="77"/>
      <c r="AD133" s="77"/>
      <c r="AE133" s="79"/>
    </row>
    <row r="134" spans="23:31">
      <c r="W134" s="77"/>
      <c r="X134" s="77"/>
      <c r="Y134" s="77"/>
      <c r="Z134" s="77"/>
      <c r="AA134" s="77"/>
      <c r="AB134" s="77"/>
      <c r="AC134" s="77"/>
      <c r="AD134" s="77"/>
      <c r="AE134" s="79"/>
    </row>
    <row r="135" spans="23:31">
      <c r="W135" s="77"/>
      <c r="X135" s="77"/>
      <c r="Y135" s="77"/>
      <c r="Z135" s="77"/>
      <c r="AA135" s="77"/>
      <c r="AB135" s="77"/>
      <c r="AC135" s="77"/>
      <c r="AD135" s="77"/>
      <c r="AE135" s="79"/>
    </row>
    <row r="136" spans="23:31">
      <c r="W136" s="77"/>
      <c r="X136" s="77"/>
      <c r="Y136" s="77"/>
      <c r="Z136" s="77"/>
      <c r="AA136" s="77"/>
      <c r="AB136" s="77"/>
      <c r="AC136" s="77"/>
      <c r="AD136" s="77"/>
      <c r="AE136" s="79"/>
    </row>
    <row r="137" spans="23:31">
      <c r="W137" s="77"/>
      <c r="X137" s="77"/>
      <c r="Y137" s="77"/>
      <c r="Z137" s="77"/>
      <c r="AA137" s="77"/>
      <c r="AB137" s="77"/>
      <c r="AC137" s="77"/>
      <c r="AD137" s="77"/>
      <c r="AE137" s="79"/>
    </row>
    <row r="138" spans="23:31">
      <c r="W138" s="77"/>
      <c r="X138" s="77"/>
      <c r="Y138" s="77"/>
      <c r="Z138" s="77"/>
      <c r="AA138" s="77"/>
      <c r="AB138" s="77"/>
      <c r="AC138" s="77"/>
      <c r="AD138" s="77"/>
      <c r="AE138" s="79"/>
    </row>
    <row r="139" spans="23:31">
      <c r="W139" s="77"/>
      <c r="X139" s="77"/>
      <c r="Y139" s="77"/>
      <c r="Z139" s="77"/>
      <c r="AA139" s="77"/>
      <c r="AB139" s="77"/>
      <c r="AC139" s="77"/>
      <c r="AD139" s="77"/>
      <c r="AE139" s="79"/>
    </row>
    <row r="140" spans="23:31">
      <c r="W140" s="77"/>
      <c r="X140" s="77"/>
      <c r="Y140" s="77"/>
      <c r="Z140" s="77"/>
      <c r="AA140" s="77"/>
      <c r="AB140" s="77"/>
      <c r="AC140" s="77"/>
      <c r="AD140" s="77"/>
      <c r="AE140" s="79"/>
    </row>
    <row r="141" spans="23:31">
      <c r="W141" s="77"/>
      <c r="X141" s="77"/>
      <c r="Y141" s="77"/>
      <c r="Z141" s="77"/>
      <c r="AA141" s="77"/>
      <c r="AB141" s="77"/>
      <c r="AC141" s="77"/>
      <c r="AD141" s="77"/>
      <c r="AE141" s="79"/>
    </row>
    <row r="142" spans="23:31">
      <c r="W142" s="77"/>
      <c r="X142" s="77"/>
      <c r="Y142" s="77"/>
      <c r="Z142" s="77"/>
      <c r="AA142" s="77"/>
      <c r="AB142" s="77"/>
      <c r="AC142" s="77"/>
      <c r="AD142" s="77"/>
      <c r="AE142" s="79"/>
    </row>
    <row r="143" spans="23:31">
      <c r="W143" s="77"/>
      <c r="X143" s="77"/>
      <c r="Y143" s="77"/>
      <c r="Z143" s="77"/>
      <c r="AA143" s="77"/>
      <c r="AB143" s="77"/>
      <c r="AC143" s="77"/>
      <c r="AD143" s="77"/>
      <c r="AE143" s="79"/>
    </row>
    <row r="144" spans="23:31">
      <c r="W144" s="77"/>
      <c r="X144" s="77"/>
      <c r="Y144" s="77"/>
      <c r="Z144" s="77"/>
      <c r="AA144" s="77"/>
      <c r="AB144" s="77"/>
      <c r="AC144" s="77"/>
      <c r="AD144" s="77"/>
      <c r="AE144" s="79"/>
    </row>
    <row r="145" spans="23:31">
      <c r="W145" s="77"/>
      <c r="X145" s="77"/>
      <c r="Y145" s="77"/>
      <c r="Z145" s="77"/>
      <c r="AA145" s="77"/>
      <c r="AB145" s="77"/>
      <c r="AC145" s="77"/>
      <c r="AD145" s="77"/>
      <c r="AE145" s="79"/>
    </row>
  </sheetData>
  <sheetProtection algorithmName="SHA-512" hashValue="m5poROQ5197A1dz7crMXPF7bQTkFEvIukF6e5ZJd+TNfU7ITk/p0wU92ZZ5S2tebF/+tloJoY5c30K6plt6z+A==" saltValue="FGE7TZ6yT5CtC5wRDwS+LA==" spinCount="100000" sheet="1" objects="1" scenarios="1"/>
  <mergeCells count="168">
    <mergeCell ref="BM26:BU26"/>
    <mergeCell ref="BZ33:CE33"/>
    <mergeCell ref="CG27:CP27"/>
    <mergeCell ref="CH28:CP28"/>
    <mergeCell ref="CH29:CP29"/>
    <mergeCell ref="BZ35:CE35"/>
    <mergeCell ref="BZ36:CE36"/>
    <mergeCell ref="BZ37:CE37"/>
    <mergeCell ref="BM3:BM10"/>
    <mergeCell ref="CM3:CM10"/>
    <mergeCell ref="CN3:CN10"/>
    <mergeCell ref="CO3:CO10"/>
    <mergeCell ref="CP3:CP10"/>
    <mergeCell ref="CJ3:CJ10"/>
    <mergeCell ref="CK3:CK10"/>
    <mergeCell ref="CL3:CL10"/>
    <mergeCell ref="BX4:BZ8"/>
    <mergeCell ref="CA4:CG4"/>
    <mergeCell ref="CA5:CG6"/>
    <mergeCell ref="CA7:CG8"/>
    <mergeCell ref="BZ10:CG10"/>
    <mergeCell ref="BZ18:CG18"/>
    <mergeCell ref="CH18:CP18"/>
    <mergeCell ref="AS3:AS10"/>
    <mergeCell ref="AT3:AT10"/>
    <mergeCell ref="AU3:AU10"/>
    <mergeCell ref="AV3:AV10"/>
    <mergeCell ref="AE3:AE10"/>
    <mergeCell ref="BM18:BU18"/>
    <mergeCell ref="BM23:BU23"/>
    <mergeCell ref="BM24:BU24"/>
    <mergeCell ref="BM25:BU25"/>
    <mergeCell ref="AJ10:AQ10"/>
    <mergeCell ref="W23:AE23"/>
    <mergeCell ref="W24:AE24"/>
    <mergeCell ref="W25:AE25"/>
    <mergeCell ref="BT3:BT10"/>
    <mergeCell ref="BU3:BU10"/>
    <mergeCell ref="BF4:BL4"/>
    <mergeCell ref="BF5:BL6"/>
    <mergeCell ref="BF7:BL8"/>
    <mergeCell ref="BE10:BL10"/>
    <mergeCell ref="AZ3:AZ10"/>
    <mergeCell ref="AH4:AJ8"/>
    <mergeCell ref="AK4:AQ4"/>
    <mergeCell ref="AK5:AQ6"/>
    <mergeCell ref="AK7:AQ8"/>
    <mergeCell ref="M43:V43"/>
    <mergeCell ref="C71:D71"/>
    <mergeCell ref="F47:G47"/>
    <mergeCell ref="C49:D49"/>
    <mergeCell ref="P2:V3"/>
    <mergeCell ref="B3:K3"/>
    <mergeCell ref="B4:D8"/>
    <mergeCell ref="E4:K4"/>
    <mergeCell ref="E5:K6"/>
    <mergeCell ref="E7:K8"/>
    <mergeCell ref="M4:O8"/>
    <mergeCell ref="P4:V4"/>
    <mergeCell ref="P5:V6"/>
    <mergeCell ref="P7:V8"/>
    <mergeCell ref="M2:M3"/>
    <mergeCell ref="N2:O3"/>
    <mergeCell ref="O37:T37"/>
    <mergeCell ref="O39:T39"/>
    <mergeCell ref="O40:T40"/>
    <mergeCell ref="D10:K10"/>
    <mergeCell ref="D18:K18"/>
    <mergeCell ref="B22:I22"/>
    <mergeCell ref="H25:I25"/>
    <mergeCell ref="D33:I33"/>
    <mergeCell ref="D35:I35"/>
    <mergeCell ref="D36:I36"/>
    <mergeCell ref="D37:I37"/>
    <mergeCell ref="D39:I39"/>
    <mergeCell ref="D40:I40"/>
    <mergeCell ref="O10:V10"/>
    <mergeCell ref="O18:V18"/>
    <mergeCell ref="M22:T22"/>
    <mergeCell ref="O24:T24"/>
    <mergeCell ref="S25:T25"/>
    <mergeCell ref="O26:T26"/>
    <mergeCell ref="O33:T33"/>
    <mergeCell ref="O35:T35"/>
    <mergeCell ref="O36:T36"/>
    <mergeCell ref="D24:I24"/>
    <mergeCell ref="D26:I26"/>
    <mergeCell ref="W26:AE26"/>
    <mergeCell ref="V27:AE27"/>
    <mergeCell ref="W28:AE28"/>
    <mergeCell ref="W29:AE29"/>
    <mergeCell ref="AH2:AH3"/>
    <mergeCell ref="AI2:AJ3"/>
    <mergeCell ref="AJ18:AQ18"/>
    <mergeCell ref="AQ27:AZ27"/>
    <mergeCell ref="AR28:AZ28"/>
    <mergeCell ref="AR29:AZ29"/>
    <mergeCell ref="W3:W10"/>
    <mergeCell ref="X3:X10"/>
    <mergeCell ref="Y3:Y10"/>
    <mergeCell ref="Z3:Z10"/>
    <mergeCell ref="AA3:AA10"/>
    <mergeCell ref="AB3:AB10"/>
    <mergeCell ref="W18:AE18"/>
    <mergeCell ref="AC3:AC10"/>
    <mergeCell ref="AD3:AD10"/>
    <mergeCell ref="AR3:AR10"/>
    <mergeCell ref="AK2:AQ3"/>
    <mergeCell ref="AW3:AW10"/>
    <mergeCell ref="AX3:AX10"/>
    <mergeCell ref="AY3:AY10"/>
    <mergeCell ref="AJ37:AO37"/>
    <mergeCell ref="AJ39:AO39"/>
    <mergeCell ref="AJ40:AO40"/>
    <mergeCell ref="AH43:AQ43"/>
    <mergeCell ref="BC2:BC3"/>
    <mergeCell ref="BD2:BE3"/>
    <mergeCell ref="BC4:BE8"/>
    <mergeCell ref="BE18:BL18"/>
    <mergeCell ref="BC22:BJ22"/>
    <mergeCell ref="BE24:BJ24"/>
    <mergeCell ref="BI25:BJ25"/>
    <mergeCell ref="BE26:BJ26"/>
    <mergeCell ref="BL27:BU27"/>
    <mergeCell ref="BM28:BU28"/>
    <mergeCell ref="BM29:BU29"/>
    <mergeCell ref="BE33:BJ33"/>
    <mergeCell ref="BE35:BJ35"/>
    <mergeCell ref="BE36:BJ36"/>
    <mergeCell ref="BE37:BJ37"/>
    <mergeCell ref="BE39:BJ39"/>
    <mergeCell ref="BE40:BJ40"/>
    <mergeCell ref="AR18:AZ18"/>
    <mergeCell ref="AH22:AO22"/>
    <mergeCell ref="AR23:AZ23"/>
    <mergeCell ref="AJ33:AO33"/>
    <mergeCell ref="AJ35:AO35"/>
    <mergeCell ref="AJ36:AO36"/>
    <mergeCell ref="AJ24:AO24"/>
    <mergeCell ref="AR24:AZ24"/>
    <mergeCell ref="AN25:AO25"/>
    <mergeCell ref="AR25:AZ25"/>
    <mergeCell ref="AJ26:AO26"/>
    <mergeCell ref="AR26:AZ26"/>
    <mergeCell ref="BZ39:CE39"/>
    <mergeCell ref="BZ40:CE40"/>
    <mergeCell ref="BX43:CG43"/>
    <mergeCell ref="BC43:BL43"/>
    <mergeCell ref="BX2:BX3"/>
    <mergeCell ref="BY2:BZ3"/>
    <mergeCell ref="CA2:CG3"/>
    <mergeCell ref="CH3:CH10"/>
    <mergeCell ref="CI3:CI10"/>
    <mergeCell ref="BX22:CE22"/>
    <mergeCell ref="CH23:CP23"/>
    <mergeCell ref="BZ24:CE24"/>
    <mergeCell ref="CH24:CP24"/>
    <mergeCell ref="CD25:CE25"/>
    <mergeCell ref="CH25:CP25"/>
    <mergeCell ref="BZ26:CE26"/>
    <mergeCell ref="CH26:CP26"/>
    <mergeCell ref="BF2:BL3"/>
    <mergeCell ref="BN3:BN10"/>
    <mergeCell ref="BO3:BO10"/>
    <mergeCell ref="BP3:BP10"/>
    <mergeCell ref="BQ3:BQ10"/>
    <mergeCell ref="BR3:BR10"/>
    <mergeCell ref="BS3:BS10"/>
  </mergeCells>
  <conditionalFormatting sqref="M43">
    <cfRule type="cellIs" dxfId="373" priority="7964" operator="equal">
      <formula>"NO HABILITADO"</formula>
    </cfRule>
    <cfRule type="cellIs" dxfId="372" priority="7965" operator="equal">
      <formula>"OK"</formula>
    </cfRule>
  </conditionalFormatting>
  <conditionalFormatting sqref="W11:Z11 W18">
    <cfRule type="cellIs" dxfId="371" priority="7940" operator="equal">
      <formula>0</formula>
    </cfRule>
    <cfRule type="cellIs" dxfId="370" priority="7941" operator="equal">
      <formula>1</formula>
    </cfRule>
  </conditionalFormatting>
  <conditionalFormatting sqref="AC43">
    <cfRule type="cellIs" dxfId="369" priority="7952" operator="equal">
      <formula>0</formula>
    </cfRule>
    <cfRule type="cellIs" dxfId="368" priority="7953" operator="equal">
      <formula>1</formula>
    </cfRule>
  </conditionalFormatting>
  <conditionalFormatting sqref="AE43">
    <cfRule type="cellIs" dxfId="367" priority="7948" operator="equal">
      <formula>0</formula>
    </cfRule>
    <cfRule type="cellIs" dxfId="366" priority="7949" operator="equal">
      <formula>1</formula>
    </cfRule>
  </conditionalFormatting>
  <conditionalFormatting sqref="AA11:AB11">
    <cfRule type="cellIs" dxfId="365" priority="7944" operator="equal">
      <formula>0</formula>
    </cfRule>
    <cfRule type="cellIs" dxfId="364" priority="7945" operator="equal">
      <formula>1</formula>
    </cfRule>
  </conditionalFormatting>
  <conditionalFormatting sqref="AC11">
    <cfRule type="cellIs" dxfId="363" priority="7942" operator="equal">
      <formula>0</formula>
    </cfRule>
    <cfRule type="cellIs" dxfId="362" priority="7943" operator="equal">
      <formula>1</formula>
    </cfRule>
  </conditionalFormatting>
  <conditionalFormatting sqref="AA11:AB11">
    <cfRule type="cellIs" dxfId="361" priority="7938" operator="equal">
      <formula>0</formula>
    </cfRule>
    <cfRule type="cellIs" dxfId="360" priority="7939" operator="equal">
      <formula>1</formula>
    </cfRule>
  </conditionalFormatting>
  <conditionalFormatting sqref="AB11">
    <cfRule type="cellIs" dxfId="359" priority="7936" operator="equal">
      <formula>0</formula>
    </cfRule>
    <cfRule type="cellIs" dxfId="358" priority="7937" operator="equal">
      <formula>1</formula>
    </cfRule>
  </conditionalFormatting>
  <conditionalFormatting sqref="X43">
    <cfRule type="cellIs" dxfId="357" priority="6480" operator="equal">
      <formula>0</formula>
    </cfRule>
    <cfRule type="cellIs" dxfId="356" priority="6481" operator="equal">
      <formula>1</formula>
    </cfRule>
  </conditionalFormatting>
  <conditionalFormatting sqref="N46">
    <cfRule type="cellIs" dxfId="355" priority="7600" operator="equal">
      <formula>"OK"</formula>
    </cfRule>
    <cfRule type="cellIs" dxfId="354" priority="7601" operator="equal">
      <formula>"NO HABILITADO"</formula>
    </cfRule>
  </conditionalFormatting>
  <conditionalFormatting sqref="AB46">
    <cfRule type="cellIs" dxfId="353" priority="7598" operator="equal">
      <formula>"OK"</formula>
    </cfRule>
    <cfRule type="cellIs" dxfId="352" priority="7599" operator="equal">
      <formula>"NO HABILITADO"</formula>
    </cfRule>
  </conditionalFormatting>
  <conditionalFormatting sqref="P50:P66">
    <cfRule type="cellIs" dxfId="351" priority="7596" operator="equal">
      <formula>"NH"</formula>
    </cfRule>
    <cfRule type="cellIs" dxfId="350" priority="7597" operator="equal">
      <formula>"H"</formula>
    </cfRule>
  </conditionalFormatting>
  <conditionalFormatting sqref="Z43">
    <cfRule type="cellIs" dxfId="349" priority="7492" operator="equal">
      <formula>0</formula>
    </cfRule>
    <cfRule type="cellIs" dxfId="348" priority="7493" operator="equal">
      <formula>1</formula>
    </cfRule>
  </conditionalFormatting>
  <conditionalFormatting sqref="W31:Z31">
    <cfRule type="cellIs" dxfId="347" priority="4728" operator="equal">
      <formula>0</formula>
    </cfRule>
    <cfRule type="cellIs" dxfId="346" priority="4729" operator="equal">
      <formula>1</formula>
    </cfRule>
  </conditionalFormatting>
  <conditionalFormatting sqref="AA31:AB31">
    <cfRule type="cellIs" dxfId="345" priority="4732" operator="equal">
      <formula>0</formula>
    </cfRule>
    <cfRule type="cellIs" dxfId="344" priority="4733" operator="equal">
      <formula>1</formula>
    </cfRule>
  </conditionalFormatting>
  <conditionalFormatting sqref="AC31">
    <cfRule type="cellIs" dxfId="343" priority="4730" operator="equal">
      <formula>0</formula>
    </cfRule>
    <cfRule type="cellIs" dxfId="342" priority="4731" operator="equal">
      <formula>1</formula>
    </cfRule>
  </conditionalFormatting>
  <conditionalFormatting sqref="AA31:AB31">
    <cfRule type="cellIs" dxfId="341" priority="4726" operator="equal">
      <formula>0</formula>
    </cfRule>
    <cfRule type="cellIs" dxfId="340" priority="4727" operator="equal">
      <formula>1</formula>
    </cfRule>
  </conditionalFormatting>
  <conditionalFormatting sqref="AB31">
    <cfRule type="cellIs" dxfId="339" priority="4724" operator="equal">
      <formula>0</formula>
    </cfRule>
    <cfRule type="cellIs" dxfId="338" priority="4725" operator="equal">
      <formula>1</formula>
    </cfRule>
  </conditionalFormatting>
  <conditionalFormatting sqref="W12:Z17">
    <cfRule type="cellIs" dxfId="337" priority="417" operator="equal">
      <formula>0</formula>
    </cfRule>
    <cfRule type="cellIs" dxfId="336" priority="418" operator="equal">
      <formula>1</formula>
    </cfRule>
  </conditionalFormatting>
  <conditionalFormatting sqref="AA12:AB17">
    <cfRule type="cellIs" dxfId="335" priority="421" operator="equal">
      <formula>0</formula>
    </cfRule>
    <cfRule type="cellIs" dxfId="334" priority="422" operator="equal">
      <formula>1</formula>
    </cfRule>
  </conditionalFormatting>
  <conditionalFormatting sqref="AC12:AC17">
    <cfRule type="cellIs" dxfId="333" priority="419" operator="equal">
      <formula>0</formula>
    </cfRule>
    <cfRule type="cellIs" dxfId="332" priority="420" operator="equal">
      <formula>1</formula>
    </cfRule>
  </conditionalFormatting>
  <conditionalFormatting sqref="AA12:AB17">
    <cfRule type="cellIs" dxfId="331" priority="415" operator="equal">
      <formula>0</formula>
    </cfRule>
    <cfRule type="cellIs" dxfId="330" priority="416" operator="equal">
      <formula>1</formula>
    </cfRule>
  </conditionalFormatting>
  <conditionalFormatting sqref="AB12:AB17">
    <cfRule type="cellIs" dxfId="329" priority="413" operator="equal">
      <formula>0</formula>
    </cfRule>
    <cfRule type="cellIs" dxfId="328" priority="414" operator="equal">
      <formula>1</formula>
    </cfRule>
  </conditionalFormatting>
  <conditionalFormatting sqref="W19:Z22">
    <cfRule type="cellIs" dxfId="327" priority="407" operator="equal">
      <formula>0</formula>
    </cfRule>
    <cfRule type="cellIs" dxfId="326" priority="408" operator="equal">
      <formula>1</formula>
    </cfRule>
  </conditionalFormatting>
  <conditionalFormatting sqref="AA19:AB22">
    <cfRule type="cellIs" dxfId="325" priority="411" operator="equal">
      <formula>0</formula>
    </cfRule>
    <cfRule type="cellIs" dxfId="324" priority="412" operator="equal">
      <formula>1</formula>
    </cfRule>
  </conditionalFormatting>
  <conditionalFormatting sqref="AC19:AC22">
    <cfRule type="cellIs" dxfId="323" priority="409" operator="equal">
      <formula>0</formula>
    </cfRule>
    <cfRule type="cellIs" dxfId="322" priority="410" operator="equal">
      <formula>1</formula>
    </cfRule>
  </conditionalFormatting>
  <conditionalFormatting sqref="AA19:AB22">
    <cfRule type="cellIs" dxfId="321" priority="405" operator="equal">
      <formula>0</formula>
    </cfRule>
    <cfRule type="cellIs" dxfId="320" priority="406" operator="equal">
      <formula>1</formula>
    </cfRule>
  </conditionalFormatting>
  <conditionalFormatting sqref="AB19:AB22">
    <cfRule type="cellIs" dxfId="319" priority="403" operator="equal">
      <formula>0</formula>
    </cfRule>
    <cfRule type="cellIs" dxfId="318" priority="404" operator="equal">
      <formula>1</formula>
    </cfRule>
  </conditionalFormatting>
  <conditionalFormatting sqref="W23">
    <cfRule type="cellIs" dxfId="317" priority="401" operator="equal">
      <formula>0</formula>
    </cfRule>
    <cfRule type="cellIs" dxfId="316" priority="402" operator="equal">
      <formula>1</formula>
    </cfRule>
  </conditionalFormatting>
  <conditionalFormatting sqref="W24:W26">
    <cfRule type="cellIs" dxfId="315" priority="399" operator="equal">
      <formula>0</formula>
    </cfRule>
    <cfRule type="cellIs" dxfId="314" priority="400" operator="equal">
      <formula>1</formula>
    </cfRule>
  </conditionalFormatting>
  <conditionalFormatting sqref="W30:Z30">
    <cfRule type="cellIs" dxfId="313" priority="383" operator="equal">
      <formula>0</formula>
    </cfRule>
    <cfRule type="cellIs" dxfId="312" priority="384" operator="equal">
      <formula>1</formula>
    </cfRule>
  </conditionalFormatting>
  <conditionalFormatting sqref="AA30:AB30">
    <cfRule type="cellIs" dxfId="311" priority="387" operator="equal">
      <formula>0</formula>
    </cfRule>
    <cfRule type="cellIs" dxfId="310" priority="388" operator="equal">
      <formula>1</formula>
    </cfRule>
  </conditionalFormatting>
  <conditionalFormatting sqref="AC30">
    <cfRule type="cellIs" dxfId="309" priority="385" operator="equal">
      <formula>0</formula>
    </cfRule>
    <cfRule type="cellIs" dxfId="308" priority="386" operator="equal">
      <formula>1</formula>
    </cfRule>
  </conditionalFormatting>
  <conditionalFormatting sqref="AA30:AB30">
    <cfRule type="cellIs" dxfId="307" priority="381" operator="equal">
      <formula>0</formula>
    </cfRule>
    <cfRule type="cellIs" dxfId="306" priority="382" operator="equal">
      <formula>1</formula>
    </cfRule>
  </conditionalFormatting>
  <conditionalFormatting sqref="AB30">
    <cfRule type="cellIs" dxfId="305" priority="379" operator="equal">
      <formula>0</formula>
    </cfRule>
    <cfRule type="cellIs" dxfId="304" priority="380" operator="equal">
      <formula>1</formula>
    </cfRule>
  </conditionalFormatting>
  <conditionalFormatting sqref="W28">
    <cfRule type="cellIs" dxfId="303" priority="377" operator="equal">
      <formula>0</formula>
    </cfRule>
    <cfRule type="cellIs" dxfId="302" priority="378" operator="equal">
      <formula>1</formula>
    </cfRule>
  </conditionalFormatting>
  <conditionalFormatting sqref="W29">
    <cfRule type="cellIs" dxfId="301" priority="375" operator="equal">
      <formula>0</formula>
    </cfRule>
    <cfRule type="cellIs" dxfId="300" priority="376" operator="equal">
      <formula>1</formula>
    </cfRule>
  </conditionalFormatting>
  <conditionalFormatting sqref="W32:Z32">
    <cfRule type="cellIs" dxfId="299" priority="369" operator="equal">
      <formula>0</formula>
    </cfRule>
    <cfRule type="cellIs" dxfId="298" priority="370" operator="equal">
      <formula>1</formula>
    </cfRule>
  </conditionalFormatting>
  <conditionalFormatting sqref="AA32:AB32">
    <cfRule type="cellIs" dxfId="297" priority="373" operator="equal">
      <formula>0</formula>
    </cfRule>
    <cfRule type="cellIs" dxfId="296" priority="374" operator="equal">
      <formula>1</formula>
    </cfRule>
  </conditionalFormatting>
  <conditionalFormatting sqref="AC32">
    <cfRule type="cellIs" dxfId="295" priority="371" operator="equal">
      <formula>0</formula>
    </cfRule>
    <cfRule type="cellIs" dxfId="294" priority="372" operator="equal">
      <formula>1</formula>
    </cfRule>
  </conditionalFormatting>
  <conditionalFormatting sqref="AA32:AB32">
    <cfRule type="cellIs" dxfId="293" priority="367" operator="equal">
      <formula>0</formula>
    </cfRule>
    <cfRule type="cellIs" dxfId="292" priority="368" operator="equal">
      <formula>1</formula>
    </cfRule>
  </conditionalFormatting>
  <conditionalFormatting sqref="AB32">
    <cfRule type="cellIs" dxfId="291" priority="365" operator="equal">
      <formula>0</formula>
    </cfRule>
    <cfRule type="cellIs" dxfId="290" priority="366" operator="equal">
      <formula>1</formula>
    </cfRule>
  </conditionalFormatting>
  <conditionalFormatting sqref="W33:Z33">
    <cfRule type="cellIs" dxfId="289" priority="359" operator="equal">
      <formula>0</formula>
    </cfRule>
    <cfRule type="cellIs" dxfId="288" priority="360" operator="equal">
      <formula>1</formula>
    </cfRule>
  </conditionalFormatting>
  <conditionalFormatting sqref="AA33:AB33">
    <cfRule type="cellIs" dxfId="287" priority="363" operator="equal">
      <formula>0</formula>
    </cfRule>
    <cfRule type="cellIs" dxfId="286" priority="364" operator="equal">
      <formula>1</formula>
    </cfRule>
  </conditionalFormatting>
  <conditionalFormatting sqref="AC33">
    <cfRule type="cellIs" dxfId="285" priority="361" operator="equal">
      <formula>0</formula>
    </cfRule>
    <cfRule type="cellIs" dxfId="284" priority="362" operator="equal">
      <formula>1</formula>
    </cfRule>
  </conditionalFormatting>
  <conditionalFormatting sqref="AA33:AB33">
    <cfRule type="cellIs" dxfId="283" priority="357" operator="equal">
      <formula>0</formula>
    </cfRule>
    <cfRule type="cellIs" dxfId="282" priority="358" operator="equal">
      <formula>1</formula>
    </cfRule>
  </conditionalFormatting>
  <conditionalFormatting sqref="AB33">
    <cfRule type="cellIs" dxfId="281" priority="355" operator="equal">
      <formula>0</formula>
    </cfRule>
    <cfRule type="cellIs" dxfId="280" priority="356" operator="equal">
      <formula>1</formula>
    </cfRule>
  </conditionalFormatting>
  <conditionalFormatting sqref="AH43">
    <cfRule type="cellIs" dxfId="279" priority="353" operator="equal">
      <formula>"NO HABILITADO"</formula>
    </cfRule>
    <cfRule type="cellIs" dxfId="278" priority="354" operator="equal">
      <formula>"OK"</formula>
    </cfRule>
  </conditionalFormatting>
  <conditionalFormatting sqref="AR11:AU11 AR18">
    <cfRule type="cellIs" dxfId="277" priority="343" operator="equal">
      <formula>0</formula>
    </cfRule>
    <cfRule type="cellIs" dxfId="276" priority="344" operator="equal">
      <formula>1</formula>
    </cfRule>
  </conditionalFormatting>
  <conditionalFormatting sqref="AX43">
    <cfRule type="cellIs" dxfId="275" priority="351" operator="equal">
      <formula>0</formula>
    </cfRule>
    <cfRule type="cellIs" dxfId="274" priority="352" operator="equal">
      <formula>1</formula>
    </cfRule>
  </conditionalFormatting>
  <conditionalFormatting sqref="AZ43">
    <cfRule type="cellIs" dxfId="273" priority="349" operator="equal">
      <formula>0</formula>
    </cfRule>
    <cfRule type="cellIs" dxfId="272" priority="350" operator="equal">
      <formula>1</formula>
    </cfRule>
  </conditionalFormatting>
  <conditionalFormatting sqref="AV11:AW11">
    <cfRule type="cellIs" dxfId="271" priority="347" operator="equal">
      <formula>0</formula>
    </cfRule>
    <cfRule type="cellIs" dxfId="270" priority="348" operator="equal">
      <formula>1</formula>
    </cfRule>
  </conditionalFormatting>
  <conditionalFormatting sqref="AX11">
    <cfRule type="cellIs" dxfId="269" priority="345" operator="equal">
      <formula>0</formula>
    </cfRule>
    <cfRule type="cellIs" dxfId="268" priority="346" operator="equal">
      <formula>1</formula>
    </cfRule>
  </conditionalFormatting>
  <conditionalFormatting sqref="AV11:AW11">
    <cfRule type="cellIs" dxfId="267" priority="341" operator="equal">
      <formula>0</formula>
    </cfRule>
    <cfRule type="cellIs" dxfId="266" priority="342" operator="equal">
      <formula>1</formula>
    </cfRule>
  </conditionalFormatting>
  <conditionalFormatting sqref="AW11">
    <cfRule type="cellIs" dxfId="265" priority="339" operator="equal">
      <formula>0</formula>
    </cfRule>
    <cfRule type="cellIs" dxfId="264" priority="340" operator="equal">
      <formula>1</formula>
    </cfRule>
  </conditionalFormatting>
  <conditionalFormatting sqref="AS43">
    <cfRule type="cellIs" dxfId="263" priority="335" operator="equal">
      <formula>0</formula>
    </cfRule>
    <cfRule type="cellIs" dxfId="262" priority="336" operator="equal">
      <formula>1</formula>
    </cfRule>
  </conditionalFormatting>
  <conditionalFormatting sqref="AU43">
    <cfRule type="cellIs" dxfId="261" priority="337" operator="equal">
      <formula>0</formula>
    </cfRule>
    <cfRule type="cellIs" dxfId="260" priority="338" operator="equal">
      <formula>1</formula>
    </cfRule>
  </conditionalFormatting>
  <conditionalFormatting sqref="AR31:AU31">
    <cfRule type="cellIs" dxfId="259" priority="329" operator="equal">
      <formula>0</formula>
    </cfRule>
    <cfRule type="cellIs" dxfId="258" priority="330" operator="equal">
      <formula>1</formula>
    </cfRule>
  </conditionalFormatting>
  <conditionalFormatting sqref="AV31:AW31">
    <cfRule type="cellIs" dxfId="257" priority="333" operator="equal">
      <formula>0</formula>
    </cfRule>
    <cfRule type="cellIs" dxfId="256" priority="334" operator="equal">
      <formula>1</formula>
    </cfRule>
  </conditionalFormatting>
  <conditionalFormatting sqref="AX31">
    <cfRule type="cellIs" dxfId="255" priority="331" operator="equal">
      <formula>0</formula>
    </cfRule>
    <cfRule type="cellIs" dxfId="254" priority="332" operator="equal">
      <formula>1</formula>
    </cfRule>
  </conditionalFormatting>
  <conditionalFormatting sqref="AV31:AW31">
    <cfRule type="cellIs" dxfId="253" priority="327" operator="equal">
      <formula>0</formula>
    </cfRule>
    <cfRule type="cellIs" dxfId="252" priority="328" operator="equal">
      <formula>1</formula>
    </cfRule>
  </conditionalFormatting>
  <conditionalFormatting sqref="AW31">
    <cfRule type="cellIs" dxfId="251" priority="325" operator="equal">
      <formula>0</formula>
    </cfRule>
    <cfRule type="cellIs" dxfId="250" priority="326" operator="equal">
      <formula>1</formula>
    </cfRule>
  </conditionalFormatting>
  <conditionalFormatting sqref="AR12:AU17">
    <cfRule type="cellIs" dxfId="249" priority="319" operator="equal">
      <formula>0</formula>
    </cfRule>
    <cfRule type="cellIs" dxfId="248" priority="320" operator="equal">
      <formula>1</formula>
    </cfRule>
  </conditionalFormatting>
  <conditionalFormatting sqref="AV12:AW17">
    <cfRule type="cellIs" dxfId="247" priority="323" operator="equal">
      <formula>0</formula>
    </cfRule>
    <cfRule type="cellIs" dxfId="246" priority="324" operator="equal">
      <formula>1</formula>
    </cfRule>
  </conditionalFormatting>
  <conditionalFormatting sqref="AX12:AX17">
    <cfRule type="cellIs" dxfId="245" priority="321" operator="equal">
      <formula>0</formula>
    </cfRule>
    <cfRule type="cellIs" dxfId="244" priority="322" operator="equal">
      <formula>1</formula>
    </cfRule>
  </conditionalFormatting>
  <conditionalFormatting sqref="AV12:AW17">
    <cfRule type="cellIs" dxfId="243" priority="317" operator="equal">
      <formula>0</formula>
    </cfRule>
    <cfRule type="cellIs" dxfId="242" priority="318" operator="equal">
      <formula>1</formula>
    </cfRule>
  </conditionalFormatting>
  <conditionalFormatting sqref="AW12:AW17">
    <cfRule type="cellIs" dxfId="241" priority="315" operator="equal">
      <formula>0</formula>
    </cfRule>
    <cfRule type="cellIs" dxfId="240" priority="316" operator="equal">
      <formula>1</formula>
    </cfRule>
  </conditionalFormatting>
  <conditionalFormatting sqref="AR19:AU22">
    <cfRule type="cellIs" dxfId="239" priority="309" operator="equal">
      <formula>0</formula>
    </cfRule>
    <cfRule type="cellIs" dxfId="238" priority="310" operator="equal">
      <formula>1</formula>
    </cfRule>
  </conditionalFormatting>
  <conditionalFormatting sqref="AV19:AW22">
    <cfRule type="cellIs" dxfId="237" priority="313" operator="equal">
      <formula>0</formula>
    </cfRule>
    <cfRule type="cellIs" dxfId="236" priority="314" operator="equal">
      <formula>1</formula>
    </cfRule>
  </conditionalFormatting>
  <conditionalFormatting sqref="AX19:AX22">
    <cfRule type="cellIs" dxfId="235" priority="311" operator="equal">
      <formula>0</formula>
    </cfRule>
    <cfRule type="cellIs" dxfId="234" priority="312" operator="equal">
      <formula>1</formula>
    </cfRule>
  </conditionalFormatting>
  <conditionalFormatting sqref="AV19:AW22">
    <cfRule type="cellIs" dxfId="233" priority="307" operator="equal">
      <formula>0</formula>
    </cfRule>
    <cfRule type="cellIs" dxfId="232" priority="308" operator="equal">
      <formula>1</formula>
    </cfRule>
  </conditionalFormatting>
  <conditionalFormatting sqref="AW19:AW22">
    <cfRule type="cellIs" dxfId="231" priority="305" operator="equal">
      <formula>0</formula>
    </cfRule>
    <cfRule type="cellIs" dxfId="230" priority="306" operator="equal">
      <formula>1</formula>
    </cfRule>
  </conditionalFormatting>
  <conditionalFormatting sqref="AR23">
    <cfRule type="cellIs" dxfId="229" priority="303" operator="equal">
      <formula>0</formula>
    </cfRule>
    <cfRule type="cellIs" dxfId="228" priority="304" operator="equal">
      <formula>1</formula>
    </cfRule>
  </conditionalFormatting>
  <conditionalFormatting sqref="AR24:AR26">
    <cfRule type="cellIs" dxfId="227" priority="301" operator="equal">
      <formula>0</formula>
    </cfRule>
    <cfRule type="cellIs" dxfId="226" priority="302" operator="equal">
      <formula>1</formula>
    </cfRule>
  </conditionalFormatting>
  <conditionalFormatting sqref="AR30:AU30">
    <cfRule type="cellIs" dxfId="225" priority="295" operator="equal">
      <formula>0</formula>
    </cfRule>
    <cfRule type="cellIs" dxfId="224" priority="296" operator="equal">
      <formula>1</formula>
    </cfRule>
  </conditionalFormatting>
  <conditionalFormatting sqref="AV30:AW30">
    <cfRule type="cellIs" dxfId="223" priority="299" operator="equal">
      <formula>0</formula>
    </cfRule>
    <cfRule type="cellIs" dxfId="222" priority="300" operator="equal">
      <formula>1</formula>
    </cfRule>
  </conditionalFormatting>
  <conditionalFormatting sqref="AX30">
    <cfRule type="cellIs" dxfId="221" priority="297" operator="equal">
      <formula>0</formula>
    </cfRule>
    <cfRule type="cellIs" dxfId="220" priority="298" operator="equal">
      <formula>1</formula>
    </cfRule>
  </conditionalFormatting>
  <conditionalFormatting sqref="AV30:AW30">
    <cfRule type="cellIs" dxfId="219" priority="293" operator="equal">
      <formula>0</formula>
    </cfRule>
    <cfRule type="cellIs" dxfId="218" priority="294" operator="equal">
      <formula>1</formula>
    </cfRule>
  </conditionalFormatting>
  <conditionalFormatting sqref="AW30">
    <cfRule type="cellIs" dxfId="217" priority="291" operator="equal">
      <formula>0</formula>
    </cfRule>
    <cfRule type="cellIs" dxfId="216" priority="292" operator="equal">
      <formula>1</formula>
    </cfRule>
  </conditionalFormatting>
  <conditionalFormatting sqref="AR28">
    <cfRule type="cellIs" dxfId="215" priority="289" operator="equal">
      <formula>0</formula>
    </cfRule>
    <cfRule type="cellIs" dxfId="214" priority="290" operator="equal">
      <formula>1</formula>
    </cfRule>
  </conditionalFormatting>
  <conditionalFormatting sqref="AR29">
    <cfRule type="cellIs" dxfId="213" priority="287" operator="equal">
      <formula>0</formula>
    </cfRule>
    <cfRule type="cellIs" dxfId="212" priority="288" operator="equal">
      <formula>1</formula>
    </cfRule>
  </conditionalFormatting>
  <conditionalFormatting sqref="AR32:AU32">
    <cfRule type="cellIs" dxfId="211" priority="281" operator="equal">
      <formula>0</formula>
    </cfRule>
    <cfRule type="cellIs" dxfId="210" priority="282" operator="equal">
      <formula>1</formula>
    </cfRule>
  </conditionalFormatting>
  <conditionalFormatting sqref="AV32:AW32">
    <cfRule type="cellIs" dxfId="209" priority="285" operator="equal">
      <formula>0</formula>
    </cfRule>
    <cfRule type="cellIs" dxfId="208" priority="286" operator="equal">
      <formula>1</formula>
    </cfRule>
  </conditionalFormatting>
  <conditionalFormatting sqref="AX32">
    <cfRule type="cellIs" dxfId="207" priority="283" operator="equal">
      <formula>0</formula>
    </cfRule>
    <cfRule type="cellIs" dxfId="206" priority="284" operator="equal">
      <formula>1</formula>
    </cfRule>
  </conditionalFormatting>
  <conditionalFormatting sqref="AV32:AW32">
    <cfRule type="cellIs" dxfId="205" priority="279" operator="equal">
      <formula>0</formula>
    </cfRule>
    <cfRule type="cellIs" dxfId="204" priority="280" operator="equal">
      <formula>1</formula>
    </cfRule>
  </conditionalFormatting>
  <conditionalFormatting sqref="AW32">
    <cfRule type="cellIs" dxfId="203" priority="277" operator="equal">
      <formula>0</formula>
    </cfRule>
    <cfRule type="cellIs" dxfId="202" priority="278" operator="equal">
      <formula>1</formula>
    </cfRule>
  </conditionalFormatting>
  <conditionalFormatting sqref="AR33:AU33">
    <cfRule type="cellIs" dxfId="201" priority="271" operator="equal">
      <formula>0</formula>
    </cfRule>
    <cfRule type="cellIs" dxfId="200" priority="272" operator="equal">
      <formula>1</formula>
    </cfRule>
  </conditionalFormatting>
  <conditionalFormatting sqref="AV33:AW33">
    <cfRule type="cellIs" dxfId="199" priority="275" operator="equal">
      <formula>0</formula>
    </cfRule>
    <cfRule type="cellIs" dxfId="198" priority="276" operator="equal">
      <formula>1</formula>
    </cfRule>
  </conditionalFormatting>
  <conditionalFormatting sqref="AX33">
    <cfRule type="cellIs" dxfId="197" priority="273" operator="equal">
      <formula>0</formula>
    </cfRule>
    <cfRule type="cellIs" dxfId="196" priority="274" operator="equal">
      <formula>1</formula>
    </cfRule>
  </conditionalFormatting>
  <conditionalFormatting sqref="AV33:AW33">
    <cfRule type="cellIs" dxfId="195" priority="269" operator="equal">
      <formula>0</formula>
    </cfRule>
    <cfRule type="cellIs" dxfId="194" priority="270" operator="equal">
      <formula>1</formula>
    </cfRule>
  </conditionalFormatting>
  <conditionalFormatting sqref="AW33">
    <cfRule type="cellIs" dxfId="193" priority="267" operator="equal">
      <formula>0</formula>
    </cfRule>
    <cfRule type="cellIs" dxfId="192" priority="268" operator="equal">
      <formula>1</formula>
    </cfRule>
  </conditionalFormatting>
  <conditionalFormatting sqref="BC43">
    <cfRule type="cellIs" dxfId="191" priority="265" operator="equal">
      <formula>"NO HABILITADO"</formula>
    </cfRule>
    <cfRule type="cellIs" dxfId="190" priority="266" operator="equal">
      <formula>"OK"</formula>
    </cfRule>
  </conditionalFormatting>
  <conditionalFormatting sqref="BM11:BP11 BM18">
    <cfRule type="cellIs" dxfId="189" priority="255" operator="equal">
      <formula>0</formula>
    </cfRule>
    <cfRule type="cellIs" dxfId="188" priority="256" operator="equal">
      <formula>1</formula>
    </cfRule>
  </conditionalFormatting>
  <conditionalFormatting sqref="BS43">
    <cfRule type="cellIs" dxfId="187" priority="263" operator="equal">
      <formula>0</formula>
    </cfRule>
    <cfRule type="cellIs" dxfId="186" priority="264" operator="equal">
      <formula>1</formula>
    </cfRule>
  </conditionalFormatting>
  <conditionalFormatting sqref="BU43">
    <cfRule type="cellIs" dxfId="185" priority="261" operator="equal">
      <formula>0</formula>
    </cfRule>
    <cfRule type="cellIs" dxfId="184" priority="262" operator="equal">
      <formula>1</formula>
    </cfRule>
  </conditionalFormatting>
  <conditionalFormatting sqref="BQ11:BR11">
    <cfRule type="cellIs" dxfId="183" priority="259" operator="equal">
      <formula>0</formula>
    </cfRule>
    <cfRule type="cellIs" dxfId="182" priority="260" operator="equal">
      <formula>1</formula>
    </cfRule>
  </conditionalFormatting>
  <conditionalFormatting sqref="BS11">
    <cfRule type="cellIs" dxfId="181" priority="257" operator="equal">
      <formula>0</formula>
    </cfRule>
    <cfRule type="cellIs" dxfId="180" priority="258" operator="equal">
      <formula>1</formula>
    </cfRule>
  </conditionalFormatting>
  <conditionalFormatting sqref="BQ11:BR11">
    <cfRule type="cellIs" dxfId="179" priority="253" operator="equal">
      <formula>0</formula>
    </cfRule>
    <cfRule type="cellIs" dxfId="178" priority="254" operator="equal">
      <formula>1</formula>
    </cfRule>
  </conditionalFormatting>
  <conditionalFormatting sqref="BR11">
    <cfRule type="cellIs" dxfId="177" priority="251" operator="equal">
      <formula>0</formula>
    </cfRule>
    <cfRule type="cellIs" dxfId="176" priority="252" operator="equal">
      <formula>1</formula>
    </cfRule>
  </conditionalFormatting>
  <conditionalFormatting sqref="BN43">
    <cfRule type="cellIs" dxfId="175" priority="247" operator="equal">
      <formula>0</formula>
    </cfRule>
    <cfRule type="cellIs" dxfId="174" priority="248" operator="equal">
      <formula>1</formula>
    </cfRule>
  </conditionalFormatting>
  <conditionalFormatting sqref="BP43">
    <cfRule type="cellIs" dxfId="173" priority="249" operator="equal">
      <formula>0</formula>
    </cfRule>
    <cfRule type="cellIs" dxfId="172" priority="250" operator="equal">
      <formula>1</formula>
    </cfRule>
  </conditionalFormatting>
  <conditionalFormatting sqref="BM31:BP31">
    <cfRule type="cellIs" dxfId="171" priority="241" operator="equal">
      <formula>0</formula>
    </cfRule>
    <cfRule type="cellIs" dxfId="170" priority="242" operator="equal">
      <formula>1</formula>
    </cfRule>
  </conditionalFormatting>
  <conditionalFormatting sqref="BR31">
    <cfRule type="cellIs" dxfId="169" priority="245" operator="equal">
      <formula>0</formula>
    </cfRule>
    <cfRule type="cellIs" dxfId="168" priority="246" operator="equal">
      <formula>1</formula>
    </cfRule>
  </conditionalFormatting>
  <conditionalFormatting sqref="BS31">
    <cfRule type="cellIs" dxfId="167" priority="243" operator="equal">
      <formula>0</formula>
    </cfRule>
    <cfRule type="cellIs" dxfId="166" priority="244" operator="equal">
      <formula>1</formula>
    </cfRule>
  </conditionalFormatting>
  <conditionalFormatting sqref="BR31">
    <cfRule type="cellIs" dxfId="165" priority="239" operator="equal">
      <formula>0</formula>
    </cfRule>
    <cfRule type="cellIs" dxfId="164" priority="240" operator="equal">
      <formula>1</formula>
    </cfRule>
  </conditionalFormatting>
  <conditionalFormatting sqref="BR31">
    <cfRule type="cellIs" dxfId="163" priority="237" operator="equal">
      <formula>0</formula>
    </cfRule>
    <cfRule type="cellIs" dxfId="162" priority="238" operator="equal">
      <formula>1</formula>
    </cfRule>
  </conditionalFormatting>
  <conditionalFormatting sqref="BM12:BP17">
    <cfRule type="cellIs" dxfId="161" priority="231" operator="equal">
      <formula>0</formula>
    </cfRule>
    <cfRule type="cellIs" dxfId="160" priority="232" operator="equal">
      <formula>1</formula>
    </cfRule>
  </conditionalFormatting>
  <conditionalFormatting sqref="BQ12:BR17">
    <cfRule type="cellIs" dxfId="159" priority="235" operator="equal">
      <formula>0</formula>
    </cfRule>
    <cfRule type="cellIs" dxfId="158" priority="236" operator="equal">
      <formula>1</formula>
    </cfRule>
  </conditionalFormatting>
  <conditionalFormatting sqref="BS12:BS17">
    <cfRule type="cellIs" dxfId="157" priority="233" operator="equal">
      <formula>0</formula>
    </cfRule>
    <cfRule type="cellIs" dxfId="156" priority="234" operator="equal">
      <formula>1</formula>
    </cfRule>
  </conditionalFormatting>
  <conditionalFormatting sqref="BQ12:BR17">
    <cfRule type="cellIs" dxfId="155" priority="229" operator="equal">
      <formula>0</formula>
    </cfRule>
    <cfRule type="cellIs" dxfId="154" priority="230" operator="equal">
      <formula>1</formula>
    </cfRule>
  </conditionalFormatting>
  <conditionalFormatting sqref="BR12:BR17">
    <cfRule type="cellIs" dxfId="153" priority="227" operator="equal">
      <formula>0</formula>
    </cfRule>
    <cfRule type="cellIs" dxfId="152" priority="228" operator="equal">
      <formula>1</formula>
    </cfRule>
  </conditionalFormatting>
  <conditionalFormatting sqref="BM19:BP22">
    <cfRule type="cellIs" dxfId="151" priority="221" operator="equal">
      <formula>0</formula>
    </cfRule>
    <cfRule type="cellIs" dxfId="150" priority="222" operator="equal">
      <formula>1</formula>
    </cfRule>
  </conditionalFormatting>
  <conditionalFormatting sqref="BQ19:BR22">
    <cfRule type="cellIs" dxfId="149" priority="225" operator="equal">
      <formula>0</formula>
    </cfRule>
    <cfRule type="cellIs" dxfId="148" priority="226" operator="equal">
      <formula>1</formula>
    </cfRule>
  </conditionalFormatting>
  <conditionalFormatting sqref="BS19:BS22">
    <cfRule type="cellIs" dxfId="147" priority="223" operator="equal">
      <formula>0</formula>
    </cfRule>
    <cfRule type="cellIs" dxfId="146" priority="224" operator="equal">
      <formula>1</formula>
    </cfRule>
  </conditionalFormatting>
  <conditionalFormatting sqref="BQ19:BR22">
    <cfRule type="cellIs" dxfId="145" priority="219" operator="equal">
      <formula>0</formula>
    </cfRule>
    <cfRule type="cellIs" dxfId="144" priority="220" operator="equal">
      <formula>1</formula>
    </cfRule>
  </conditionalFormatting>
  <conditionalFormatting sqref="BR19:BR22">
    <cfRule type="cellIs" dxfId="143" priority="217" operator="equal">
      <formula>0</formula>
    </cfRule>
    <cfRule type="cellIs" dxfId="142" priority="218" operator="equal">
      <formula>1</formula>
    </cfRule>
  </conditionalFormatting>
  <conditionalFormatting sqref="BM23">
    <cfRule type="cellIs" dxfId="141" priority="215" operator="equal">
      <formula>0</formula>
    </cfRule>
    <cfRule type="cellIs" dxfId="140" priority="216" operator="equal">
      <formula>1</formula>
    </cfRule>
  </conditionalFormatting>
  <conditionalFormatting sqref="BM24:BM26">
    <cfRule type="cellIs" dxfId="139" priority="213" operator="equal">
      <formula>0</formula>
    </cfRule>
    <cfRule type="cellIs" dxfId="138" priority="214" operator="equal">
      <formula>1</formula>
    </cfRule>
  </conditionalFormatting>
  <conditionalFormatting sqref="BM30:BP30">
    <cfRule type="cellIs" dxfId="137" priority="207" operator="equal">
      <formula>0</formula>
    </cfRule>
    <cfRule type="cellIs" dxfId="136" priority="208" operator="equal">
      <formula>1</formula>
    </cfRule>
  </conditionalFormatting>
  <conditionalFormatting sqref="BQ30:BR30 BQ31:BQ33">
    <cfRule type="cellIs" dxfId="135" priority="211" operator="equal">
      <formula>0</formula>
    </cfRule>
    <cfRule type="cellIs" dxfId="134" priority="212" operator="equal">
      <formula>1</formula>
    </cfRule>
  </conditionalFormatting>
  <conditionalFormatting sqref="BS30">
    <cfRule type="cellIs" dxfId="133" priority="209" operator="equal">
      <formula>0</formula>
    </cfRule>
    <cfRule type="cellIs" dxfId="132" priority="210" operator="equal">
      <formula>1</formula>
    </cfRule>
  </conditionalFormatting>
  <conditionalFormatting sqref="BQ30:BR30 BQ31:BQ33">
    <cfRule type="cellIs" dxfId="131" priority="205" operator="equal">
      <formula>0</formula>
    </cfRule>
    <cfRule type="cellIs" dxfId="130" priority="206" operator="equal">
      <formula>1</formula>
    </cfRule>
  </conditionalFormatting>
  <conditionalFormatting sqref="BR30">
    <cfRule type="cellIs" dxfId="129" priority="203" operator="equal">
      <formula>0</formula>
    </cfRule>
    <cfRule type="cellIs" dxfId="128" priority="204" operator="equal">
      <formula>1</formula>
    </cfRule>
  </conditionalFormatting>
  <conditionalFormatting sqref="BM28">
    <cfRule type="cellIs" dxfId="127" priority="201" operator="equal">
      <formula>0</formula>
    </cfRule>
    <cfRule type="cellIs" dxfId="126" priority="202" operator="equal">
      <formula>1</formula>
    </cfRule>
  </conditionalFormatting>
  <conditionalFormatting sqref="BM29">
    <cfRule type="cellIs" dxfId="125" priority="199" operator="equal">
      <formula>0</formula>
    </cfRule>
    <cfRule type="cellIs" dxfId="124" priority="200" operator="equal">
      <formula>1</formula>
    </cfRule>
  </conditionalFormatting>
  <conditionalFormatting sqref="BR32">
    <cfRule type="cellIs" dxfId="123" priority="197" operator="equal">
      <formula>0</formula>
    </cfRule>
    <cfRule type="cellIs" dxfId="122" priority="198" operator="equal">
      <formula>1</formula>
    </cfRule>
  </conditionalFormatting>
  <conditionalFormatting sqref="BS32">
    <cfRule type="cellIs" dxfId="121" priority="195" operator="equal">
      <formula>0</formula>
    </cfRule>
    <cfRule type="cellIs" dxfId="120" priority="196" operator="equal">
      <formula>1</formula>
    </cfRule>
  </conditionalFormatting>
  <conditionalFormatting sqref="BR32">
    <cfRule type="cellIs" dxfId="119" priority="191" operator="equal">
      <formula>0</formula>
    </cfRule>
    <cfRule type="cellIs" dxfId="118" priority="192" operator="equal">
      <formula>1</formula>
    </cfRule>
  </conditionalFormatting>
  <conditionalFormatting sqref="BR32">
    <cfRule type="cellIs" dxfId="117" priority="189" operator="equal">
      <formula>0</formula>
    </cfRule>
    <cfRule type="cellIs" dxfId="116" priority="190" operator="equal">
      <formula>1</formula>
    </cfRule>
  </conditionalFormatting>
  <conditionalFormatting sqref="BM33:BP33">
    <cfRule type="cellIs" dxfId="115" priority="183" operator="equal">
      <formula>0</formula>
    </cfRule>
    <cfRule type="cellIs" dxfId="114" priority="184" operator="equal">
      <formula>1</formula>
    </cfRule>
  </conditionalFormatting>
  <conditionalFormatting sqref="BR33">
    <cfRule type="cellIs" dxfId="113" priority="187" operator="equal">
      <formula>0</formula>
    </cfRule>
    <cfRule type="cellIs" dxfId="112" priority="188" operator="equal">
      <formula>1</formula>
    </cfRule>
  </conditionalFormatting>
  <conditionalFormatting sqref="BS33">
    <cfRule type="cellIs" dxfId="111" priority="185" operator="equal">
      <formula>0</formula>
    </cfRule>
    <cfRule type="cellIs" dxfId="110" priority="186" operator="equal">
      <formula>1</formula>
    </cfRule>
  </conditionalFormatting>
  <conditionalFormatting sqref="BR33">
    <cfRule type="cellIs" dxfId="109" priority="181" operator="equal">
      <formula>0</formula>
    </cfRule>
    <cfRule type="cellIs" dxfId="108" priority="182" operator="equal">
      <formula>1</formula>
    </cfRule>
  </conditionalFormatting>
  <conditionalFormatting sqref="BR33">
    <cfRule type="cellIs" dxfId="107" priority="179" operator="equal">
      <formula>0</formula>
    </cfRule>
    <cfRule type="cellIs" dxfId="106" priority="180" operator="equal">
      <formula>1</formula>
    </cfRule>
  </conditionalFormatting>
  <conditionalFormatting sqref="BM32:BP32">
    <cfRule type="cellIs" dxfId="105" priority="89" operator="equal">
      <formula>0</formula>
    </cfRule>
    <cfRule type="cellIs" dxfId="104" priority="90" operator="equal">
      <formula>1</formula>
    </cfRule>
  </conditionalFormatting>
  <conditionalFormatting sqref="BX43">
    <cfRule type="cellIs" dxfId="103" priority="87" operator="equal">
      <formula>"NO HABILITADO"</formula>
    </cfRule>
    <cfRule type="cellIs" dxfId="102" priority="88" operator="equal">
      <formula>"OK"</formula>
    </cfRule>
  </conditionalFormatting>
  <conditionalFormatting sqref="CH11:CK11 CH18">
    <cfRule type="cellIs" dxfId="101" priority="77" operator="equal">
      <formula>0</formula>
    </cfRule>
    <cfRule type="cellIs" dxfId="100" priority="78" operator="equal">
      <formula>1</formula>
    </cfRule>
  </conditionalFormatting>
  <conditionalFormatting sqref="CN43">
    <cfRule type="cellIs" dxfId="99" priority="85" operator="equal">
      <formula>0</formula>
    </cfRule>
    <cfRule type="cellIs" dxfId="98" priority="86" operator="equal">
      <formula>1</formula>
    </cfRule>
  </conditionalFormatting>
  <conditionalFormatting sqref="CP43">
    <cfRule type="cellIs" dxfId="97" priority="83" operator="equal">
      <formula>0</formula>
    </cfRule>
    <cfRule type="cellIs" dxfId="96" priority="84" operator="equal">
      <formula>1</formula>
    </cfRule>
  </conditionalFormatting>
  <conditionalFormatting sqref="CL11:CM11">
    <cfRule type="cellIs" dxfId="95" priority="81" operator="equal">
      <formula>0</formula>
    </cfRule>
    <cfRule type="cellIs" dxfId="94" priority="82" operator="equal">
      <formula>1</formula>
    </cfRule>
  </conditionalFormatting>
  <conditionalFormatting sqref="CN11">
    <cfRule type="cellIs" dxfId="93" priority="79" operator="equal">
      <formula>0</formula>
    </cfRule>
    <cfRule type="cellIs" dxfId="92" priority="80" operator="equal">
      <formula>1</formula>
    </cfRule>
  </conditionalFormatting>
  <conditionalFormatting sqref="CL11:CM11">
    <cfRule type="cellIs" dxfId="91" priority="75" operator="equal">
      <formula>0</formula>
    </cfRule>
    <cfRule type="cellIs" dxfId="90" priority="76" operator="equal">
      <formula>1</formula>
    </cfRule>
  </conditionalFormatting>
  <conditionalFormatting sqref="CM11">
    <cfRule type="cellIs" dxfId="89" priority="73" operator="equal">
      <formula>0</formula>
    </cfRule>
    <cfRule type="cellIs" dxfId="88" priority="74" operator="equal">
      <formula>1</formula>
    </cfRule>
  </conditionalFormatting>
  <conditionalFormatting sqref="CI43">
    <cfRule type="cellIs" dxfId="87" priority="69" operator="equal">
      <formula>0</formula>
    </cfRule>
    <cfRule type="cellIs" dxfId="86" priority="70" operator="equal">
      <formula>1</formula>
    </cfRule>
  </conditionalFormatting>
  <conditionalFormatting sqref="CK43">
    <cfRule type="cellIs" dxfId="85" priority="71" operator="equal">
      <formula>0</formula>
    </cfRule>
    <cfRule type="cellIs" dxfId="84" priority="72" operator="equal">
      <formula>1</formula>
    </cfRule>
  </conditionalFormatting>
  <conditionalFormatting sqref="CH31:CK31">
    <cfRule type="cellIs" dxfId="83" priority="63" operator="equal">
      <formula>0</formula>
    </cfRule>
    <cfRule type="cellIs" dxfId="82" priority="64" operator="equal">
      <formula>1</formula>
    </cfRule>
  </conditionalFormatting>
  <conditionalFormatting sqref="CM31">
    <cfRule type="cellIs" dxfId="81" priority="67" operator="equal">
      <formula>0</formula>
    </cfRule>
    <cfRule type="cellIs" dxfId="80" priority="68" operator="equal">
      <formula>1</formula>
    </cfRule>
  </conditionalFormatting>
  <conditionalFormatting sqref="CN31">
    <cfRule type="cellIs" dxfId="79" priority="65" operator="equal">
      <formula>0</formula>
    </cfRule>
    <cfRule type="cellIs" dxfId="78" priority="66" operator="equal">
      <formula>1</formula>
    </cfRule>
  </conditionalFormatting>
  <conditionalFormatting sqref="CM31">
    <cfRule type="cellIs" dxfId="77" priority="61" operator="equal">
      <formula>0</formula>
    </cfRule>
    <cfRule type="cellIs" dxfId="76" priority="62" operator="equal">
      <formula>1</formula>
    </cfRule>
  </conditionalFormatting>
  <conditionalFormatting sqref="CM31">
    <cfRule type="cellIs" dxfId="75" priority="59" operator="equal">
      <formula>0</formula>
    </cfRule>
    <cfRule type="cellIs" dxfId="74" priority="60" operator="equal">
      <formula>1</formula>
    </cfRule>
  </conditionalFormatting>
  <conditionalFormatting sqref="CH12:CK17">
    <cfRule type="cellIs" dxfId="73" priority="53" operator="equal">
      <formula>0</formula>
    </cfRule>
    <cfRule type="cellIs" dxfId="72" priority="54" operator="equal">
      <formula>1</formula>
    </cfRule>
  </conditionalFormatting>
  <conditionalFormatting sqref="CL12:CM17">
    <cfRule type="cellIs" dxfId="71" priority="57" operator="equal">
      <formula>0</formula>
    </cfRule>
    <cfRule type="cellIs" dxfId="70" priority="58" operator="equal">
      <formula>1</formula>
    </cfRule>
  </conditionalFormatting>
  <conditionalFormatting sqref="CN12:CN17">
    <cfRule type="cellIs" dxfId="69" priority="55" operator="equal">
      <formula>0</formula>
    </cfRule>
    <cfRule type="cellIs" dxfId="68" priority="56" operator="equal">
      <formula>1</formula>
    </cfRule>
  </conditionalFormatting>
  <conditionalFormatting sqref="CL12:CM17">
    <cfRule type="cellIs" dxfId="67" priority="51" operator="equal">
      <formula>0</formula>
    </cfRule>
    <cfRule type="cellIs" dxfId="66" priority="52" operator="equal">
      <formula>1</formula>
    </cfRule>
  </conditionalFormatting>
  <conditionalFormatting sqref="CM12:CM17">
    <cfRule type="cellIs" dxfId="65" priority="49" operator="equal">
      <formula>0</formula>
    </cfRule>
    <cfRule type="cellIs" dxfId="64" priority="50" operator="equal">
      <formula>1</formula>
    </cfRule>
  </conditionalFormatting>
  <conditionalFormatting sqref="CH19:CK22">
    <cfRule type="cellIs" dxfId="63" priority="43" operator="equal">
      <formula>0</formula>
    </cfRule>
    <cfRule type="cellIs" dxfId="62" priority="44" operator="equal">
      <formula>1</formula>
    </cfRule>
  </conditionalFormatting>
  <conditionalFormatting sqref="CL19:CM22">
    <cfRule type="cellIs" dxfId="61" priority="47" operator="equal">
      <formula>0</formula>
    </cfRule>
    <cfRule type="cellIs" dxfId="60" priority="48" operator="equal">
      <formula>1</formula>
    </cfRule>
  </conditionalFormatting>
  <conditionalFormatting sqref="CN19:CN22">
    <cfRule type="cellIs" dxfId="59" priority="45" operator="equal">
      <formula>0</formula>
    </cfRule>
    <cfRule type="cellIs" dxfId="58" priority="46" operator="equal">
      <formula>1</formula>
    </cfRule>
  </conditionalFormatting>
  <conditionalFormatting sqref="CL19:CM22">
    <cfRule type="cellIs" dxfId="57" priority="41" operator="equal">
      <formula>0</formula>
    </cfRule>
    <cfRule type="cellIs" dxfId="56" priority="42" operator="equal">
      <formula>1</formula>
    </cfRule>
  </conditionalFormatting>
  <conditionalFormatting sqref="CM19:CM22">
    <cfRule type="cellIs" dxfId="55" priority="39" operator="equal">
      <formula>0</formula>
    </cfRule>
    <cfRule type="cellIs" dxfId="54" priority="40" operator="equal">
      <formula>1</formula>
    </cfRule>
  </conditionalFormatting>
  <conditionalFormatting sqref="CH23">
    <cfRule type="cellIs" dxfId="53" priority="37" operator="equal">
      <formula>0</formula>
    </cfRule>
    <cfRule type="cellIs" dxfId="52" priority="38" operator="equal">
      <formula>1</formula>
    </cfRule>
  </conditionalFormatting>
  <conditionalFormatting sqref="CH24:CH26">
    <cfRule type="cellIs" dxfId="51" priority="35" operator="equal">
      <formula>0</formula>
    </cfRule>
    <cfRule type="cellIs" dxfId="50" priority="36" operator="equal">
      <formula>1</formula>
    </cfRule>
  </conditionalFormatting>
  <conditionalFormatting sqref="CH30:CK30">
    <cfRule type="cellIs" dxfId="49" priority="29" operator="equal">
      <formula>0</formula>
    </cfRule>
    <cfRule type="cellIs" dxfId="48" priority="30" operator="equal">
      <formula>1</formula>
    </cfRule>
  </conditionalFormatting>
  <conditionalFormatting sqref="CL30:CM30 CL31:CL33">
    <cfRule type="cellIs" dxfId="47" priority="33" operator="equal">
      <formula>0</formula>
    </cfRule>
    <cfRule type="cellIs" dxfId="46" priority="34" operator="equal">
      <formula>1</formula>
    </cfRule>
  </conditionalFormatting>
  <conditionalFormatting sqref="CN30">
    <cfRule type="cellIs" dxfId="45" priority="31" operator="equal">
      <formula>0</formula>
    </cfRule>
    <cfRule type="cellIs" dxfId="44" priority="32" operator="equal">
      <formula>1</formula>
    </cfRule>
  </conditionalFormatting>
  <conditionalFormatting sqref="CL30:CM30 CL31:CL33">
    <cfRule type="cellIs" dxfId="43" priority="27" operator="equal">
      <formula>0</formula>
    </cfRule>
    <cfRule type="cellIs" dxfId="42" priority="28" operator="equal">
      <formula>1</formula>
    </cfRule>
  </conditionalFormatting>
  <conditionalFormatting sqref="CM30">
    <cfRule type="cellIs" dxfId="41" priority="25" operator="equal">
      <formula>0</formula>
    </cfRule>
    <cfRule type="cellIs" dxfId="40" priority="26" operator="equal">
      <formula>1</formula>
    </cfRule>
  </conditionalFormatting>
  <conditionalFormatting sqref="CH28">
    <cfRule type="cellIs" dxfId="39" priority="23" operator="equal">
      <formula>0</formula>
    </cfRule>
    <cfRule type="cellIs" dxfId="38" priority="24" operator="equal">
      <formula>1</formula>
    </cfRule>
  </conditionalFormatting>
  <conditionalFormatting sqref="CH29">
    <cfRule type="cellIs" dxfId="37" priority="21" operator="equal">
      <formula>0</formula>
    </cfRule>
    <cfRule type="cellIs" dxfId="36" priority="22" operator="equal">
      <formula>1</formula>
    </cfRule>
  </conditionalFormatting>
  <conditionalFormatting sqref="CM32">
    <cfRule type="cellIs" dxfId="35" priority="19" operator="equal">
      <formula>0</formula>
    </cfRule>
    <cfRule type="cellIs" dxfId="34" priority="20" operator="equal">
      <formula>1</formula>
    </cfRule>
  </conditionalFormatting>
  <conditionalFormatting sqref="CN32">
    <cfRule type="cellIs" dxfId="33" priority="17" operator="equal">
      <formula>0</formula>
    </cfRule>
    <cfRule type="cellIs" dxfId="32" priority="18" operator="equal">
      <formula>1</formula>
    </cfRule>
  </conditionalFormatting>
  <conditionalFormatting sqref="CM32">
    <cfRule type="cellIs" dxfId="31" priority="15" operator="equal">
      <formula>0</formula>
    </cfRule>
    <cfRule type="cellIs" dxfId="30" priority="16" operator="equal">
      <formula>1</formula>
    </cfRule>
  </conditionalFormatting>
  <conditionalFormatting sqref="CM32">
    <cfRule type="cellIs" dxfId="29" priority="13" operator="equal">
      <formula>0</formula>
    </cfRule>
    <cfRule type="cellIs" dxfId="28" priority="14" operator="equal">
      <formula>1</formula>
    </cfRule>
  </conditionalFormatting>
  <conditionalFormatting sqref="CH33:CK33">
    <cfRule type="cellIs" dxfId="27" priority="7" operator="equal">
      <formula>0</formula>
    </cfRule>
    <cfRule type="cellIs" dxfId="26" priority="8" operator="equal">
      <formula>1</formula>
    </cfRule>
  </conditionalFormatting>
  <conditionalFormatting sqref="CM33">
    <cfRule type="cellIs" dxfId="25" priority="11" operator="equal">
      <formula>0</formula>
    </cfRule>
    <cfRule type="cellIs" dxfId="24" priority="12" operator="equal">
      <formula>1</formula>
    </cfRule>
  </conditionalFormatting>
  <conditionalFormatting sqref="CN33">
    <cfRule type="cellIs" dxfId="23" priority="9" operator="equal">
      <formula>0</formula>
    </cfRule>
    <cfRule type="cellIs" dxfId="22" priority="10" operator="equal">
      <formula>1</formula>
    </cfRule>
  </conditionalFormatting>
  <conditionalFormatting sqref="CM33">
    <cfRule type="cellIs" dxfId="21" priority="5" operator="equal">
      <formula>0</formula>
    </cfRule>
    <cfRule type="cellIs" dxfId="20" priority="6" operator="equal">
      <formula>1</formula>
    </cfRule>
  </conditionalFormatting>
  <conditionalFormatting sqref="CM33">
    <cfRule type="cellIs" dxfId="19" priority="3" operator="equal">
      <formula>0</formula>
    </cfRule>
    <cfRule type="cellIs" dxfId="18" priority="4" operator="equal">
      <formula>1</formula>
    </cfRule>
  </conditionalFormatting>
  <conditionalFormatting sqref="CH32:CK32">
    <cfRule type="cellIs" dxfId="17" priority="1" operator="equal">
      <formula>0</formula>
    </cfRule>
    <cfRule type="cellIs" dxfId="16" priority="2" operator="equal">
      <formula>1</formula>
    </cfRule>
  </conditionalFormatting>
  <pageMargins left="0.7" right="0.7" top="0.75" bottom="0.75" header="0.3" footer="0.3"/>
  <pageSetup paperSize="9"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1_ENTREGA</vt:lpstr>
      <vt:lpstr>2_APERTURA DE SOBRES</vt:lpstr>
      <vt:lpstr>6.2.1. REQUISITOS JURÍDICOS</vt:lpstr>
      <vt:lpstr>6.2.2.1. EXPERIENCIA GRAL</vt:lpstr>
      <vt:lpstr>6.2.2.2. EXPERIENCIA_ESPECIF </vt:lpstr>
      <vt:lpstr>6.2.3.2 PROFESIONALES</vt:lpstr>
      <vt:lpstr>6.2.4 CAP FINANCIERA</vt:lpstr>
      <vt:lpstr>6.2.5 REQUISITOS COMERCIALES</vt:lpstr>
      <vt:lpstr>PRESUPUESTO</vt:lpstr>
      <vt:lpstr>14.3 EXPERIENCIA_OCT</vt:lpstr>
      <vt:lpstr>Cálculo Pt2</vt:lpstr>
      <vt:lpstr>RESUMEN</vt:lpstr>
      <vt:lpstr>10. EVALUACIÓN</vt:lpstr>
      <vt:lpstr>APERTURA</vt:lpstr>
      <vt:lpstr>'1_ENTREGA'!Área_de_impresión</vt:lpstr>
      <vt:lpstr>AU</vt:lpstr>
      <vt:lpstr>'6.2.2.2. EXPERIENCIA_ESPECIF '!BANDERA</vt:lpstr>
      <vt:lpstr>BANDERA</vt:lpstr>
      <vt:lpstr>C_FINANCIERA</vt:lpstr>
      <vt:lpstr>EST_UNI</vt:lpstr>
      <vt:lpstr>ESTATUS</vt:lpstr>
      <vt:lpstr>EVALUACION</vt:lpstr>
      <vt:lpstr>'6.2.2.2. EXPERIENCIA_ESPECIF '!EXPERIENCIA</vt:lpstr>
      <vt:lpstr>EXPERIENCIA</vt:lpstr>
      <vt:lpstr>LISTA_OFERENTES</vt:lpstr>
      <vt:lpstr>OFERENTE_1</vt:lpstr>
      <vt:lpstr>OFERTA_0</vt:lpstr>
      <vt:lpstr>'10. EVALUACIÓN'!ORDEN</vt:lpstr>
      <vt:lpstr>PT_2</vt:lpstr>
      <vt:lpstr>R_COMERCIALES</vt:lpstr>
      <vt:lpstr>V_UNITARIOS</vt:lpstr>
      <vt:lpstr>VER_UNI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LUIS FERNANDO R�OS MU�OZ</cp:lastModifiedBy>
  <cp:lastPrinted>2020-08-04T01:46:37Z</cp:lastPrinted>
  <dcterms:created xsi:type="dcterms:W3CDTF">2020-08-04T01:26:52Z</dcterms:created>
  <dcterms:modified xsi:type="dcterms:W3CDTF">2021-10-26T20:26:54Z</dcterms:modified>
</cp:coreProperties>
</file>